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a\git\bateau\NavigationBateau\ProjetXLS\"/>
    </mc:Choice>
  </mc:AlternateContent>
  <xr:revisionPtr revIDLastSave="0" documentId="13_ncr:1_{1962091C-FD82-4A7B-BFD0-E11680BD0F75}" xr6:coauthVersionLast="47" xr6:coauthVersionMax="47" xr10:uidLastSave="{00000000-0000-0000-0000-000000000000}"/>
  <bookViews>
    <workbookView xWindow="195" yWindow="735" windowWidth="28605" windowHeight="11370" tabRatio="872" xr2:uid="{00000000-000D-0000-FFFF-FFFF00000000}"/>
  </bookViews>
  <sheets>
    <sheet name="Droite de hauteur-soleil" sheetId="1" r:id="rId1"/>
    <sheet name="Meridienne" sheetId="16" r:id="rId2"/>
    <sheet name="Meridienne Longitude par paire" sheetId="13" r:id="rId3"/>
    <sheet name="Droite de hauteur-lune" sheetId="11" r:id="rId4"/>
    <sheet name="Droite de hauteur-etoileplanete" sheetId="17" r:id="rId5"/>
    <sheet name="Latitude Polaire" sheetId="10" r:id="rId6"/>
    <sheet name="DistanceLunaire" sheetId="21" r:id="rId7"/>
    <sheet name="RecalageAstroCompas (2)" sheetId="24" r:id="rId8"/>
    <sheet name="RecalageAstroCompas" sheetId="23" r:id="rId9"/>
    <sheet name="GrilleCompas" sheetId="22" r:id="rId10"/>
    <sheet name="Outils" sheetId="15" r:id="rId11"/>
    <sheet name="Montre" sheetId="18" r:id="rId12"/>
    <sheet name="Brouillon" sheetId="19" r:id="rId13"/>
  </sheets>
  <functionGroups builtInGroupCount="19"/>
  <definedNames>
    <definedName name="_xlnm.Print_Area" localSheetId="4">'Droite de hauteur-etoileplanete'!$B$45:$Y$96</definedName>
    <definedName name="_xlnm.Print_Area" localSheetId="3">'Droite de hauteur-lune'!$B$208:$Q$261</definedName>
    <definedName name="_xlnm.Print_Area" localSheetId="0">'Droite de hauteur-soleil'!$B$179:$Q$231</definedName>
    <definedName name="_xlnm.Print_Area" localSheetId="9">GrilleCompas!$C$5:$AS$34</definedName>
    <definedName name="_xlnm.Print_Area" localSheetId="5">'Latitude Polaire'!$B$127:$Q$159</definedName>
    <definedName name="_xlnm.Print_Area" localSheetId="1">Meridienne!$B$188:$S$245</definedName>
    <definedName name="_xlnm.Print_Area" localSheetId="2">'Meridienne Longitude par paire'!$B$222:$S$282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57" i="1" l="1"/>
  <c r="AG57" i="1"/>
  <c r="AF57" i="1"/>
  <c r="AE57" i="1"/>
  <c r="AD57" i="1"/>
  <c r="AC57" i="1"/>
  <c r="Q53" i="24"/>
  <c r="I43" i="24"/>
  <c r="I43" i="23"/>
  <c r="Q53" i="23"/>
  <c r="C32" i="22"/>
  <c r="C8" i="22"/>
  <c r="B10" i="22"/>
  <c r="B12" i="22" s="1"/>
  <c r="B14" i="22" s="1"/>
  <c r="B16" i="22" s="1"/>
  <c r="B18" i="22" s="1"/>
  <c r="B20" i="22" s="1"/>
  <c r="B22" i="22" s="1"/>
  <c r="B24" i="22" s="1"/>
  <c r="B26" i="22" s="1"/>
  <c r="B28" i="22" s="1"/>
  <c r="B30" i="22" s="1"/>
  <c r="C30" i="22" s="1"/>
  <c r="Z6" i="22"/>
  <c r="AC3" i="22"/>
  <c r="AB6" i="22" s="1"/>
  <c r="G3" i="22"/>
  <c r="I3" i="22" s="1"/>
  <c r="AA54" i="21"/>
  <c r="AA53" i="21"/>
  <c r="AA52" i="21"/>
  <c r="Z53" i="21"/>
  <c r="Z52" i="21"/>
  <c r="Y53" i="21"/>
  <c r="Y52" i="21"/>
  <c r="F50" i="24" a="1"/>
  <c r="F12" i="24" a="1"/>
  <c r="J30" i="24" a="1"/>
  <c r="F30" i="24" a="1"/>
  <c r="J11" i="24" a="1"/>
  <c r="F11" i="24" a="1"/>
  <c r="J51" i="24" a="1"/>
  <c r="F51" i="24" a="1"/>
  <c r="L12" i="24" a="1"/>
  <c r="L52" i="24" a="1"/>
  <c r="H32" i="24" a="1"/>
  <c r="M31" i="24" a="1"/>
  <c r="L51" i="24" a="1"/>
  <c r="J31" i="24" a="1"/>
  <c r="J52" i="24" a="1"/>
  <c r="H13" i="24" a="1"/>
  <c r="F31" i="24" a="1"/>
  <c r="J12" i="24" a="1"/>
  <c r="M30" i="24" a="1"/>
  <c r="L11" i="24" a="1"/>
  <c r="J30" i="23" a="1"/>
  <c r="L51" i="23" a="1"/>
  <c r="J51" i="23" a="1"/>
  <c r="J52" i="23" a="1"/>
  <c r="F12" i="23" a="1"/>
  <c r="M30" i="23" a="1"/>
  <c r="M31" i="23" a="1"/>
  <c r="F30" i="23" a="1"/>
  <c r="L12" i="23" a="1"/>
  <c r="J11" i="23" a="1"/>
  <c r="H32" i="23" a="1"/>
  <c r="J31" i="23" a="1"/>
  <c r="F31" i="23" a="1"/>
  <c r="F50" i="23" a="1"/>
  <c r="L11" i="23" a="1"/>
  <c r="L52" i="23" a="1"/>
  <c r="F51" i="23" a="1"/>
  <c r="F11" i="23" a="1"/>
  <c r="H13" i="23" a="1"/>
  <c r="J12" i="23" a="1"/>
  <c r="L11" i="24" l="1"/>
  <c r="M30" i="24"/>
  <c r="J12" i="24"/>
  <c r="F31" i="24"/>
  <c r="H13" i="24"/>
  <c r="J52" i="24"/>
  <c r="J31" i="24"/>
  <c r="L51" i="24"/>
  <c r="L53" i="24" s="1"/>
  <c r="M31" i="24"/>
  <c r="P30" i="24" s="1"/>
  <c r="Q30" i="24" s="1"/>
  <c r="H32" i="24"/>
  <c r="L52" i="24"/>
  <c r="L12" i="24"/>
  <c r="F51" i="24"/>
  <c r="J51" i="24"/>
  <c r="F11" i="24"/>
  <c r="P12" i="24" s="1"/>
  <c r="Q12" i="24" s="1"/>
  <c r="J11" i="24"/>
  <c r="J13" i="24" s="1"/>
  <c r="F30" i="24"/>
  <c r="P31" i="24" s="1"/>
  <c r="Q31" i="24" s="1"/>
  <c r="J30" i="24"/>
  <c r="F12" i="24"/>
  <c r="F50" i="24"/>
  <c r="P52" i="24" s="1"/>
  <c r="Q52" i="24" s="1"/>
  <c r="J52" i="23"/>
  <c r="J51" i="23"/>
  <c r="M31" i="23"/>
  <c r="P30" i="23" s="1"/>
  <c r="Q30" i="23" s="1"/>
  <c r="M30" i="23"/>
  <c r="F31" i="23"/>
  <c r="J31" i="23"/>
  <c r="H32" i="23"/>
  <c r="F30" i="23"/>
  <c r="P31" i="23" s="1"/>
  <c r="Q31" i="23" s="1"/>
  <c r="J30" i="23"/>
  <c r="J32" i="23" s="1"/>
  <c r="F51" i="23"/>
  <c r="L52" i="23"/>
  <c r="L51" i="23"/>
  <c r="F50" i="23"/>
  <c r="P52" i="23" s="1"/>
  <c r="Q52" i="23" s="1"/>
  <c r="F12" i="23"/>
  <c r="F11" i="23"/>
  <c r="P12" i="23" s="1"/>
  <c r="Q12" i="23" s="1"/>
  <c r="H13" i="23"/>
  <c r="L11" i="23"/>
  <c r="L12" i="23"/>
  <c r="J12" i="23"/>
  <c r="J11" i="23"/>
  <c r="C10" i="22"/>
  <c r="C12" i="22"/>
  <c r="C14" i="22"/>
  <c r="C16" i="22"/>
  <c r="C18" i="22"/>
  <c r="C20" i="22"/>
  <c r="C22" i="22"/>
  <c r="C24" i="22"/>
  <c r="C26" i="22"/>
  <c r="C28" i="22"/>
  <c r="F6" i="22"/>
  <c r="H6" i="22"/>
  <c r="K3" i="22"/>
  <c r="AE3" i="22"/>
  <c r="J9" i="15" a="1"/>
  <c r="K9" i="15" s="1"/>
  <c r="O8" i="15" s="1"/>
  <c r="AD22" i="10"/>
  <c r="AE82" i="21"/>
  <c r="AB92" i="21" s="1"/>
  <c r="K32" i="21"/>
  <c r="Q50" i="21" s="1"/>
  <c r="K31" i="21"/>
  <c r="N50" i="21" s="1"/>
  <c r="K27" i="21"/>
  <c r="J50" i="21" s="1"/>
  <c r="K29" i="21"/>
  <c r="F50" i="21" s="1"/>
  <c r="J14" i="21"/>
  <c r="AB46" i="21" s="1"/>
  <c r="AB47" i="21" s="1"/>
  <c r="J47" i="21" s="1"/>
  <c r="G22" i="15"/>
  <c r="G21" i="15"/>
  <c r="H236" i="11"/>
  <c r="H232" i="11"/>
  <c r="AH11" i="17"/>
  <c r="AD116" i="11"/>
  <c r="AD104" i="11"/>
  <c r="AD100" i="11"/>
  <c r="AD98" i="11"/>
  <c r="I98" i="11"/>
  <c r="AD94" i="11"/>
  <c r="AD92" i="11"/>
  <c r="AD91" i="11"/>
  <c r="I91" i="11"/>
  <c r="AD95" i="11" s="1"/>
  <c r="AD65" i="11"/>
  <c r="AD63" i="11"/>
  <c r="AD62" i="11"/>
  <c r="AD54" i="11"/>
  <c r="AD50" i="11"/>
  <c r="AD48" i="11"/>
  <c r="T48" i="11"/>
  <c r="AD44" i="11"/>
  <c r="AD42" i="11"/>
  <c r="AD41" i="11"/>
  <c r="E10" i="21" a="1"/>
  <c r="K50" i="11" a="1"/>
  <c r="J15" i="21" a="1"/>
  <c r="M10" i="21"/>
  <c r="F86" i="21" a="1"/>
  <c r="F92" i="21" a="1"/>
  <c r="F85" i="21" a="1"/>
  <c r="J17" i="21" a="1"/>
  <c r="R22" i="21"/>
  <c r="F90" i="21" a="1"/>
  <c r="F56" i="21" a="1"/>
  <c r="S83" i="11" a="1"/>
  <c r="J20" i="21"/>
  <c r="K28" i="21" a="1"/>
  <c r="I13" i="24" a="1"/>
  <c r="K26" i="21" a="1"/>
  <c r="J22" i="21" a="1"/>
  <c r="J21" i="21" a="1"/>
  <c r="AE91" i="11" a="1"/>
  <c r="AE62" i="11" a="1"/>
  <c r="K35" i="21" a="1"/>
  <c r="K100" i="11" a="1"/>
  <c r="AE92" i="11" a="1"/>
  <c r="AD99" i="11" a="1"/>
  <c r="J16" i="21" a="1"/>
  <c r="AD105" i="11" a="1"/>
  <c r="F11" i="17"/>
  <c r="AE63" i="11" a="1"/>
  <c r="AD51" i="11" a="1"/>
  <c r="K53" i="24" a="1"/>
  <c r="F87" i="21" a="1"/>
  <c r="AE42" i="11" a="1"/>
  <c r="S81" i="11" a="1"/>
  <c r="K30" i="21" a="1"/>
  <c r="AD101" i="11" a="1"/>
  <c r="F89" i="21" a="1"/>
  <c r="D8" i="18"/>
  <c r="AD49" i="11" a="1"/>
  <c r="D71" i="11" a="1"/>
  <c r="F91" i="21" a="1"/>
  <c r="F88" i="21" a="1"/>
  <c r="AE41" i="11" a="1"/>
  <c r="AD55" i="11" a="1"/>
  <c r="I32" i="23" a="1"/>
  <c r="K53" i="24" l="1"/>
  <c r="I13" i="24"/>
  <c r="L13" i="24"/>
  <c r="J32" i="24"/>
  <c r="P61" i="24" a="1"/>
  <c r="P61" i="24" s="1"/>
  <c r="J56" i="24"/>
  <c r="L57" i="24" s="1"/>
  <c r="P51" i="24"/>
  <c r="Q51" i="24" s="1"/>
  <c r="L53" i="23"/>
  <c r="J56" i="23" s="1"/>
  <c r="L57" i="23" s="1"/>
  <c r="P10" i="24"/>
  <c r="Q20" i="24" s="1"/>
  <c r="R20" i="24" s="1"/>
  <c r="J53" i="24"/>
  <c r="H43" i="24"/>
  <c r="J43" i="24" s="1"/>
  <c r="P29" i="23"/>
  <c r="Q29" i="23" s="1"/>
  <c r="Q39" i="23" s="1"/>
  <c r="R39" i="23" s="1"/>
  <c r="Q40" i="23" s="1"/>
  <c r="H43" i="23"/>
  <c r="J43" i="23" s="1"/>
  <c r="J53" i="23"/>
  <c r="I32" i="23"/>
  <c r="J13" i="23"/>
  <c r="L13" i="23"/>
  <c r="P11" i="23" s="1"/>
  <c r="Q11" i="23" s="1"/>
  <c r="AG3" i="22"/>
  <c r="AD6" i="22"/>
  <c r="M3" i="22"/>
  <c r="J6" i="22"/>
  <c r="F56" i="21"/>
  <c r="J19" i="21"/>
  <c r="J22" i="21"/>
  <c r="J21" i="21"/>
  <c r="J9" i="15"/>
  <c r="M8" i="15" s="1"/>
  <c r="AB91" i="21"/>
  <c r="AB85" i="21"/>
  <c r="AB86" i="21"/>
  <c r="AB88" i="21"/>
  <c r="AB89" i="21"/>
  <c r="AB87" i="21"/>
  <c r="AB90" i="21"/>
  <c r="J17" i="21"/>
  <c r="J16" i="21"/>
  <c r="K35" i="21"/>
  <c r="F47" i="21"/>
  <c r="K30" i="21"/>
  <c r="O44" i="21" s="1"/>
  <c r="K26" i="21"/>
  <c r="J44" i="21" s="1"/>
  <c r="K28" i="21"/>
  <c r="E10" i="21"/>
  <c r="J15" i="21"/>
  <c r="Q10" i="21"/>
  <c r="T10" i="21" s="1"/>
  <c r="F85" i="21"/>
  <c r="K90" i="21" s="1" a="1"/>
  <c r="F87" i="21"/>
  <c r="F88" i="21"/>
  <c r="F90" i="21"/>
  <c r="F89" i="21"/>
  <c r="F92" i="21"/>
  <c r="F86" i="21"/>
  <c r="F91" i="21"/>
  <c r="K100" i="11"/>
  <c r="AE91" i="11"/>
  <c r="AF91" i="11" s="1"/>
  <c r="AD101" i="11"/>
  <c r="AE92" i="11"/>
  <c r="AD105" i="11"/>
  <c r="AD99" i="11"/>
  <c r="S81" i="11"/>
  <c r="S83" i="11"/>
  <c r="D71" i="11"/>
  <c r="AE63" i="11"/>
  <c r="AE62" i="11"/>
  <c r="AE41" i="11"/>
  <c r="AE42" i="11"/>
  <c r="AD49" i="11"/>
  <c r="AD51" i="11"/>
  <c r="AD55" i="11"/>
  <c r="D54" i="11" s="1"/>
  <c r="K50" i="11"/>
  <c r="H237" i="11" a="1"/>
  <c r="K13" i="24" a="1"/>
  <c r="P35" i="21"/>
  <c r="S50" i="11" a="1"/>
  <c r="D56" i="11" a="1"/>
  <c r="K19" i="21"/>
  <c r="N50" i="11" a="1"/>
  <c r="S100" i="11" a="1"/>
  <c r="N100" i="11" a="1"/>
  <c r="P30" i="21"/>
  <c r="I32" i="24" a="1"/>
  <c r="P15" i="21" a="1"/>
  <c r="S41" i="11" a="1"/>
  <c r="J45" i="21"/>
  <c r="F40" i="21" a="1"/>
  <c r="I53" i="24" a="1"/>
  <c r="S64" i="11" a="1"/>
  <c r="P26" i="21"/>
  <c r="S62" i="11" a="1"/>
  <c r="S43" i="11" a="1"/>
  <c r="O45" i="21"/>
  <c r="D106" i="11" a="1"/>
  <c r="G56" i="21"/>
  <c r="S91" i="11" a="1"/>
  <c r="H233" i="11" a="1"/>
  <c r="P28" i="21"/>
  <c r="I53" i="23" a="1"/>
  <c r="I13" i="23" a="1"/>
  <c r="K53" i="23" a="1"/>
  <c r="K13" i="23" a="1"/>
  <c r="I53" i="24" l="1"/>
  <c r="I32" i="24"/>
  <c r="K13" i="24"/>
  <c r="P50" i="24"/>
  <c r="Q50" i="24" s="1"/>
  <c r="P29" i="24"/>
  <c r="Q29" i="24" s="1"/>
  <c r="Q39" i="24" s="1"/>
  <c r="R39" i="24" s="1"/>
  <c r="Q40" i="24" s="1"/>
  <c r="T40" i="24" s="1"/>
  <c r="U40" i="24" s="1"/>
  <c r="T41" i="24" s="1"/>
  <c r="S43" i="24" s="1"/>
  <c r="P11" i="24"/>
  <c r="Q11" i="24" s="1"/>
  <c r="Q21" i="24" s="1"/>
  <c r="T21" i="24" s="1"/>
  <c r="U21" i="24" s="1"/>
  <c r="T22" i="24" s="1"/>
  <c r="S24" i="24" s="1"/>
  <c r="I53" i="23"/>
  <c r="P50" i="23"/>
  <c r="Q50" i="23" s="1"/>
  <c r="P51" i="23"/>
  <c r="Q51" i="23" s="1"/>
  <c r="P61" i="23" a="1"/>
  <c r="P61" i="23" s="1"/>
  <c r="T40" i="23"/>
  <c r="I13" i="23"/>
  <c r="P10" i="23"/>
  <c r="Q20" i="23" s="1"/>
  <c r="R20" i="23" s="1"/>
  <c r="Q21" i="23" s="1"/>
  <c r="T21" i="23" s="1"/>
  <c r="U21" i="23" s="1"/>
  <c r="T22" i="23" s="1"/>
  <c r="S24" i="23" s="1"/>
  <c r="K53" i="23"/>
  <c r="K13" i="23"/>
  <c r="O3" i="22"/>
  <c r="L6" i="22"/>
  <c r="AI3" i="22"/>
  <c r="AF6" i="22"/>
  <c r="K90" i="21"/>
  <c r="G91" i="21" s="1"/>
  <c r="H91" i="21" s="1"/>
  <c r="G90" i="21"/>
  <c r="H90" i="21" s="1"/>
  <c r="AB64" i="21"/>
  <c r="AC64" i="21" s="1"/>
  <c r="F40" i="21"/>
  <c r="J56" i="21"/>
  <c r="I11" i="21"/>
  <c r="AF92" i="11"/>
  <c r="AD93" i="11" s="1"/>
  <c r="AF96" i="11" s="1"/>
  <c r="S5" i="15"/>
  <c r="S6" i="15" s="1"/>
  <c r="Z5" i="15"/>
  <c r="R5" i="15"/>
  <c r="R6" i="15" s="1"/>
  <c r="Y5" i="15"/>
  <c r="Y6" i="15" s="1"/>
  <c r="Q5" i="15"/>
  <c r="Q6" i="15" s="1"/>
  <c r="X5" i="15"/>
  <c r="X6" i="15" s="1"/>
  <c r="P5" i="15"/>
  <c r="P6" i="15" s="1"/>
  <c r="W5" i="15"/>
  <c r="W6" i="15" s="1"/>
  <c r="O5" i="15"/>
  <c r="O6" i="15" s="1"/>
  <c r="V5" i="15"/>
  <c r="V6" i="15" s="1"/>
  <c r="N5" i="15"/>
  <c r="N6" i="15" s="1"/>
  <c r="U5" i="15"/>
  <c r="U6" i="15" s="1"/>
  <c r="M5" i="15"/>
  <c r="M6" i="15" s="1"/>
  <c r="T5" i="15"/>
  <c r="T6" i="15" s="1"/>
  <c r="L5" i="15"/>
  <c r="Z4" i="15"/>
  <c r="Z6" i="15" s="1"/>
  <c r="L4" i="15"/>
  <c r="L6" i="15" s="1"/>
  <c r="AB82" i="21"/>
  <c r="AA90" i="21" s="1"/>
  <c r="J46" i="21"/>
  <c r="J48" i="21" s="1"/>
  <c r="N46" i="21"/>
  <c r="O48" i="21" s="1"/>
  <c r="F46" i="21"/>
  <c r="F44" i="21"/>
  <c r="F48" i="21" s="1"/>
  <c r="P15" i="21"/>
  <c r="H237" i="11"/>
  <c r="H233" i="11"/>
  <c r="N100" i="11"/>
  <c r="D106" i="11"/>
  <c r="S100" i="11"/>
  <c r="S91" i="11"/>
  <c r="AF102" i="11"/>
  <c r="D104" i="11"/>
  <c r="S62" i="11"/>
  <c r="S64" i="11"/>
  <c r="AD64" i="11"/>
  <c r="S43" i="11"/>
  <c r="S41" i="11"/>
  <c r="D56" i="11"/>
  <c r="S50" i="11"/>
  <c r="N50" i="11"/>
  <c r="AD43" i="11"/>
  <c r="F45" i="21"/>
  <c r="F39" i="21" a="1"/>
  <c r="S93" i="11" a="1"/>
  <c r="O49" i="21"/>
  <c r="K56" i="21"/>
  <c r="J49" i="21"/>
  <c r="U40" i="23" l="1"/>
  <c r="T41" i="23" s="1"/>
  <c r="S43" i="23" s="1"/>
  <c r="AK3" i="22"/>
  <c r="Q3" i="22"/>
  <c r="G92" i="21"/>
  <c r="H92" i="21" s="1"/>
  <c r="G89" i="21"/>
  <c r="H89" i="21" s="1"/>
  <c r="G85" i="21"/>
  <c r="H85" i="21" s="1"/>
  <c r="G86" i="21"/>
  <c r="H86" i="21" s="1"/>
  <c r="G87" i="21"/>
  <c r="H87" i="21" s="1"/>
  <c r="G88" i="21"/>
  <c r="H88" i="21" s="1"/>
  <c r="F39" i="21"/>
  <c r="F51" i="21" s="1"/>
  <c r="F52" i="21" s="1"/>
  <c r="S93" i="11"/>
  <c r="AA6" i="15"/>
  <c r="AE90" i="21"/>
  <c r="AC90" i="21"/>
  <c r="AA87" i="21"/>
  <c r="AA85" i="21"/>
  <c r="AA92" i="21"/>
  <c r="AA88" i="21"/>
  <c r="AA86" i="21"/>
  <c r="AA91" i="21"/>
  <c r="AA89" i="21"/>
  <c r="AD102" i="11"/>
  <c r="D98" i="11"/>
  <c r="AD96" i="11"/>
  <c r="D91" i="11"/>
  <c r="AD34" i="11"/>
  <c r="AD32" i="11"/>
  <c r="G52" i="21"/>
  <c r="J24" i="11" a="1"/>
  <c r="AD35" i="11" a="1"/>
  <c r="D94" i="11" a="1"/>
  <c r="D100" i="11" a="1"/>
  <c r="G39" i="21"/>
  <c r="F49" i="21"/>
  <c r="AD33" i="11" a="1"/>
  <c r="P6" i="22" l="1"/>
  <c r="S3" i="22"/>
  <c r="AJ6" i="22"/>
  <c r="AM3" i="22"/>
  <c r="N51" i="21"/>
  <c r="N52" i="21" s="1"/>
  <c r="AE89" i="21"/>
  <c r="AC89" i="21"/>
  <c r="AE86" i="21"/>
  <c r="AC86" i="21"/>
  <c r="AE91" i="21"/>
  <c r="AC91" i="21"/>
  <c r="AC88" i="21"/>
  <c r="AE88" i="21"/>
  <c r="AE92" i="21"/>
  <c r="AC92" i="21"/>
  <c r="AE85" i="21"/>
  <c r="AC85" i="21"/>
  <c r="AE87" i="21"/>
  <c r="AC87" i="21"/>
  <c r="F54" i="21"/>
  <c r="AB62" i="21" s="1"/>
  <c r="J51" i="21"/>
  <c r="D100" i="11"/>
  <c r="D94" i="11"/>
  <c r="F87" i="11"/>
  <c r="AD33" i="11"/>
  <c r="G32" i="11" s="1"/>
  <c r="H259" i="11" s="1"/>
  <c r="AD35" i="11"/>
  <c r="G34" i="11" s="1"/>
  <c r="J24" i="11"/>
  <c r="E249" i="13"/>
  <c r="E231" i="13"/>
  <c r="E229" i="13"/>
  <c r="AD139" i="13"/>
  <c r="AD135" i="13"/>
  <c r="AD133" i="13"/>
  <c r="T133" i="13"/>
  <c r="D133" i="13"/>
  <c r="AD129" i="13"/>
  <c r="AD127" i="13"/>
  <c r="AD126" i="13"/>
  <c r="D126" i="13"/>
  <c r="F18" i="13"/>
  <c r="E34" i="13" s="1"/>
  <c r="AD56" i="16"/>
  <c r="AD55" i="13"/>
  <c r="AF74" i="13"/>
  <c r="AE74" i="13"/>
  <c r="E96" i="13"/>
  <c r="E93" i="13"/>
  <c r="E92" i="13"/>
  <c r="G92" i="13" s="1"/>
  <c r="C39" i="13"/>
  <c r="AD12" i="13"/>
  <c r="AD10" i="13"/>
  <c r="AD107" i="16"/>
  <c r="AD103" i="16"/>
  <c r="AD101" i="16"/>
  <c r="T101" i="16"/>
  <c r="I101" i="16"/>
  <c r="AD97" i="16"/>
  <c r="AD95" i="16"/>
  <c r="AD94" i="16"/>
  <c r="I94" i="16"/>
  <c r="AD98" i="16" s="1"/>
  <c r="T49" i="1"/>
  <c r="AD50" i="10"/>
  <c r="AD48" i="10"/>
  <c r="AD41" i="10"/>
  <c r="AD40" i="10"/>
  <c r="AD28" i="10"/>
  <c r="AD24" i="10"/>
  <c r="AH10" i="17"/>
  <c r="F228" i="16"/>
  <c r="AD13" i="16"/>
  <c r="AD11" i="16"/>
  <c r="AD32" i="1"/>
  <c r="AD76" i="1"/>
  <c r="AD72" i="1"/>
  <c r="AD70" i="1"/>
  <c r="AD64" i="1"/>
  <c r="AD63" i="1"/>
  <c r="AD55" i="1"/>
  <c r="AD51" i="1"/>
  <c r="AD49" i="1"/>
  <c r="AD43" i="1"/>
  <c r="AD42" i="1"/>
  <c r="AD34" i="1"/>
  <c r="F18" i="15"/>
  <c r="G18" i="15" s="1"/>
  <c r="AL149" i="16"/>
  <c r="AL148" i="16"/>
  <c r="AL147" i="16"/>
  <c r="AL146" i="16"/>
  <c r="AL145" i="16"/>
  <c r="AL144" i="16"/>
  <c r="AL143" i="16"/>
  <c r="AL142" i="16"/>
  <c r="AL141" i="16"/>
  <c r="D135" i="13" a="1"/>
  <c r="AE63" i="1" a="1"/>
  <c r="AH142" i="16" a="1"/>
  <c r="F20" i="13"/>
  <c r="G40" i="21"/>
  <c r="P32" i="11" a="1"/>
  <c r="P34" i="11" a="1"/>
  <c r="T6" i="13"/>
  <c r="AE126" i="13" a="1"/>
  <c r="F55" i="21"/>
  <c r="AH144" i="16" a="1"/>
  <c r="L6" i="13"/>
  <c r="P83" i="16" a="1"/>
  <c r="AF146" i="16" a="1"/>
  <c r="AE95" i="16" a="1"/>
  <c r="AD102" i="16" a="1"/>
  <c r="T7" i="16"/>
  <c r="F8" i="13"/>
  <c r="AF145" i="16" a="1"/>
  <c r="AH149" i="16" a="1"/>
  <c r="AH141" i="16" a="1"/>
  <c r="D129" i="13" a="1"/>
  <c r="AD13" i="13" a="1"/>
  <c r="AE94" i="16" a="1"/>
  <c r="AD136" i="13" a="1"/>
  <c r="AD140" i="13" a="1"/>
  <c r="K103" i="16" a="1"/>
  <c r="AE64" i="1" a="1"/>
  <c r="K135" i="13" a="1"/>
  <c r="AD104" i="16" a="1"/>
  <c r="F16" i="13" a="1"/>
  <c r="AG146" i="16" a="1"/>
  <c r="AG74" i="13"/>
  <c r="AD11" i="13" a="1"/>
  <c r="AD74" i="13"/>
  <c r="AH148" i="16" a="1"/>
  <c r="AE127" i="13" a="1"/>
  <c r="AD108" i="16" a="1"/>
  <c r="AD134" i="13" a="1"/>
  <c r="K72" i="1" a="1"/>
  <c r="AG145" i="16" a="1"/>
  <c r="E231" i="11" a="1"/>
  <c r="E230" i="11" a="1"/>
  <c r="P25" i="1" a="1"/>
  <c r="P115" i="13" a="1"/>
  <c r="AH143" i="16" a="1"/>
  <c r="K51" i="1" a="1"/>
  <c r="AO3" i="22" l="1"/>
  <c r="AL6" i="22"/>
  <c r="U3" i="22"/>
  <c r="R6" i="22"/>
  <c r="K87" i="21"/>
  <c r="L87" i="21" s="1"/>
  <c r="Q51" i="21"/>
  <c r="J52" i="21"/>
  <c r="E231" i="11"/>
  <c r="E230" i="11"/>
  <c r="E184" i="11"/>
  <c r="Q155" i="11"/>
  <c r="Q167" i="11" s="1"/>
  <c r="AD109" i="11"/>
  <c r="L87" i="11"/>
  <c r="P32" i="11"/>
  <c r="P34" i="11"/>
  <c r="AE126" i="13"/>
  <c r="AE127" i="13"/>
  <c r="AD136" i="13"/>
  <c r="AD140" i="13"/>
  <c r="D129" i="13"/>
  <c r="AD134" i="13"/>
  <c r="D135" i="13"/>
  <c r="K135" i="13"/>
  <c r="P115" i="13"/>
  <c r="I65" i="13"/>
  <c r="F16" i="13"/>
  <c r="E33" i="13" s="1"/>
  <c r="AC74" i="13"/>
  <c r="AD52" i="13"/>
  <c r="AD53" i="13"/>
  <c r="AD11" i="13"/>
  <c r="F10" i="13" s="1"/>
  <c r="AD13" i="13"/>
  <c r="X6" i="13"/>
  <c r="AA6" i="13" s="1"/>
  <c r="AE94" i="16"/>
  <c r="AE95" i="16"/>
  <c r="AD102" i="16"/>
  <c r="K103" i="16"/>
  <c r="AD104" i="16"/>
  <c r="AD108" i="16"/>
  <c r="AE64" i="1"/>
  <c r="AE63" i="1"/>
  <c r="AF63" i="1" s="1"/>
  <c r="K72" i="1"/>
  <c r="K51" i="1"/>
  <c r="P83" i="16"/>
  <c r="X7" i="16"/>
  <c r="AA7" i="16" s="1"/>
  <c r="P25" i="1"/>
  <c r="AH142" i="16"/>
  <c r="AH143" i="16"/>
  <c r="AH144" i="16"/>
  <c r="AH148" i="16"/>
  <c r="AH149" i="16"/>
  <c r="AH141" i="16"/>
  <c r="AF146" i="16"/>
  <c r="AF147" i="16" s="1"/>
  <c r="AG146" i="16"/>
  <c r="AG147" i="16" s="1"/>
  <c r="AG145" i="16"/>
  <c r="AF145" i="16"/>
  <c r="S115" i="13" a="1"/>
  <c r="D141" i="13" a="1"/>
  <c r="P87" i="16" a="1"/>
  <c r="D109" i="16" a="1"/>
  <c r="N103" i="16" a="1"/>
  <c r="S128" i="13" a="1"/>
  <c r="O10" i="13" a="1"/>
  <c r="O8" i="13"/>
  <c r="S96" i="16" a="1"/>
  <c r="N135" i="13" a="1"/>
  <c r="Y27" i="11" a="1"/>
  <c r="AH146" i="16" a="1"/>
  <c r="AH147" i="16" a="1"/>
  <c r="O16" i="13" a="1"/>
  <c r="AD110" i="11" a="1"/>
  <c r="AH145" i="16" a="1"/>
  <c r="P119" i="13" a="1"/>
  <c r="AD164" i="13" a="1"/>
  <c r="S94" i="16" a="1"/>
  <c r="S103" i="16" a="1"/>
  <c r="S126" i="13" a="1"/>
  <c r="K52" i="21"/>
  <c r="O20" i="13"/>
  <c r="S135" i="13" a="1"/>
  <c r="AD54" i="13" l="1"/>
  <c r="W3" i="22"/>
  <c r="V6" i="22" s="1"/>
  <c r="T6" i="22"/>
  <c r="AQ3" i="22"/>
  <c r="AN6" i="22"/>
  <c r="Q52" i="21"/>
  <c r="N53" i="21" s="1"/>
  <c r="O54" i="21" s="1"/>
  <c r="F253" i="13"/>
  <c r="J54" i="21"/>
  <c r="AF64" i="1"/>
  <c r="K175" i="11"/>
  <c r="E183" i="11"/>
  <c r="AD110" i="11"/>
  <c r="N109" i="11"/>
  <c r="Y27" i="11"/>
  <c r="E247" i="13"/>
  <c r="AD164" i="13"/>
  <c r="P119" i="13"/>
  <c r="M117" i="13" s="1"/>
  <c r="N135" i="13"/>
  <c r="D141" i="13"/>
  <c r="S135" i="13"/>
  <c r="S128" i="13"/>
  <c r="S126" i="13"/>
  <c r="D139" i="13"/>
  <c r="F122" i="13" s="1"/>
  <c r="AD128" i="13"/>
  <c r="S115" i="13"/>
  <c r="M113" i="13"/>
  <c r="O16" i="13"/>
  <c r="E248" i="13" s="1"/>
  <c r="F12" i="13"/>
  <c r="D109" i="16"/>
  <c r="D107" i="16"/>
  <c r="K33" i="13"/>
  <c r="O10" i="13"/>
  <c r="S103" i="16"/>
  <c r="N103" i="16"/>
  <c r="S96" i="16"/>
  <c r="S94" i="16"/>
  <c r="AD105" i="16"/>
  <c r="D101" i="16" s="1"/>
  <c r="AD96" i="16"/>
  <c r="AD99" i="16" s="1"/>
  <c r="D94" i="16" s="1"/>
  <c r="P87" i="16"/>
  <c r="AH147" i="16"/>
  <c r="AH145" i="16"/>
  <c r="AH146" i="16"/>
  <c r="F13" i="15"/>
  <c r="F14" i="15"/>
  <c r="G14" i="15" s="1"/>
  <c r="H228" i="16"/>
  <c r="I224" i="13"/>
  <c r="M75" i="16"/>
  <c r="J117" i="13" a="1"/>
  <c r="F5" i="19" a="1"/>
  <c r="AD77" i="1" a="1"/>
  <c r="F7" i="19" a="1"/>
  <c r="J55" i="21"/>
  <c r="D103" i="16" a="1"/>
  <c r="F23" i="17" a="1"/>
  <c r="F6" i="19" a="1"/>
  <c r="O12" i="13" a="1"/>
  <c r="J113" i="13" a="1"/>
  <c r="AI146" i="16" a="1"/>
  <c r="S119" i="13" a="1"/>
  <c r="O55" i="21"/>
  <c r="D97" i="16" a="1"/>
  <c r="J78" i="16"/>
  <c r="R109" i="11" a="1"/>
  <c r="K122" i="13" a="1"/>
  <c r="E267" i="13" a="1"/>
  <c r="AI145" i="16" a="1"/>
  <c r="AD56" i="1" a="1"/>
  <c r="AP6" i="22" l="1"/>
  <c r="AS3" i="22"/>
  <c r="D97" i="16"/>
  <c r="E267" i="13"/>
  <c r="R109" i="11"/>
  <c r="E235" i="11" s="1"/>
  <c r="I109" i="11"/>
  <c r="F108" i="11" s="1"/>
  <c r="E266" i="13"/>
  <c r="E245" i="13"/>
  <c r="S119" i="13"/>
  <c r="K122" i="13"/>
  <c r="J113" i="13"/>
  <c r="J117" i="13"/>
  <c r="O12" i="13"/>
  <c r="E246" i="13" s="1"/>
  <c r="E43" i="13"/>
  <c r="D103" i="16"/>
  <c r="F90" i="16"/>
  <c r="P38" i="13"/>
  <c r="M252" i="13" s="1"/>
  <c r="AI146" i="16"/>
  <c r="AI145" i="16"/>
  <c r="AD77" i="1"/>
  <c r="D76" i="1" s="1"/>
  <c r="AD56" i="1"/>
  <c r="F23" i="17"/>
  <c r="F5" i="19"/>
  <c r="F7" i="19"/>
  <c r="F6" i="19"/>
  <c r="V57" i="17"/>
  <c r="R57" i="17"/>
  <c r="N57" i="17"/>
  <c r="J57" i="17"/>
  <c r="E69" i="17"/>
  <c r="F12" i="17"/>
  <c r="D51" i="17"/>
  <c r="F57" i="17"/>
  <c r="F236" i="11"/>
  <c r="F232" i="11"/>
  <c r="M15" i="10"/>
  <c r="M54" i="10"/>
  <c r="H146" i="10"/>
  <c r="G146" i="10"/>
  <c r="E133" i="10"/>
  <c r="E215" i="11"/>
  <c r="E197" i="16"/>
  <c r="E188" i="1"/>
  <c r="H208" i="1"/>
  <c r="F208" i="1"/>
  <c r="H204" i="1"/>
  <c r="F204" i="1"/>
  <c r="E27" i="17"/>
  <c r="AG40" i="17"/>
  <c r="AG36" i="17"/>
  <c r="L38" i="17"/>
  <c r="L35" i="17"/>
  <c r="D23" i="17"/>
  <c r="O34" i="17"/>
  <c r="P34" i="17" s="1"/>
  <c r="Q34" i="17" s="1"/>
  <c r="R34" i="17" s="1"/>
  <c r="S34" i="17" s="1"/>
  <c r="T34" i="17" s="1"/>
  <c r="U34" i="17" s="1"/>
  <c r="V34" i="17" s="1"/>
  <c r="W34" i="17" s="1"/>
  <c r="X34" i="17" s="1"/>
  <c r="Y34" i="17" s="1"/>
  <c r="D19" i="17"/>
  <c r="D31" i="17"/>
  <c r="C31" i="17"/>
  <c r="D30" i="17"/>
  <c r="C30" i="17"/>
  <c r="D29" i="17"/>
  <c r="C29" i="17"/>
  <c r="D28" i="17"/>
  <c r="C28" i="17"/>
  <c r="D27" i="17"/>
  <c r="C27" i="17"/>
  <c r="E31" i="17"/>
  <c r="E30" i="17"/>
  <c r="E29" i="17"/>
  <c r="E28" i="17"/>
  <c r="D22" i="17"/>
  <c r="D21" i="17"/>
  <c r="D20" i="17"/>
  <c r="H27" i="17"/>
  <c r="AG200" i="11"/>
  <c r="AD200" i="11"/>
  <c r="AD199" i="11"/>
  <c r="AD198" i="11"/>
  <c r="AE192" i="11"/>
  <c r="J142" i="11"/>
  <c r="O126" i="11"/>
  <c r="O125" i="11"/>
  <c r="J23" i="11"/>
  <c r="J22" i="11"/>
  <c r="J19" i="11"/>
  <c r="AD117" i="11" s="1"/>
  <c r="O116" i="11" s="1"/>
  <c r="AD10" i="11"/>
  <c r="AD9" i="11"/>
  <c r="E95" i="13"/>
  <c r="E94" i="13"/>
  <c r="AG87" i="13"/>
  <c r="AF87" i="13"/>
  <c r="AG86" i="13"/>
  <c r="AF86" i="13"/>
  <c r="AG85" i="13"/>
  <c r="AF85" i="13"/>
  <c r="AG84" i="13"/>
  <c r="AF84" i="13"/>
  <c r="AG83" i="13"/>
  <c r="AF83" i="13"/>
  <c r="E87" i="13"/>
  <c r="E86" i="13"/>
  <c r="E85" i="13"/>
  <c r="E84" i="13"/>
  <c r="E83" i="13"/>
  <c r="AF78" i="13"/>
  <c r="AE78" i="13"/>
  <c r="AF77" i="13"/>
  <c r="AE77" i="13"/>
  <c r="AF76" i="13"/>
  <c r="AE76" i="13"/>
  <c r="AF75" i="13"/>
  <c r="AE75" i="13"/>
  <c r="AD214" i="13"/>
  <c r="AD212" i="13"/>
  <c r="E212" i="13"/>
  <c r="AD213" i="13" s="1"/>
  <c r="R206" i="13"/>
  <c r="J173" i="13"/>
  <c r="O157" i="13"/>
  <c r="O156" i="13"/>
  <c r="J112" i="13"/>
  <c r="O161" i="13" s="1"/>
  <c r="J111" i="13"/>
  <c r="AD161" i="13" s="1"/>
  <c r="J108" i="13"/>
  <c r="AD148" i="13" s="1"/>
  <c r="AD149" i="13" s="1"/>
  <c r="O148" i="13" s="1"/>
  <c r="E180" i="16"/>
  <c r="AD182" i="16"/>
  <c r="AD180" i="16"/>
  <c r="AG172" i="1"/>
  <c r="AD172" i="1"/>
  <c r="AD171" i="1"/>
  <c r="AD170" i="1"/>
  <c r="AE164" i="1"/>
  <c r="H147" i="10" a="1"/>
  <c r="L7" i="16"/>
  <c r="D5" i="18"/>
  <c r="J105" i="13" a="1"/>
  <c r="E76" i="11"/>
  <c r="O23" i="17"/>
  <c r="AG76" i="13"/>
  <c r="I23" i="17"/>
  <c r="J76" i="11"/>
  <c r="F31" i="17"/>
  <c r="K35" i="17"/>
  <c r="AH84" i="13"/>
  <c r="F59" i="17" a="1"/>
  <c r="J20" i="11" a="1"/>
  <c r="L76" i="11"/>
  <c r="G181" i="16" a="1"/>
  <c r="AG77" i="13"/>
  <c r="E194" i="16" a="1"/>
  <c r="J109" i="13" a="1"/>
  <c r="AD11" i="11" a="1"/>
  <c r="AE83" i="13"/>
  <c r="O21" i="17"/>
  <c r="K36" i="17"/>
  <c r="D4" i="18"/>
  <c r="U148" i="13" a="1"/>
  <c r="AG78" i="13"/>
  <c r="D78" i="1" a="1"/>
  <c r="G76" i="11"/>
  <c r="AD78" i="13"/>
  <c r="E196" i="16" a="1"/>
  <c r="AG75" i="13"/>
  <c r="F76" i="11"/>
  <c r="G19" i="17"/>
  <c r="O76" i="11"/>
  <c r="J106" i="13" a="1"/>
  <c r="K76" i="11"/>
  <c r="G212" i="13" a="1"/>
  <c r="J59" i="17" a="1"/>
  <c r="J17" i="11" a="1"/>
  <c r="M76" i="11"/>
  <c r="E132" i="10" a="1"/>
  <c r="AD77" i="13"/>
  <c r="N59" i="17" a="1"/>
  <c r="D6" i="18"/>
  <c r="AE87" i="13"/>
  <c r="F30" i="17"/>
  <c r="M20" i="17"/>
  <c r="E131" i="10" a="1"/>
  <c r="P43" i="13"/>
  <c r="H76" i="11"/>
  <c r="F28" i="17"/>
  <c r="I20" i="17"/>
  <c r="M22" i="17"/>
  <c r="E6" i="17"/>
  <c r="R59" i="17" a="1"/>
  <c r="T6" i="17"/>
  <c r="N76" i="11"/>
  <c r="AE164" i="13" a="1"/>
  <c r="O20" i="17"/>
  <c r="E7" i="11" a="1"/>
  <c r="I22" i="17"/>
  <c r="R148" i="11" a="1"/>
  <c r="M23" i="17"/>
  <c r="F10" i="17"/>
  <c r="G194" i="11" a="1"/>
  <c r="I21" i="17"/>
  <c r="V59" i="17" a="1"/>
  <c r="D50" i="17" a="1"/>
  <c r="P76" i="11"/>
  <c r="I19" i="17"/>
  <c r="O22" i="17"/>
  <c r="Q76" i="11"/>
  <c r="T21" i="17"/>
  <c r="AH86" i="13"/>
  <c r="R179" i="13" a="1"/>
  <c r="F29" i="17"/>
  <c r="J21" i="11" a="1"/>
  <c r="AE84" i="13"/>
  <c r="U116" i="11" a="1"/>
  <c r="T19" i="17"/>
  <c r="O179" i="13" a="1"/>
  <c r="D7" i="18"/>
  <c r="AD76" i="13"/>
  <c r="I76" i="11"/>
  <c r="O19" i="17"/>
  <c r="G180" i="16" a="1"/>
  <c r="AH87" i="13"/>
  <c r="K43" i="13"/>
  <c r="N86" i="17" a="1"/>
  <c r="M21" i="17"/>
  <c r="J73" i="16" a="1"/>
  <c r="AD75" i="13"/>
  <c r="AD59" i="13" a="1"/>
  <c r="E214" i="11" a="1"/>
  <c r="F61" i="17" a="1"/>
  <c r="K90" i="16" a="1"/>
  <c r="AE85" i="13"/>
  <c r="AH83" i="13"/>
  <c r="F13" i="17" a="1"/>
  <c r="AH85" i="13"/>
  <c r="T20" i="17"/>
  <c r="J110" i="13" a="1"/>
  <c r="E212" i="11" a="1"/>
  <c r="AD8" i="11" a="1"/>
  <c r="M19" i="17"/>
  <c r="P120" i="13" a="1"/>
  <c r="G193" i="11" a="1"/>
  <c r="O148" i="11" a="1"/>
  <c r="J16" i="11" a="1"/>
  <c r="AE86" i="13"/>
  <c r="G213" i="13" a="1"/>
  <c r="H217" i="11" a="1"/>
  <c r="P116" i="13" a="1"/>
  <c r="K204" i="1" a="1"/>
  <c r="G21" i="17"/>
  <c r="D57" i="1" a="1"/>
  <c r="J17" i="1" a="1"/>
  <c r="E187" i="1" a="1"/>
  <c r="E7" i="1" a="1"/>
  <c r="T7" i="1"/>
  <c r="E8" i="18" l="1"/>
  <c r="F8" i="18" s="1"/>
  <c r="H8" i="18" s="1"/>
  <c r="G8" i="18" s="1"/>
  <c r="D57" i="1"/>
  <c r="Q156" i="11"/>
  <c r="Q168" i="11" s="1"/>
  <c r="K176" i="11" s="1"/>
  <c r="H260" i="11"/>
  <c r="AM40" i="17"/>
  <c r="O130" i="11"/>
  <c r="AD131" i="11" s="1"/>
  <c r="AD132" i="11" s="1"/>
  <c r="M108" i="11"/>
  <c r="G95" i="13"/>
  <c r="AD95" i="13" s="1"/>
  <c r="I133" i="13"/>
  <c r="AD137" i="13" s="1"/>
  <c r="I126" i="13"/>
  <c r="AD130" i="13" s="1"/>
  <c r="P116" i="13"/>
  <c r="P120" i="13"/>
  <c r="AD59" i="13"/>
  <c r="H53" i="13"/>
  <c r="AD56" i="13"/>
  <c r="K90" i="16"/>
  <c r="AE164" i="13"/>
  <c r="AD162" i="13"/>
  <c r="F9" i="19"/>
  <c r="H10" i="19" s="1"/>
  <c r="AT27" i="17"/>
  <c r="F94" i="17"/>
  <c r="D78" i="1"/>
  <c r="D55" i="1"/>
  <c r="AL36" i="17"/>
  <c r="G9" i="19"/>
  <c r="I10" i="19" s="1"/>
  <c r="E213" i="11"/>
  <c r="N86" i="17"/>
  <c r="F61" i="17"/>
  <c r="V59" i="17"/>
  <c r="R59" i="17"/>
  <c r="N59" i="17"/>
  <c r="J59" i="17"/>
  <c r="D50" i="17"/>
  <c r="F59" i="17"/>
  <c r="D47" i="17"/>
  <c r="H147" i="10"/>
  <c r="E132" i="10"/>
  <c r="E131" i="10"/>
  <c r="K204" i="1"/>
  <c r="H217" i="11"/>
  <c r="E214" i="11"/>
  <c r="E212" i="11"/>
  <c r="E7" i="11"/>
  <c r="D208" i="11" s="1"/>
  <c r="E196" i="16"/>
  <c r="E194" i="16"/>
  <c r="E7" i="1"/>
  <c r="AL38" i="17"/>
  <c r="E187" i="1"/>
  <c r="E5" i="18"/>
  <c r="F5" i="18" s="1"/>
  <c r="H5" i="18" s="1"/>
  <c r="G5" i="18" s="1"/>
  <c r="E6" i="18"/>
  <c r="F6" i="18" s="1"/>
  <c r="H6" i="18" s="1"/>
  <c r="G6" i="18" s="1"/>
  <c r="AM39" i="17"/>
  <c r="AM37" i="17"/>
  <c r="E7" i="18"/>
  <c r="F7" i="18" s="1"/>
  <c r="H7" i="18" s="1"/>
  <c r="G7" i="18" s="1"/>
  <c r="J17" i="1"/>
  <c r="AM38" i="17"/>
  <c r="AL37" i="17"/>
  <c r="AM36" i="17"/>
  <c r="X6" i="17"/>
  <c r="AA6" i="17" s="1"/>
  <c r="AI35" i="17" s="1"/>
  <c r="O27" i="17"/>
  <c r="O29" i="17"/>
  <c r="N69" i="17" s="1"/>
  <c r="F13" i="17"/>
  <c r="J19" i="17" s="1"/>
  <c r="X7" i="1"/>
  <c r="AD127" i="11"/>
  <c r="AD11" i="11"/>
  <c r="J17" i="11"/>
  <c r="AD8" i="11"/>
  <c r="G194" i="11"/>
  <c r="J16" i="11"/>
  <c r="AJ26" i="11"/>
  <c r="AL25" i="11" s="1"/>
  <c r="AM26" i="11" s="1"/>
  <c r="O148" i="11"/>
  <c r="J20" i="11"/>
  <c r="O115" i="11" s="1"/>
  <c r="U116" i="11"/>
  <c r="G193" i="11"/>
  <c r="J21" i="11"/>
  <c r="O114" i="11" s="1"/>
  <c r="J147" i="11" s="1"/>
  <c r="R148" i="11"/>
  <c r="AD130" i="11"/>
  <c r="AD87" i="13"/>
  <c r="AD86" i="13"/>
  <c r="AD85" i="13"/>
  <c r="G94" i="13" s="1"/>
  <c r="AD84" i="13"/>
  <c r="AD83" i="13"/>
  <c r="AC78" i="13"/>
  <c r="AC77" i="13"/>
  <c r="AC76" i="13"/>
  <c r="AC75" i="13"/>
  <c r="AD158" i="13"/>
  <c r="AD215" i="13"/>
  <c r="AD216" i="13" s="1"/>
  <c r="J105" i="13"/>
  <c r="J109" i="13"/>
  <c r="J110" i="13"/>
  <c r="O179" i="13"/>
  <c r="G213" i="13"/>
  <c r="U148" i="13"/>
  <c r="H233" i="13" s="1"/>
  <c r="J106" i="13"/>
  <c r="R179" i="13"/>
  <c r="G212" i="13"/>
  <c r="AD181" i="16"/>
  <c r="AD183" i="16" s="1"/>
  <c r="AD184" i="16" s="1"/>
  <c r="G181" i="16"/>
  <c r="G180" i="16"/>
  <c r="I66" i="16"/>
  <c r="D190" i="16" s="1"/>
  <c r="J73" i="16"/>
  <c r="K233" i="11" a="1"/>
  <c r="S29" i="17"/>
  <c r="E77" i="11" a="1"/>
  <c r="P109" i="13" a="1"/>
  <c r="G20" i="17"/>
  <c r="F73" i="17" a="1"/>
  <c r="I77" i="11" a="1"/>
  <c r="K19" i="17"/>
  <c r="G77" i="13"/>
  <c r="P16" i="11" a="1"/>
  <c r="D54" i="17" a="1"/>
  <c r="J86" i="13"/>
  <c r="P105" i="13" a="1"/>
  <c r="H77" i="11" a="1"/>
  <c r="F27" i="17"/>
  <c r="N77" i="11" a="1"/>
  <c r="N73" i="17" a="1"/>
  <c r="P73" i="16" a="1"/>
  <c r="L77" i="11" a="1"/>
  <c r="Q77" i="11" a="1"/>
  <c r="J237" i="11" a="1"/>
  <c r="G77" i="11" a="1"/>
  <c r="AN38" i="17"/>
  <c r="G75" i="13"/>
  <c r="J10" i="17"/>
  <c r="F77" i="11" a="1"/>
  <c r="G78" i="13"/>
  <c r="P110" i="13" a="1"/>
  <c r="J85" i="13"/>
  <c r="G74" i="13"/>
  <c r="J73" i="17" a="1"/>
  <c r="G76" i="13"/>
  <c r="P25" i="11" a="1"/>
  <c r="J77" i="11" a="1"/>
  <c r="N76" i="17" a="1"/>
  <c r="J11" i="17"/>
  <c r="G22" i="17"/>
  <c r="D53" i="17" a="1"/>
  <c r="V86" i="17" a="1"/>
  <c r="P106" i="13" a="1"/>
  <c r="F76" i="17" a="1"/>
  <c r="M77" i="11" a="1"/>
  <c r="F60" i="17" a="1"/>
  <c r="AN36" i="17"/>
  <c r="V76" i="17" a="1"/>
  <c r="P77" i="11" a="1"/>
  <c r="J83" i="13"/>
  <c r="AN37" i="17"/>
  <c r="O77" i="11" a="1"/>
  <c r="J87" i="13"/>
  <c r="I95" i="13"/>
  <c r="P58" i="17" a="1"/>
  <c r="P20" i="11" a="1"/>
  <c r="K77" i="11" a="1"/>
  <c r="J13" i="17" a="1"/>
  <c r="R73" i="17" a="1"/>
  <c r="P17" i="11" a="1"/>
  <c r="J86" i="17" a="1"/>
  <c r="V73" i="17" a="1"/>
  <c r="R76" i="17" a="1"/>
  <c r="P21" i="11" a="1"/>
  <c r="J236" i="11" a="1"/>
  <c r="K232" i="11" a="1"/>
  <c r="I94" i="13"/>
  <c r="S27" i="17"/>
  <c r="H58" i="17" a="1"/>
  <c r="J84" i="13"/>
  <c r="J76" i="17" a="1"/>
  <c r="AD165" i="13" a="1"/>
  <c r="F86" i="17" a="1"/>
  <c r="R86" i="17" a="1"/>
  <c r="G23" i="17"/>
  <c r="P17" i="1" a="1"/>
  <c r="AA7" i="1" l="1"/>
  <c r="N76" i="17"/>
  <c r="G13" i="18"/>
  <c r="O30" i="17"/>
  <c r="R69" i="17" s="1"/>
  <c r="J73" i="17"/>
  <c r="F86" i="17"/>
  <c r="R86" i="17"/>
  <c r="O118" i="11"/>
  <c r="O28" i="17"/>
  <c r="J69" i="17" s="1"/>
  <c r="J70" i="17" s="1"/>
  <c r="O31" i="17"/>
  <c r="V69" i="17" s="1"/>
  <c r="V70" i="17" s="1"/>
  <c r="AD165" i="13"/>
  <c r="AD163" i="13"/>
  <c r="AD131" i="13"/>
  <c r="F76" i="17"/>
  <c r="J86" i="17"/>
  <c r="V76" i="17"/>
  <c r="G77" i="11"/>
  <c r="J77" i="11"/>
  <c r="L77" i="11"/>
  <c r="E77" i="11"/>
  <c r="K77" i="11"/>
  <c r="I77" i="11"/>
  <c r="H77" i="11"/>
  <c r="N77" i="11"/>
  <c r="P77" i="11"/>
  <c r="F77" i="11"/>
  <c r="M77" i="11"/>
  <c r="Q77" i="11"/>
  <c r="O77" i="11"/>
  <c r="R76" i="17"/>
  <c r="J76" i="17"/>
  <c r="H58" i="17"/>
  <c r="P58" i="17"/>
  <c r="V58" i="17"/>
  <c r="R58" i="17"/>
  <c r="N58" i="17"/>
  <c r="J58" i="17"/>
  <c r="F58" i="17"/>
  <c r="N73" i="17"/>
  <c r="D54" i="17"/>
  <c r="R73" i="17"/>
  <c r="V86" i="17"/>
  <c r="D53" i="17"/>
  <c r="V73" i="17"/>
  <c r="V179" i="13"/>
  <c r="G96" i="13"/>
  <c r="AD96" i="13" s="1"/>
  <c r="F73" i="17"/>
  <c r="N70" i="17"/>
  <c r="R70" i="17"/>
  <c r="F69" i="17"/>
  <c r="F60" i="17"/>
  <c r="J237" i="11"/>
  <c r="J236" i="11"/>
  <c r="K233" i="11"/>
  <c r="K232" i="11"/>
  <c r="P17" i="1"/>
  <c r="P30" i="17"/>
  <c r="Q29" i="17"/>
  <c r="P29" i="17"/>
  <c r="Q27" i="17"/>
  <c r="P27" i="17"/>
  <c r="AK36" i="17"/>
  <c r="AI37" i="17"/>
  <c r="AI36" i="17" s="1"/>
  <c r="AI43" i="17"/>
  <c r="AI42" i="17"/>
  <c r="AI39" i="17"/>
  <c r="AI38" i="17"/>
  <c r="AL39" i="17" s="1"/>
  <c r="AI41" i="17"/>
  <c r="AI40" i="17" s="1"/>
  <c r="J23" i="17"/>
  <c r="J20" i="17"/>
  <c r="J22" i="17"/>
  <c r="J21" i="17"/>
  <c r="J13" i="17"/>
  <c r="V148" i="11"/>
  <c r="P20" i="11"/>
  <c r="P21" i="11"/>
  <c r="P17" i="11"/>
  <c r="P16" i="11"/>
  <c r="P25" i="11"/>
  <c r="M18" i="11"/>
  <c r="E11" i="11"/>
  <c r="AD94" i="13"/>
  <c r="G93" i="13"/>
  <c r="AD93" i="13" s="1"/>
  <c r="P109" i="13"/>
  <c r="E230" i="13" s="1"/>
  <c r="P106" i="13"/>
  <c r="P105" i="13"/>
  <c r="P110" i="13"/>
  <c r="E228" i="13" s="1"/>
  <c r="O147" i="13"/>
  <c r="M107" i="13"/>
  <c r="O160" i="13"/>
  <c r="O152" i="13"/>
  <c r="O146" i="13"/>
  <c r="P73" i="16"/>
  <c r="T58" i="17" a="1"/>
  <c r="E12" i="11" a="1"/>
  <c r="L28" i="17"/>
  <c r="R60" i="17" a="1"/>
  <c r="J18" i="11" a="1"/>
  <c r="H236" i="13" a="1"/>
  <c r="L27" i="17"/>
  <c r="U114" i="11" a="1"/>
  <c r="V60" i="17" a="1"/>
  <c r="K22" i="17"/>
  <c r="J74" i="16" a="1"/>
  <c r="I93" i="13"/>
  <c r="U146" i="13" a="1"/>
  <c r="AN39" i="17"/>
  <c r="W148" i="11" a="1"/>
  <c r="L29" i="17"/>
  <c r="U115" i="11" a="1"/>
  <c r="J107" i="13" a="1"/>
  <c r="T69" i="17" a="1"/>
  <c r="K20" i="17"/>
  <c r="S28" i="17"/>
  <c r="U147" i="13" a="1"/>
  <c r="I96" i="13"/>
  <c r="P70" i="17" a="1"/>
  <c r="U152" i="13" a="1"/>
  <c r="L70" i="17" a="1"/>
  <c r="P69" i="17" a="1"/>
  <c r="I7" i="11" a="1"/>
  <c r="J60" i="17" a="1"/>
  <c r="I92" i="13"/>
  <c r="S30" i="17"/>
  <c r="N60" i="17" a="1"/>
  <c r="X70" i="17" a="1"/>
  <c r="L58" i="17" a="1"/>
  <c r="X58" i="17" a="1"/>
  <c r="S31" i="17"/>
  <c r="W179" i="13" a="1"/>
  <c r="K21" i="17"/>
  <c r="K23" i="17"/>
  <c r="T70" i="17" a="1"/>
  <c r="P28" i="1" a="1"/>
  <c r="P28" i="1" l="1"/>
  <c r="T58" i="17"/>
  <c r="Q30" i="17"/>
  <c r="R30" i="17" s="1"/>
  <c r="T30" i="17" s="1"/>
  <c r="X58" i="17"/>
  <c r="Q28" i="17"/>
  <c r="L58" i="17"/>
  <c r="O162" i="13"/>
  <c r="P28" i="17"/>
  <c r="P31" i="17"/>
  <c r="Q31" i="17"/>
  <c r="X70" i="17"/>
  <c r="I62" i="11"/>
  <c r="AD66" i="11" s="1"/>
  <c r="AD67" i="11" s="1"/>
  <c r="D62" i="11" s="1"/>
  <c r="I48" i="11"/>
  <c r="AD52" i="11" s="1"/>
  <c r="I41" i="11"/>
  <c r="AD45" i="11" s="1"/>
  <c r="AD46" i="11" s="1"/>
  <c r="D41" i="11" s="1"/>
  <c r="H236" i="13"/>
  <c r="O169" i="13"/>
  <c r="H252" i="11"/>
  <c r="R27" i="17"/>
  <c r="T27" i="17" s="1"/>
  <c r="W179" i="13"/>
  <c r="P69" i="17"/>
  <c r="P70" i="17"/>
  <c r="N60" i="17"/>
  <c r="L70" i="17"/>
  <c r="R60" i="17"/>
  <c r="J60" i="17"/>
  <c r="V60" i="17"/>
  <c r="T69" i="17"/>
  <c r="T70" i="17"/>
  <c r="AK39" i="17"/>
  <c r="AK40" i="17"/>
  <c r="AL40" i="17" s="1"/>
  <c r="F70" i="17"/>
  <c r="AK38" i="17"/>
  <c r="AK37" i="17"/>
  <c r="R29" i="17"/>
  <c r="T29" i="17" s="1"/>
  <c r="AN25" i="11"/>
  <c r="AM25" i="11"/>
  <c r="AR26" i="11" s="1"/>
  <c r="AN26" i="11"/>
  <c r="W148" i="11"/>
  <c r="U114" i="11"/>
  <c r="J18" i="11"/>
  <c r="U115" i="11"/>
  <c r="E12" i="11"/>
  <c r="I7" i="11"/>
  <c r="I208" i="11" s="1"/>
  <c r="M111" i="11"/>
  <c r="L175" i="11"/>
  <c r="AD115" i="11"/>
  <c r="L147" i="11"/>
  <c r="AD92" i="13"/>
  <c r="G98" i="13" s="1"/>
  <c r="U146" i="13"/>
  <c r="U147" i="13"/>
  <c r="U152" i="13"/>
  <c r="J107" i="13"/>
  <c r="M143" i="13"/>
  <c r="J178" i="13"/>
  <c r="O150" i="13"/>
  <c r="AD147" i="13"/>
  <c r="L178" i="13"/>
  <c r="J74" i="16"/>
  <c r="U150" i="13" a="1"/>
  <c r="D44" i="11" a="1"/>
  <c r="P18" i="11" a="1"/>
  <c r="N71" i="17" a="1"/>
  <c r="I98" i="13"/>
  <c r="L30" i="17"/>
  <c r="R71" i="17" a="1"/>
  <c r="D65" i="11" a="1"/>
  <c r="P74" i="16" a="1"/>
  <c r="F71" i="17" a="1"/>
  <c r="AN40" i="17"/>
  <c r="L69" i="17" a="1"/>
  <c r="X69" i="17" a="1"/>
  <c r="P107" i="13" a="1"/>
  <c r="L179" i="13" a="1"/>
  <c r="U162" i="13" a="1"/>
  <c r="H69" i="17" a="1"/>
  <c r="U118" i="11" a="1"/>
  <c r="L148" i="11" a="1"/>
  <c r="E216" i="11" a="1"/>
  <c r="H70" i="17" a="1"/>
  <c r="R28" i="17" l="1"/>
  <c r="T28" i="17" s="1"/>
  <c r="L69" i="17"/>
  <c r="R31" i="17"/>
  <c r="T31" i="17" s="1"/>
  <c r="V31" i="17" s="1"/>
  <c r="U162" i="13"/>
  <c r="H237" i="13" s="1"/>
  <c r="X69" i="17"/>
  <c r="D69" i="11"/>
  <c r="D48" i="11"/>
  <c r="F37" i="11" s="1"/>
  <c r="Q154" i="11" s="1"/>
  <c r="D65" i="11"/>
  <c r="D44" i="11"/>
  <c r="F58" i="11"/>
  <c r="O121" i="11" s="1"/>
  <c r="T191" i="13"/>
  <c r="AR27" i="11"/>
  <c r="AR28" i="11" s="1"/>
  <c r="AR29" i="11" s="1"/>
  <c r="H69" i="17"/>
  <c r="N71" i="17"/>
  <c r="H70" i="17"/>
  <c r="F71" i="17"/>
  <c r="R71" i="17"/>
  <c r="V29" i="17"/>
  <c r="V27" i="17"/>
  <c r="V30" i="17"/>
  <c r="E216" i="11"/>
  <c r="U30" i="17"/>
  <c r="U27" i="17"/>
  <c r="U29" i="17"/>
  <c r="L148" i="11"/>
  <c r="O150" i="11" s="1"/>
  <c r="U118" i="11"/>
  <c r="P18" i="11"/>
  <c r="Q98" i="13"/>
  <c r="P107" i="13"/>
  <c r="L179" i="13"/>
  <c r="O181" i="13" s="1"/>
  <c r="U150" i="13"/>
  <c r="E232" i="13" s="1"/>
  <c r="P74" i="16"/>
  <c r="N72" i="17" a="1"/>
  <c r="U181" i="13" a="1"/>
  <c r="E238" i="11" a="1"/>
  <c r="N74" i="17" a="1"/>
  <c r="AB30" i="17" a="1"/>
  <c r="R74" i="17" a="1"/>
  <c r="V87" i="17" a="1"/>
  <c r="J71" i="17" a="1"/>
  <c r="R87" i="17" a="1"/>
  <c r="R72" i="17" a="1"/>
  <c r="S98" i="13"/>
  <c r="V71" i="17" a="1"/>
  <c r="AB29" i="17" a="1"/>
  <c r="K58" i="11" a="1"/>
  <c r="U150" i="11" a="1"/>
  <c r="F87" i="17" a="1"/>
  <c r="L31" i="17"/>
  <c r="AB27" i="17" a="1"/>
  <c r="I154" i="11" a="1"/>
  <c r="K37" i="11" a="1"/>
  <c r="AB31" i="17" a="1"/>
  <c r="D50" i="11" a="1"/>
  <c r="V74" i="17" a="1"/>
  <c r="E239" i="11" a="1"/>
  <c r="F72" i="17" a="1"/>
  <c r="F74" i="17" a="1"/>
  <c r="N87" i="17" a="1"/>
  <c r="J75" i="16" a="1"/>
  <c r="S28" i="11"/>
  <c r="U31" i="17" l="1"/>
  <c r="U28" i="17"/>
  <c r="V71" i="17"/>
  <c r="E239" i="11"/>
  <c r="I154" i="11"/>
  <c r="Q166" i="11"/>
  <c r="H251" i="11" s="1"/>
  <c r="K58" i="11"/>
  <c r="I58" i="11"/>
  <c r="I81" i="11" s="1"/>
  <c r="D50" i="11"/>
  <c r="K37" i="11"/>
  <c r="AR30" i="11"/>
  <c r="P28" i="11"/>
  <c r="M26" i="11" s="1"/>
  <c r="E261" i="13"/>
  <c r="Q100" i="13"/>
  <c r="M198" i="13" s="1"/>
  <c r="F72" i="17"/>
  <c r="R72" i="17"/>
  <c r="N72" i="17"/>
  <c r="N87" i="17"/>
  <c r="N74" i="17"/>
  <c r="AB29" i="17"/>
  <c r="V87" i="17"/>
  <c r="V74" i="17"/>
  <c r="AB31" i="17"/>
  <c r="J71" i="17"/>
  <c r="R87" i="17"/>
  <c r="R74" i="17"/>
  <c r="AB30" i="17"/>
  <c r="F74" i="17"/>
  <c r="F87" i="17"/>
  <c r="AB27" i="17"/>
  <c r="W30" i="17"/>
  <c r="V28" i="17"/>
  <c r="E238" i="11"/>
  <c r="W27" i="17"/>
  <c r="V160" i="11"/>
  <c r="W28" i="17"/>
  <c r="W29" i="17"/>
  <c r="W31" i="17"/>
  <c r="U150" i="11"/>
  <c r="U181" i="13"/>
  <c r="J75" i="16"/>
  <c r="J76" i="16"/>
  <c r="AS30" i="11" a="1"/>
  <c r="AB28" i="17" a="1"/>
  <c r="E234" i="11" a="1"/>
  <c r="V161" i="11" a="1"/>
  <c r="H219" i="11" a="1"/>
  <c r="AC30" i="17" a="1"/>
  <c r="J87" i="17" a="1"/>
  <c r="X31" i="17" a="1"/>
  <c r="N75" i="17" a="1"/>
  <c r="AC28" i="17" a="1"/>
  <c r="J26" i="11" a="1"/>
  <c r="J74" i="17" a="1"/>
  <c r="X28" i="17" a="1"/>
  <c r="F75" i="17" a="1"/>
  <c r="X27" i="17" a="1"/>
  <c r="V72" i="17" a="1"/>
  <c r="J72" i="17" a="1"/>
  <c r="P198" i="13"/>
  <c r="R75" i="17" a="1"/>
  <c r="X29" i="17" a="1"/>
  <c r="U121" i="11" a="1"/>
  <c r="J77" i="16" a="1"/>
  <c r="X30" i="17" a="1"/>
  <c r="V75" i="17" a="1"/>
  <c r="AC31" i="17" a="1"/>
  <c r="S100" i="13"/>
  <c r="J75" i="17" a="1"/>
  <c r="X160" i="11"/>
  <c r="P248" i="11" a="1"/>
  <c r="P75" i="16" a="1"/>
  <c r="AC29" i="17" a="1"/>
  <c r="AC27" i="17" a="1"/>
  <c r="V72" i="17" l="1"/>
  <c r="J72" i="17"/>
  <c r="E281" i="13"/>
  <c r="H219" i="11"/>
  <c r="U121" i="11"/>
  <c r="AD74" i="11"/>
  <c r="AD75" i="11" s="1"/>
  <c r="AD78" i="11" s="1" a="1"/>
  <c r="AD78" i="11" s="1"/>
  <c r="K83" i="11" s="1"/>
  <c r="AS30" i="11"/>
  <c r="E262" i="13"/>
  <c r="D224" i="13"/>
  <c r="X27" i="17"/>
  <c r="AC28" i="17"/>
  <c r="X28" i="17"/>
  <c r="AC27" i="17"/>
  <c r="AC31" i="17"/>
  <c r="X31" i="17"/>
  <c r="AC30" i="17"/>
  <c r="X30" i="17"/>
  <c r="AC29" i="17"/>
  <c r="X29" i="17"/>
  <c r="J95" i="17"/>
  <c r="V95" i="17"/>
  <c r="R95" i="17"/>
  <c r="N95" i="17"/>
  <c r="F75" i="17"/>
  <c r="J74" i="17"/>
  <c r="J87" i="17"/>
  <c r="AB28" i="17"/>
  <c r="V75" i="17"/>
  <c r="R75" i="17"/>
  <c r="J75" i="17"/>
  <c r="N75" i="17"/>
  <c r="V161" i="11"/>
  <c r="F95" i="17"/>
  <c r="E234" i="11"/>
  <c r="P248" i="11"/>
  <c r="J26" i="11"/>
  <c r="E204" i="13"/>
  <c r="P75" i="16"/>
  <c r="J77" i="16"/>
  <c r="P77" i="16" a="1"/>
  <c r="F96" i="17" a="1"/>
  <c r="P29" i="11" a="1"/>
  <c r="X161" i="11"/>
  <c r="P249" i="11" a="1"/>
  <c r="AE77" i="11" l="1" a="1"/>
  <c r="AE77" i="11" s="1"/>
  <c r="N81" i="11" s="1"/>
  <c r="AE78" i="11" a="1"/>
  <c r="AE78" i="11" s="1"/>
  <c r="N83" i="11" s="1"/>
  <c r="AD77" i="11" a="1"/>
  <c r="AD77" i="11" s="1"/>
  <c r="K81" i="11" s="1"/>
  <c r="F96" i="17"/>
  <c r="P249" i="11"/>
  <c r="P29" i="11"/>
  <c r="H253" i="11"/>
  <c r="P77" i="16"/>
  <c r="I166" i="11" a="1"/>
  <c r="AD79" i="11" l="1"/>
  <c r="AD80" i="11" s="1"/>
  <c r="D81" i="11" s="1"/>
  <c r="I166" i="11"/>
  <c r="L177" i="11"/>
  <c r="L176" i="11"/>
  <c r="D84" i="11" a="1"/>
  <c r="E246" i="11" a="1"/>
  <c r="T176" i="11" a="1"/>
  <c r="P78" i="16" a="1"/>
  <c r="H255" i="11" a="1"/>
  <c r="D84" i="11" l="1"/>
  <c r="T58" i="11"/>
  <c r="E246" i="11"/>
  <c r="H255" i="11"/>
  <c r="T176" i="11"/>
  <c r="P78" i="16"/>
  <c r="J79" i="16"/>
  <c r="J80" i="16"/>
  <c r="E195" i="16" s="1"/>
  <c r="M81" i="16"/>
  <c r="S83" i="16" a="1"/>
  <c r="P261" i="11"/>
  <c r="J81" i="16" a="1"/>
  <c r="E240" i="11" a="1"/>
  <c r="E240" i="11" l="1"/>
  <c r="O129" i="11"/>
  <c r="AD133" i="11" s="1"/>
  <c r="J81" i="16"/>
  <c r="S83" i="16"/>
  <c r="P84" i="16" a="1"/>
  <c r="AE133" i="11" a="1"/>
  <c r="H221" i="11" a="1"/>
  <c r="H221" i="11" l="1"/>
  <c r="AE133" i="11"/>
  <c r="AD134" i="11" s="1"/>
  <c r="O131" i="11" s="1"/>
  <c r="P84" i="16"/>
  <c r="M85" i="16"/>
  <c r="S87" i="16" a="1"/>
  <c r="U131" i="11" a="1"/>
  <c r="H222" i="11" a="1"/>
  <c r="J85" i="16" a="1"/>
  <c r="H222" i="11" l="1"/>
  <c r="U131" i="11"/>
  <c r="O138" i="11"/>
  <c r="J85" i="16"/>
  <c r="S87" i="16"/>
  <c r="P88" i="16" a="1"/>
  <c r="P88" i="16" l="1"/>
  <c r="J228" i="16" a="1"/>
  <c r="J228" i="16" l="1"/>
  <c r="O114" i="16"/>
  <c r="M111" i="16" s="1"/>
  <c r="O115" i="16"/>
  <c r="AD115" i="16" s="1"/>
  <c r="AD116" i="16"/>
  <c r="AD117" i="16" s="1"/>
  <c r="O116" i="16" s="1"/>
  <c r="H229" i="16" a="1"/>
  <c r="H199" i="16" a="1"/>
  <c r="U116" i="16" a="1"/>
  <c r="U115" i="16" a="1"/>
  <c r="U114" i="16" a="1"/>
  <c r="H229" i="16" l="1"/>
  <c r="H199" i="16"/>
  <c r="U114" i="16"/>
  <c r="U115" i="16"/>
  <c r="O118" i="16"/>
  <c r="U116" i="16"/>
  <c r="O120" i="16"/>
  <c r="O124" i="16"/>
  <c r="O125" i="16"/>
  <c r="O128" i="16"/>
  <c r="O129" i="16"/>
  <c r="AD129" i="16"/>
  <c r="E198" i="16" a="1"/>
  <c r="U118" i="16" a="1"/>
  <c r="AD131" i="16" a="1"/>
  <c r="U120" i="16" a="1"/>
  <c r="H202" i="16" a="1"/>
  <c r="AD131" i="16" l="1"/>
  <c r="AD126" i="16"/>
  <c r="H202" i="16"/>
  <c r="E198" i="16"/>
  <c r="U120" i="16"/>
  <c r="U118" i="16"/>
  <c r="AD130" i="16"/>
  <c r="O130" i="16" l="1"/>
  <c r="H203" i="16" a="1"/>
  <c r="U130" i="16" a="1"/>
  <c r="H203" i="16" l="1"/>
  <c r="U130" i="16"/>
  <c r="O137" i="16"/>
  <c r="J141" i="16"/>
  <c r="J146" i="16"/>
  <c r="L146" i="16"/>
  <c r="L147" i="16" a="1"/>
  <c r="L147" i="16" l="1"/>
  <c r="R147" i="16" a="1"/>
  <c r="O147" i="16" a="1"/>
  <c r="R147" i="16" l="1"/>
  <c r="O147" i="16"/>
  <c r="I171" i="16"/>
  <c r="O149" i="16" l="1"/>
  <c r="V147" i="16"/>
  <c r="R174" i="16"/>
  <c r="W147" i="16" a="1"/>
  <c r="U149" i="16" a="1"/>
  <c r="U149" i="16" l="1"/>
  <c r="W147" i="16"/>
  <c r="C40" i="16"/>
  <c r="F19" i="16"/>
  <c r="E35" i="16" s="1"/>
  <c r="E215" i="16" s="1"/>
  <c r="F5" i="15"/>
  <c r="F4" i="15"/>
  <c r="F9" i="16"/>
  <c r="G166" i="1" a="1"/>
  <c r="AD12" i="16" a="1"/>
  <c r="F21" i="16"/>
  <c r="F17" i="16"/>
  <c r="G165" i="1" a="1"/>
  <c r="AD14" i="16" a="1"/>
  <c r="Q48" i="21" l="1"/>
  <c r="L48" i="21"/>
  <c r="H48" i="21"/>
  <c r="AB63" i="21"/>
  <c r="AB65" i="21" s="1"/>
  <c r="F58" i="21" s="1"/>
  <c r="H54" i="21"/>
  <c r="F63" i="21" s="1"/>
  <c r="F27" i="13"/>
  <c r="F25" i="13" s="1"/>
  <c r="L54" i="21"/>
  <c r="Q54" i="21"/>
  <c r="F72" i="21" s="1"/>
  <c r="AC62" i="21"/>
  <c r="AC63" i="21" s="1"/>
  <c r="AC65" i="21" s="1"/>
  <c r="J58" i="21" s="1"/>
  <c r="P33" i="13"/>
  <c r="AG27" i="17"/>
  <c r="AG28" i="17"/>
  <c r="F77" i="17"/>
  <c r="AJ27" i="17"/>
  <c r="AG29" i="17"/>
  <c r="AG31" i="17"/>
  <c r="AG30" i="17"/>
  <c r="P252" i="11"/>
  <c r="L252" i="11"/>
  <c r="AM29" i="17"/>
  <c r="AM27" i="17"/>
  <c r="P251" i="11"/>
  <c r="AM28" i="17"/>
  <c r="L251" i="11"/>
  <c r="AM31" i="17"/>
  <c r="AM30" i="17"/>
  <c r="L253" i="11"/>
  <c r="P253" i="11"/>
  <c r="AD54" i="16"/>
  <c r="AD53" i="16"/>
  <c r="E214" i="16"/>
  <c r="N78" i="17"/>
  <c r="R78" i="17"/>
  <c r="S78" i="17"/>
  <c r="G77" i="17"/>
  <c r="R77" i="17"/>
  <c r="N77" i="17"/>
  <c r="K77" i="17"/>
  <c r="S77" i="17"/>
  <c r="G78" i="17"/>
  <c r="W78" i="17"/>
  <c r="W77" i="17"/>
  <c r="V77" i="17"/>
  <c r="V78" i="17"/>
  <c r="K78" i="17"/>
  <c r="O77" i="17"/>
  <c r="F78" i="17"/>
  <c r="J77" i="17"/>
  <c r="O78" i="17"/>
  <c r="J78" i="17"/>
  <c r="R79" i="17"/>
  <c r="V79" i="17"/>
  <c r="F79" i="17"/>
  <c r="J79" i="17"/>
  <c r="N79" i="17"/>
  <c r="AD201" i="11"/>
  <c r="AD202" i="11" s="1"/>
  <c r="G27" i="17"/>
  <c r="I27" i="17"/>
  <c r="J27" i="17" s="1"/>
  <c r="G28" i="17"/>
  <c r="G31" i="17"/>
  <c r="I29" i="17"/>
  <c r="J29" i="17" s="1"/>
  <c r="U167" i="11"/>
  <c r="G30" i="17"/>
  <c r="I28" i="17"/>
  <c r="J28" i="17" s="1"/>
  <c r="I31" i="17"/>
  <c r="J31" i="17" s="1"/>
  <c r="I30" i="17"/>
  <c r="J30" i="17" s="1"/>
  <c r="G29" i="17"/>
  <c r="U155" i="11"/>
  <c r="R118" i="11"/>
  <c r="AD121" i="11" s="1"/>
  <c r="AD125" i="11"/>
  <c r="AD126" i="11" s="1"/>
  <c r="AD128" i="11" s="1"/>
  <c r="O127" i="11" s="1"/>
  <c r="U154" i="11"/>
  <c r="U166" i="11"/>
  <c r="U156" i="11"/>
  <c r="H243" i="11" s="1"/>
  <c r="U168" i="11"/>
  <c r="AD173" i="1"/>
  <c r="AD174" i="1" s="1"/>
  <c r="R150" i="13"/>
  <c r="AD152" i="13" s="1"/>
  <c r="O153" i="13" s="1"/>
  <c r="AD156" i="13"/>
  <c r="AD157" i="13" s="1"/>
  <c r="AD159" i="13" s="1"/>
  <c r="O158" i="13" s="1"/>
  <c r="R118" i="16"/>
  <c r="AD120" i="16" s="1"/>
  <c r="O121" i="16" s="1"/>
  <c r="AD124" i="16"/>
  <c r="AD125" i="16" s="1"/>
  <c r="AD127" i="16" s="1"/>
  <c r="O126" i="16" s="1"/>
  <c r="E34" i="16"/>
  <c r="AD12" i="16"/>
  <c r="F11" i="16" s="1"/>
  <c r="AD14" i="16"/>
  <c r="F13" i="16" s="1"/>
  <c r="G165" i="1"/>
  <c r="G166" i="1"/>
  <c r="D181" i="1"/>
  <c r="J19" i="1"/>
  <c r="I25" i="13" a="1"/>
  <c r="J62" i="17" a="1"/>
  <c r="V62" i="17" a="1"/>
  <c r="U158" i="13" a="1"/>
  <c r="N62" i="17" a="1"/>
  <c r="O13" i="16" a="1"/>
  <c r="H218" i="11" a="1"/>
  <c r="G58" i="21"/>
  <c r="U126" i="16" a="1"/>
  <c r="K31" i="17"/>
  <c r="O11" i="16" a="1"/>
  <c r="K58" i="21"/>
  <c r="O9" i="16"/>
  <c r="U121" i="16" a="1"/>
  <c r="H200" i="16" a="1"/>
  <c r="O17" i="16" a="1"/>
  <c r="O21" i="16"/>
  <c r="F66" i="17" a="1"/>
  <c r="U127" i="11" a="1"/>
  <c r="R62" i="17" a="1"/>
  <c r="U153" i="13" a="1"/>
  <c r="H201" i="16" a="1"/>
  <c r="F62" i="17" a="1"/>
  <c r="F240" i="13" a="1"/>
  <c r="F64" i="21" l="1"/>
  <c r="AC58" i="21"/>
  <c r="F57" i="21" s="1"/>
  <c r="J63" i="21"/>
  <c r="F68" i="21" s="1"/>
  <c r="J64" i="21"/>
  <c r="AC59" i="21"/>
  <c r="J57" i="21" s="1"/>
  <c r="J60" i="21" s="1"/>
  <c r="I25" i="13"/>
  <c r="AH31" i="17"/>
  <c r="AI31" i="17"/>
  <c r="AN28" i="17"/>
  <c r="AU28" i="17"/>
  <c r="AI29" i="17"/>
  <c r="AH29" i="17"/>
  <c r="H254" i="11"/>
  <c r="AC254" i="11" s="1"/>
  <c r="AD254" i="11" s="1"/>
  <c r="AK27" i="17"/>
  <c r="AL27" i="17"/>
  <c r="H250" i="13"/>
  <c r="E38" i="13"/>
  <c r="L38" i="13" s="1"/>
  <c r="E68" i="13"/>
  <c r="AN27" i="17"/>
  <c r="AU27" i="17"/>
  <c r="AN29" i="17"/>
  <c r="AU29" i="17"/>
  <c r="AI28" i="17"/>
  <c r="AH28" i="17"/>
  <c r="AH27" i="17"/>
  <c r="AI27" i="17"/>
  <c r="AN30" i="17"/>
  <c r="AU30" i="17"/>
  <c r="H251" i="13"/>
  <c r="E39" i="13"/>
  <c r="AN31" i="17"/>
  <c r="AU31" i="17"/>
  <c r="AH30" i="17"/>
  <c r="AI30" i="17"/>
  <c r="F240" i="13"/>
  <c r="AD55" i="16"/>
  <c r="O13" i="16"/>
  <c r="E212" i="16" s="1"/>
  <c r="O11" i="16"/>
  <c r="E211" i="16" s="1"/>
  <c r="E44" i="16"/>
  <c r="F28" i="16"/>
  <c r="F26" i="16" s="1"/>
  <c r="E69" i="16" s="1"/>
  <c r="E213" i="16"/>
  <c r="F219" i="16"/>
  <c r="R62" i="17"/>
  <c r="F62" i="17"/>
  <c r="V62" i="17"/>
  <c r="J62" i="17"/>
  <c r="N62" i="17"/>
  <c r="F81" i="17"/>
  <c r="N81" i="17"/>
  <c r="R81" i="17"/>
  <c r="V81" i="17"/>
  <c r="J81" i="17"/>
  <c r="H218" i="11"/>
  <c r="H242" i="11"/>
  <c r="H241" i="11"/>
  <c r="J242" i="11"/>
  <c r="J241" i="11"/>
  <c r="F66" i="17"/>
  <c r="H201" i="16"/>
  <c r="H200" i="16"/>
  <c r="U127" i="11"/>
  <c r="AF121" i="11"/>
  <c r="O122" i="11" s="1"/>
  <c r="U126" i="16"/>
  <c r="U121" i="16"/>
  <c r="U158" i="13"/>
  <c r="H234" i="13" s="1"/>
  <c r="U153" i="13"/>
  <c r="H235" i="13" s="1"/>
  <c r="O139" i="16"/>
  <c r="S111" i="16"/>
  <c r="O133" i="16"/>
  <c r="O135" i="16"/>
  <c r="S143" i="13"/>
  <c r="O171" i="13"/>
  <c r="O165" i="13"/>
  <c r="O167" i="13"/>
  <c r="K34" i="16"/>
  <c r="P39" i="16" s="1"/>
  <c r="M218" i="16" s="1"/>
  <c r="O17" i="16"/>
  <c r="J64" i="17" a="1"/>
  <c r="F241" i="13" a="1"/>
  <c r="M31" i="17"/>
  <c r="F205" i="16" a="1"/>
  <c r="K28" i="17"/>
  <c r="U171" i="13" a="1"/>
  <c r="V111" i="16" a="1"/>
  <c r="N66" i="17" a="1"/>
  <c r="M27" i="17"/>
  <c r="R66" i="17" a="1"/>
  <c r="K27" i="17"/>
  <c r="P44" i="16"/>
  <c r="K44" i="16"/>
  <c r="F206" i="16" a="1"/>
  <c r="V64" i="17" a="1"/>
  <c r="K57" i="21"/>
  <c r="F65" i="17" a="1"/>
  <c r="K29" i="17"/>
  <c r="M28" i="17"/>
  <c r="G57" i="21"/>
  <c r="K30" i="17"/>
  <c r="F207" i="16" a="1"/>
  <c r="H68" i="13" a="1"/>
  <c r="V66" i="17" a="1"/>
  <c r="R64" i="17" a="1"/>
  <c r="F239" i="13" a="1"/>
  <c r="H220" i="11" a="1"/>
  <c r="M29" i="17"/>
  <c r="J65" i="17" a="1"/>
  <c r="J66" i="17" a="1"/>
  <c r="M30" i="17"/>
  <c r="AD60" i="16" a="1"/>
  <c r="F64" i="17" a="1"/>
  <c r="N64" i="17" a="1"/>
  <c r="F224" i="11" a="1"/>
  <c r="V65" i="17" a="1"/>
  <c r="N65" i="17" a="1"/>
  <c r="U139" i="16" a="1"/>
  <c r="V143" i="13" a="1"/>
  <c r="R65" i="17" a="1"/>
  <c r="U122" i="11" a="1"/>
  <c r="I26" i="16" a="1"/>
  <c r="F82" i="17" a="1"/>
  <c r="V82" i="17" a="1"/>
  <c r="N82" i="17" a="1"/>
  <c r="J82" i="17" a="1"/>
  <c r="R82" i="17" a="1"/>
  <c r="F69" i="21" l="1"/>
  <c r="F59" i="21"/>
  <c r="F60" i="21"/>
  <c r="H68" i="13"/>
  <c r="AD57" i="13"/>
  <c r="AD58" i="13" s="1"/>
  <c r="H252" i="13"/>
  <c r="X38" i="13"/>
  <c r="H276" i="13"/>
  <c r="H275" i="13"/>
  <c r="J59" i="21"/>
  <c r="AO29" i="17"/>
  <c r="AQ29" i="17" s="1"/>
  <c r="AP29" i="17" s="1"/>
  <c r="AR29" i="17" s="1"/>
  <c r="AS29" i="17" s="1"/>
  <c r="AV29" i="17" s="1"/>
  <c r="AO30" i="17"/>
  <c r="AQ30" i="17" s="1"/>
  <c r="AP30" i="17" s="1"/>
  <c r="AR30" i="17" s="1"/>
  <c r="AS30" i="17" s="1"/>
  <c r="AV30" i="17" s="1"/>
  <c r="AO28" i="17"/>
  <c r="AQ28" i="17" s="1"/>
  <c r="AP28" i="17" s="1"/>
  <c r="AR28" i="17" s="1"/>
  <c r="AS28" i="17" s="1"/>
  <c r="AV28" i="17" s="1"/>
  <c r="AO31" i="17"/>
  <c r="AQ31" i="17" s="1"/>
  <c r="AP31" i="17" s="1"/>
  <c r="AR31" i="17" s="1"/>
  <c r="AS31" i="17" s="1"/>
  <c r="AV31" i="17" s="1"/>
  <c r="AO27" i="17"/>
  <c r="AQ27" i="17" s="1"/>
  <c r="AP27" i="17" s="1"/>
  <c r="AR27" i="17" s="1"/>
  <c r="AS27" i="17" s="1"/>
  <c r="AV27" i="17" s="1"/>
  <c r="F239" i="13"/>
  <c r="F241" i="13"/>
  <c r="F224" i="11"/>
  <c r="O134" i="11"/>
  <c r="O136" i="11"/>
  <c r="O140" i="11"/>
  <c r="H54" i="16"/>
  <c r="AD60" i="16"/>
  <c r="AD57" i="16"/>
  <c r="I26" i="16"/>
  <c r="H216" i="16" s="1"/>
  <c r="H245" i="11"/>
  <c r="J82" i="17"/>
  <c r="F82" i="17"/>
  <c r="V82" i="17"/>
  <c r="R82" i="17"/>
  <c r="N82" i="17"/>
  <c r="E39" i="16"/>
  <c r="R66" i="17"/>
  <c r="R64" i="17"/>
  <c r="J66" i="17"/>
  <c r="F207" i="16"/>
  <c r="F64" i="17"/>
  <c r="V64" i="17"/>
  <c r="F65" i="17"/>
  <c r="J64" i="17"/>
  <c r="V65" i="17"/>
  <c r="N66" i="17"/>
  <c r="N64" i="17"/>
  <c r="J65" i="17"/>
  <c r="V66" i="17"/>
  <c r="R65" i="17"/>
  <c r="N65" i="17"/>
  <c r="F205" i="16"/>
  <c r="F206" i="16"/>
  <c r="P34" i="16"/>
  <c r="H220" i="11"/>
  <c r="U122" i="11"/>
  <c r="S111" i="11"/>
  <c r="V111" i="16"/>
  <c r="U139" i="16"/>
  <c r="U171" i="13"/>
  <c r="V143" i="13"/>
  <c r="F143" i="13"/>
  <c r="J145" i="13"/>
  <c r="F111" i="16"/>
  <c r="J113" i="16"/>
  <c r="O79" i="10"/>
  <c r="O78" i="10"/>
  <c r="AD43" i="10"/>
  <c r="O83" i="10"/>
  <c r="AD84" i="10" s="1"/>
  <c r="J18" i="10"/>
  <c r="M32" i="10" s="1"/>
  <c r="J15" i="10"/>
  <c r="AD67" i="10" s="1"/>
  <c r="AD68" i="10" s="1"/>
  <c r="O68" i="10" s="1"/>
  <c r="AD10" i="10"/>
  <c r="AD9" i="10"/>
  <c r="E7" i="10"/>
  <c r="D127" i="10" s="1"/>
  <c r="AD51" i="10" a="1"/>
  <c r="N99" i="10" a="1"/>
  <c r="J16" i="10" a="1"/>
  <c r="F61" i="21"/>
  <c r="AD25" i="10" a="1"/>
  <c r="AD29" i="10" a="1"/>
  <c r="N29" i="17"/>
  <c r="F83" i="17" a="1"/>
  <c r="E227" i="16" a="1"/>
  <c r="AD8" i="10" a="1"/>
  <c r="J17" i="10" a="1"/>
  <c r="AE41" i="10" a="1"/>
  <c r="AD11" i="10" a="1"/>
  <c r="N28" i="17"/>
  <c r="E238" i="13" a="1"/>
  <c r="N31" i="17"/>
  <c r="N27" i="17"/>
  <c r="F63" i="17" a="1"/>
  <c r="R63" i="17" a="1"/>
  <c r="N63" i="17" a="1"/>
  <c r="N30" i="17"/>
  <c r="H135" i="10" a="1"/>
  <c r="H269" i="13" a="1"/>
  <c r="J63" i="17" a="1"/>
  <c r="R99" i="10" a="1"/>
  <c r="H69" i="16" a="1"/>
  <c r="K59" i="21"/>
  <c r="V111" i="11" a="1"/>
  <c r="F225" i="11" a="1"/>
  <c r="N33" i="10" a="1"/>
  <c r="U140" i="11" a="1"/>
  <c r="E204" i="16" a="1"/>
  <c r="G59" i="21"/>
  <c r="AE40" i="10" a="1"/>
  <c r="J61" i="21"/>
  <c r="I156" i="11" a="1"/>
  <c r="AD49" i="10" a="1"/>
  <c r="V63" i="17" a="1"/>
  <c r="AD23" i="10" a="1"/>
  <c r="U68" i="10" a="1"/>
  <c r="F226" i="11" a="1"/>
  <c r="H60" i="21" l="1"/>
  <c r="F65" i="21" s="1"/>
  <c r="V59" i="13"/>
  <c r="V61" i="13"/>
  <c r="V57" i="13"/>
  <c r="H256" i="13" s="1"/>
  <c r="V55" i="13"/>
  <c r="H255" i="13" s="1"/>
  <c r="V53" i="13"/>
  <c r="H254" i="13" s="1"/>
  <c r="L60" i="21"/>
  <c r="E238" i="13"/>
  <c r="F83" i="17"/>
  <c r="H69" i="16"/>
  <c r="T159" i="16"/>
  <c r="H269" i="13"/>
  <c r="Q186" i="13"/>
  <c r="E227" i="16"/>
  <c r="F63" i="17"/>
  <c r="L39" i="16"/>
  <c r="H217" i="16"/>
  <c r="Z30" i="17"/>
  <c r="AA30" i="17" s="1"/>
  <c r="R85" i="17" s="1"/>
  <c r="F89" i="17"/>
  <c r="Z27" i="17"/>
  <c r="AA27" i="17" s="1"/>
  <c r="V89" i="17"/>
  <c r="V63" i="17"/>
  <c r="J89" i="17"/>
  <c r="F225" i="11"/>
  <c r="F226" i="11"/>
  <c r="R63" i="17"/>
  <c r="J63" i="17"/>
  <c r="N63" i="17"/>
  <c r="I156" i="11"/>
  <c r="H135" i="10"/>
  <c r="E204" i="16"/>
  <c r="Q154" i="16"/>
  <c r="V111" i="11"/>
  <c r="U140" i="11"/>
  <c r="Z28" i="17"/>
  <c r="J113" i="11"/>
  <c r="F111" i="11"/>
  <c r="E40" i="16"/>
  <c r="J17" i="10"/>
  <c r="AD80" i="10"/>
  <c r="R99" i="10"/>
  <c r="N99" i="10"/>
  <c r="U68" i="10"/>
  <c r="AD83" i="10"/>
  <c r="AE41" i="10"/>
  <c r="AD23" i="10"/>
  <c r="G22" i="10" s="1"/>
  <c r="AD51" i="10"/>
  <c r="AE40" i="10"/>
  <c r="AD11" i="10"/>
  <c r="J16" i="10"/>
  <c r="O67" i="10" s="1"/>
  <c r="N33" i="10"/>
  <c r="AD49" i="10"/>
  <c r="AD8" i="10"/>
  <c r="AD25" i="10"/>
  <c r="G24" i="10" s="1"/>
  <c r="AD29" i="10"/>
  <c r="N28" i="10" s="1"/>
  <c r="M59" i="10"/>
  <c r="J23" i="1"/>
  <c r="E186" i="1" s="1"/>
  <c r="M24" i="1"/>
  <c r="AD66" i="1"/>
  <c r="AD45" i="1"/>
  <c r="Y31" i="17"/>
  <c r="Y30" i="17"/>
  <c r="V96" i="17" a="1"/>
  <c r="K147" i="10" a="1"/>
  <c r="X59" i="13"/>
  <c r="J83" i="17" a="1"/>
  <c r="U43" i="10" a="1"/>
  <c r="Y29" i="17"/>
  <c r="R96" i="17" a="1"/>
  <c r="P52" i="10" a="1"/>
  <c r="V83" i="17" a="1"/>
  <c r="U67" i="10" a="1"/>
  <c r="Q28" i="10" a="1"/>
  <c r="P22" i="10" a="1"/>
  <c r="AD71" i="1" a="1"/>
  <c r="V90" i="17" a="1"/>
  <c r="I111" i="11"/>
  <c r="E223" i="11" a="1"/>
  <c r="S25" i="1" a="1"/>
  <c r="P16" i="10" a="1"/>
  <c r="AE86" i="10" a="1"/>
  <c r="U74" i="10" a="1"/>
  <c r="Y27" i="17"/>
  <c r="J96" i="17" a="1"/>
  <c r="N96" i="17" a="1"/>
  <c r="R120" i="1" a="1"/>
  <c r="R83" i="17" a="1"/>
  <c r="Y28" i="17"/>
  <c r="P24" i="10" a="1"/>
  <c r="K146" i="10" a="1"/>
  <c r="E144" i="10" a="1"/>
  <c r="H232" i="16" a="1"/>
  <c r="AD73" i="1" a="1"/>
  <c r="AD35" i="1" a="1"/>
  <c r="X61" i="13"/>
  <c r="J90" i="17" a="1"/>
  <c r="O120" i="1" a="1"/>
  <c r="Q33" i="10" a="1"/>
  <c r="U52" i="10" a="1"/>
  <c r="F90" i="17" a="1"/>
  <c r="AD33" i="1" a="1"/>
  <c r="N83" i="17" a="1"/>
  <c r="E145" i="10" a="1"/>
  <c r="U41" i="10" a="1"/>
  <c r="AE43" i="1" a="1"/>
  <c r="AE42" i="1" a="1"/>
  <c r="AD52" i="1" a="1"/>
  <c r="AD50" i="1" a="1"/>
  <c r="S28" i="1" a="1"/>
  <c r="J65" i="21" l="1"/>
  <c r="F70" i="21" s="1"/>
  <c r="J66" i="21"/>
  <c r="F66" i="21"/>
  <c r="H257" i="13"/>
  <c r="H258" i="13"/>
  <c r="E67" i="13"/>
  <c r="I185" i="13"/>
  <c r="X39" i="16"/>
  <c r="H218" i="16" s="1"/>
  <c r="AD58" i="16"/>
  <c r="AD59" i="16" s="1"/>
  <c r="V90" i="17"/>
  <c r="J90" i="17"/>
  <c r="F90" i="17"/>
  <c r="F84" i="17"/>
  <c r="R84" i="17"/>
  <c r="R83" i="17"/>
  <c r="N83" i="17"/>
  <c r="V83" i="17"/>
  <c r="R89" i="17"/>
  <c r="N89" i="17"/>
  <c r="Z29" i="17"/>
  <c r="Z31" i="17"/>
  <c r="R96" i="17"/>
  <c r="J83" i="17"/>
  <c r="V96" i="17"/>
  <c r="J96" i="17"/>
  <c r="N96" i="17"/>
  <c r="F85" i="17"/>
  <c r="AA28" i="17"/>
  <c r="J85" i="17" s="1"/>
  <c r="J84" i="17"/>
  <c r="E223" i="11"/>
  <c r="K147" i="10"/>
  <c r="K146" i="10"/>
  <c r="E145" i="10"/>
  <c r="E144" i="10"/>
  <c r="H232" i="16"/>
  <c r="I153" i="16"/>
  <c r="I158" i="11"/>
  <c r="E11" i="10"/>
  <c r="I41" i="10" s="1"/>
  <c r="AD44" i="10" s="1"/>
  <c r="P24" i="10"/>
  <c r="P22" i="10"/>
  <c r="U67" i="10"/>
  <c r="U74" i="10"/>
  <c r="AE86" i="10"/>
  <c r="AD87" i="10" s="1"/>
  <c r="O84" i="10" s="1"/>
  <c r="AD66" i="10"/>
  <c r="L98" i="10"/>
  <c r="V99" i="10"/>
  <c r="Q28" i="10"/>
  <c r="Q33" i="10"/>
  <c r="P16" i="10"/>
  <c r="U41" i="10"/>
  <c r="U52" i="10"/>
  <c r="P52" i="10"/>
  <c r="U43" i="10"/>
  <c r="F27" i="10"/>
  <c r="F32" i="10"/>
  <c r="AD42" i="10"/>
  <c r="R120" i="1"/>
  <c r="O120" i="1"/>
  <c r="S28" i="1"/>
  <c r="S25" i="1"/>
  <c r="AE43" i="1"/>
  <c r="AE42" i="1"/>
  <c r="AD71" i="1"/>
  <c r="AD73" i="1"/>
  <c r="H205" i="1" s="1"/>
  <c r="AD52" i="1"/>
  <c r="AD50" i="1"/>
  <c r="AD35" i="1"/>
  <c r="G34" i="1" s="1"/>
  <c r="AD33" i="1"/>
  <c r="G32" i="1" s="1"/>
  <c r="H209" i="1" a="1"/>
  <c r="I160" i="11" a="1"/>
  <c r="E152" i="10" a="1"/>
  <c r="M65" i="13"/>
  <c r="E12" i="10" a="1"/>
  <c r="E203" i="1" a="1"/>
  <c r="U84" i="10" a="1"/>
  <c r="I168" i="11" a="1"/>
  <c r="L99" i="10" a="1"/>
  <c r="G7" i="10" a="1"/>
  <c r="S63" i="1" a="1"/>
  <c r="P32" i="1" a="1"/>
  <c r="P34" i="1" a="1"/>
  <c r="R90" i="17" a="1"/>
  <c r="W99" i="10" a="1"/>
  <c r="N90" i="17" a="1"/>
  <c r="I155" i="16" a="1"/>
  <c r="E270" i="13"/>
  <c r="J27" i="10" a="1"/>
  <c r="E233" i="16"/>
  <c r="I187" i="13" a="1"/>
  <c r="S72" i="1" a="1"/>
  <c r="H67" i="13" a="1"/>
  <c r="E149" i="10" a="1"/>
  <c r="E202" i="1" a="1"/>
  <c r="S65" i="1" a="1"/>
  <c r="N72" i="1" a="1"/>
  <c r="S42" i="1" a="1"/>
  <c r="S44" i="1" a="1"/>
  <c r="S51" i="1" a="1"/>
  <c r="J208" i="1" a="1"/>
  <c r="N51" i="1" a="1"/>
  <c r="F71" i="21" l="1"/>
  <c r="D77" i="21" s="1"/>
  <c r="D78" i="21" s="1"/>
  <c r="H67" i="13"/>
  <c r="B79" i="13" s="1"/>
  <c r="AH76" i="13"/>
  <c r="AH75" i="13"/>
  <c r="AH74" i="13"/>
  <c r="AH78" i="13"/>
  <c r="AH77" i="13"/>
  <c r="P32" i="1"/>
  <c r="P34" i="1"/>
  <c r="H229" i="1"/>
  <c r="I187" i="13"/>
  <c r="V62" i="16"/>
  <c r="V54" i="16"/>
  <c r="V56" i="16"/>
  <c r="V58" i="16"/>
  <c r="V60" i="16"/>
  <c r="I168" i="11"/>
  <c r="N90" i="17"/>
  <c r="R90" i="17"/>
  <c r="AA31" i="17"/>
  <c r="V85" i="17" s="1"/>
  <c r="V84" i="17"/>
  <c r="AA29" i="17"/>
  <c r="N85" i="17" s="1"/>
  <c r="N84" i="17"/>
  <c r="E152" i="10"/>
  <c r="E149" i="10"/>
  <c r="H209" i="1"/>
  <c r="J208" i="1"/>
  <c r="I155" i="16"/>
  <c r="E203" i="1"/>
  <c r="E202" i="1"/>
  <c r="E156" i="1"/>
  <c r="E155" i="1"/>
  <c r="I160" i="11"/>
  <c r="T159" i="11"/>
  <c r="K147" i="1"/>
  <c r="Q139" i="1"/>
  <c r="Q127" i="1"/>
  <c r="I50" i="10"/>
  <c r="AD52" i="10" s="1"/>
  <c r="F50" i="10" s="1"/>
  <c r="E12" i="10"/>
  <c r="G7" i="10"/>
  <c r="I127" i="10" s="1"/>
  <c r="J27" i="10"/>
  <c r="P105" i="10"/>
  <c r="W99" i="10"/>
  <c r="U84" i="10"/>
  <c r="L99" i="10"/>
  <c r="O91" i="10"/>
  <c r="AD45" i="10"/>
  <c r="F41" i="10" s="1"/>
  <c r="V120" i="1"/>
  <c r="S65" i="1"/>
  <c r="S63" i="1"/>
  <c r="S72" i="1"/>
  <c r="S51" i="1"/>
  <c r="N51" i="1"/>
  <c r="N72" i="1"/>
  <c r="AD65" i="1"/>
  <c r="AD44" i="1"/>
  <c r="S42" i="1"/>
  <c r="S44" i="1"/>
  <c r="X75" i="13"/>
  <c r="F78" i="21"/>
  <c r="X78" i="13"/>
  <c r="X76" i="13"/>
  <c r="E244" i="16"/>
  <c r="X60" i="16"/>
  <c r="X62" i="16"/>
  <c r="F45" i="10" a="1"/>
  <c r="W120" i="1" a="1"/>
  <c r="X74" i="13"/>
  <c r="J229" i="16" a="1"/>
  <c r="E261" i="11" a="1"/>
  <c r="E247" i="11" a="1"/>
  <c r="F52" i="10" a="1"/>
  <c r="X77" i="13"/>
  <c r="T177" i="11" a="1"/>
  <c r="J16" i="1" a="1"/>
  <c r="O83" i="21" l="1"/>
  <c r="AC84" i="13"/>
  <c r="AC83" i="13"/>
  <c r="AC86" i="13"/>
  <c r="H223" i="16"/>
  <c r="E68" i="16"/>
  <c r="AC87" i="13"/>
  <c r="AC85" i="13"/>
  <c r="H104" i="10"/>
  <c r="AD117" i="10" s="1"/>
  <c r="T105" i="10"/>
  <c r="J229" i="16"/>
  <c r="H222" i="1"/>
  <c r="T177" i="11"/>
  <c r="E261" i="11"/>
  <c r="AD146" i="1"/>
  <c r="M183" i="11"/>
  <c r="H224" i="16"/>
  <c r="H221" i="16"/>
  <c r="H220" i="16"/>
  <c r="H222" i="16"/>
  <c r="E247" i="11"/>
  <c r="V159" i="11"/>
  <c r="Y159" i="11"/>
  <c r="E249" i="11" s="1"/>
  <c r="F52" i="10"/>
  <c r="F45" i="10"/>
  <c r="F36" i="10"/>
  <c r="W120" i="1"/>
  <c r="J16" i="1"/>
  <c r="J18" i="1" s="1"/>
  <c r="J21" i="1" s="1"/>
  <c r="M66" i="16"/>
  <c r="H68" i="16" a="1"/>
  <c r="I154" i="10" a="1"/>
  <c r="G85" i="13"/>
  <c r="G86" i="13"/>
  <c r="E230" i="16" a="1"/>
  <c r="E148" i="10" a="1"/>
  <c r="H106" i="10" a="1"/>
  <c r="G84" i="13"/>
  <c r="G87" i="13"/>
  <c r="G83" i="13"/>
  <c r="O84" i="21"/>
  <c r="P16" i="1" a="1"/>
  <c r="I190" i="16" l="1"/>
  <c r="H68" i="16"/>
  <c r="I154" i="10"/>
  <c r="H106" i="10"/>
  <c r="L222" i="1"/>
  <c r="P222" i="1"/>
  <c r="AD183" i="11"/>
  <c r="R187" i="11"/>
  <c r="AD193" i="11" s="1"/>
  <c r="I183" i="11"/>
  <c r="AD182" i="11" s="1"/>
  <c r="E248" i="11"/>
  <c r="AD55" i="10"/>
  <c r="AD56" i="10" s="1"/>
  <c r="I55" i="10" s="1"/>
  <c r="L36" i="10"/>
  <c r="E148" i="10"/>
  <c r="H239" i="16"/>
  <c r="H238" i="16"/>
  <c r="E230" i="16"/>
  <c r="Q155" i="16"/>
  <c r="T160" i="16"/>
  <c r="T158" i="16" s="1"/>
  <c r="P16" i="1"/>
  <c r="AD89" i="1"/>
  <c r="AD90" i="1" s="1"/>
  <c r="O89" i="1" s="1"/>
  <c r="AD10" i="1"/>
  <c r="AD9" i="1"/>
  <c r="P17" i="10" a="1"/>
  <c r="I56" i="10" a="1"/>
  <c r="U89" i="1" a="1"/>
  <c r="H190" i="1"/>
  <c r="J20" i="1" a="1"/>
  <c r="AD11" i="1" a="1"/>
  <c r="AD8" i="1" a="1"/>
  <c r="Q187" i="13" l="1"/>
  <c r="T192" i="13" s="1"/>
  <c r="V158" i="16"/>
  <c r="H240" i="16" s="1"/>
  <c r="AD185" i="11"/>
  <c r="S183" i="11" s="1"/>
  <c r="AG201" i="11" s="1"/>
  <c r="N55" i="10"/>
  <c r="I56" i="10"/>
  <c r="F54" i="10"/>
  <c r="AC160" i="16"/>
  <c r="V160" i="16" s="1"/>
  <c r="H242" i="16" s="1"/>
  <c r="AC159" i="16"/>
  <c r="P17" i="10"/>
  <c r="O66" i="10"/>
  <c r="O70" i="10" s="1"/>
  <c r="U89" i="1"/>
  <c r="J20" i="1"/>
  <c r="AD11" i="1"/>
  <c r="AD8" i="1"/>
  <c r="E185" i="1" a="1"/>
  <c r="E150" i="10" a="1"/>
  <c r="U183" i="11" a="1"/>
  <c r="E134" i="10" a="1"/>
  <c r="U66" i="10" a="1"/>
  <c r="M164" i="16" a="1"/>
  <c r="P20" i="1" a="1"/>
  <c r="AC191" i="13" l="1"/>
  <c r="T190" i="13"/>
  <c r="AC192" i="13"/>
  <c r="V192" i="13" s="1"/>
  <c r="H279" i="13" s="1"/>
  <c r="R70" i="10"/>
  <c r="AD78" i="10"/>
  <c r="M165" i="16"/>
  <c r="M164" i="16"/>
  <c r="AD194" i="11"/>
  <c r="AD196" i="11" s="1"/>
  <c r="AD186" i="11"/>
  <c r="AD187" i="11" s="1"/>
  <c r="S184" i="11" s="1"/>
  <c r="U183" i="11"/>
  <c r="E150" i="10"/>
  <c r="AD60" i="10"/>
  <c r="E134" i="10"/>
  <c r="E185" i="1"/>
  <c r="V159" i="16"/>
  <c r="H241" i="16" s="1"/>
  <c r="U66" i="10"/>
  <c r="J98" i="10"/>
  <c r="O101" i="10" s="1"/>
  <c r="E11" i="1"/>
  <c r="P20" i="1"/>
  <c r="O98" i="1"/>
  <c r="O97" i="1"/>
  <c r="O102" i="1"/>
  <c r="AD103" i="1" s="1"/>
  <c r="J22" i="1"/>
  <c r="P164" i="16"/>
  <c r="P165" i="16"/>
  <c r="M196" i="13" a="1"/>
  <c r="U70" i="10" a="1"/>
  <c r="E243" i="16" a="1"/>
  <c r="U101" i="10" a="1"/>
  <c r="U184" i="11" a="1"/>
  <c r="E12" i="1" a="1"/>
  <c r="I7" i="1" a="1"/>
  <c r="AD104" i="1" a="1"/>
  <c r="M196" i="13" l="1"/>
  <c r="V190" i="13"/>
  <c r="V191" i="13"/>
  <c r="H278" i="13" s="1"/>
  <c r="M197" i="13"/>
  <c r="AD104" i="1"/>
  <c r="O242" i="16"/>
  <c r="O239" i="16"/>
  <c r="U184" i="11"/>
  <c r="AD195" i="11"/>
  <c r="AD197" i="11" s="1"/>
  <c r="AG197" i="11" s="1"/>
  <c r="S193" i="11" s="1"/>
  <c r="AD61" i="10"/>
  <c r="I60" i="10" s="1"/>
  <c r="N60" i="10"/>
  <c r="E243" i="16"/>
  <c r="AD102" i="1"/>
  <c r="D182" i="1"/>
  <c r="E171" i="16"/>
  <c r="S171" i="16" s="1"/>
  <c r="E12" i="1"/>
  <c r="AD74" i="10"/>
  <c r="O75" i="10" s="1"/>
  <c r="AD79" i="10"/>
  <c r="U70" i="10"/>
  <c r="U101" i="10"/>
  <c r="J95" i="10"/>
  <c r="AD99" i="1"/>
  <c r="M27" i="1"/>
  <c r="I7" i="1"/>
  <c r="I181" i="1" s="1"/>
  <c r="M80" i="1"/>
  <c r="I61" i="10" a="1"/>
  <c r="U75" i="10" a="1"/>
  <c r="P196" i="13"/>
  <c r="P197" i="13"/>
  <c r="J24" i="1" a="1"/>
  <c r="U193" i="11" a="1"/>
  <c r="U171" i="16" a="1"/>
  <c r="J27" i="1" a="1"/>
  <c r="O276" i="13" l="1"/>
  <c r="E280" i="13"/>
  <c r="O279" i="13"/>
  <c r="I203" i="13"/>
  <c r="H277" i="13"/>
  <c r="E203" i="13"/>
  <c r="S203" i="13" s="1"/>
  <c r="AG203" i="11"/>
  <c r="AG198" i="11"/>
  <c r="AG204" i="11" s="1"/>
  <c r="I61" i="10"/>
  <c r="F59" i="10"/>
  <c r="O103" i="1"/>
  <c r="U193" i="11"/>
  <c r="U171" i="16"/>
  <c r="AG184" i="16"/>
  <c r="S181" i="16" s="1"/>
  <c r="AG183" i="16"/>
  <c r="S180" i="16" s="1"/>
  <c r="AD81" i="10"/>
  <c r="O80" i="10" s="1"/>
  <c r="U75" i="10"/>
  <c r="J27" i="1"/>
  <c r="J24" i="1"/>
  <c r="F139" i="10" a="1"/>
  <c r="P26" i="1" a="1"/>
  <c r="E151" i="10" a="1"/>
  <c r="U181" i="16" a="1"/>
  <c r="U203" i="13" a="1"/>
  <c r="U180" i="16" a="1"/>
  <c r="U80" i="10" a="1"/>
  <c r="H136" i="10" a="1"/>
  <c r="P29" i="1" a="1"/>
  <c r="H194" i="1" a="1"/>
  <c r="U203" i="13" l="1"/>
  <c r="AG215" i="13"/>
  <c r="S212" i="13" s="1"/>
  <c r="AG216" i="13"/>
  <c r="S213" i="13" s="1"/>
  <c r="S194" i="11"/>
  <c r="E151" i="10"/>
  <c r="P109" i="10"/>
  <c r="T109" i="10" s="1"/>
  <c r="P117" i="10"/>
  <c r="T117" i="10" s="1"/>
  <c r="H136" i="10"/>
  <c r="F139" i="10"/>
  <c r="H194" i="1"/>
  <c r="O110" i="1"/>
  <c r="V63" i="10"/>
  <c r="O93" i="10"/>
  <c r="F63" i="10" s="1"/>
  <c r="U180" i="16"/>
  <c r="U181" i="16"/>
  <c r="U80" i="10"/>
  <c r="O89" i="10"/>
  <c r="O87" i="10"/>
  <c r="P26" i="1"/>
  <c r="P29" i="1"/>
  <c r="E137" i="10" a="1"/>
  <c r="U213" i="13" a="1"/>
  <c r="U194" i="11" a="1"/>
  <c r="U93" i="10" a="1"/>
  <c r="F140" i="10" a="1"/>
  <c r="F138" i="10" a="1"/>
  <c r="U212" i="13" a="1"/>
  <c r="Y63" i="10" a="1"/>
  <c r="J63" i="10" a="1"/>
  <c r="F140" i="10" l="1"/>
  <c r="F138" i="10"/>
  <c r="U213" i="13"/>
  <c r="U212" i="13"/>
  <c r="U194" i="11"/>
  <c r="E137" i="10"/>
  <c r="J65" i="10"/>
  <c r="U93" i="10"/>
  <c r="Y63" i="10"/>
  <c r="J63" i="10"/>
  <c r="P113" i="10"/>
  <c r="T113" i="10" s="1"/>
  <c r="I63" i="1" l="1"/>
  <c r="AD67" i="1" s="1"/>
  <c r="AF68" i="1" s="1"/>
  <c r="I70" i="1"/>
  <c r="K205" i="1" a="1"/>
  <c r="AD68" i="1" l="1"/>
  <c r="D63" i="1"/>
  <c r="K205" i="1"/>
  <c r="AF74" i="1"/>
  <c r="AD74" i="1" s="1"/>
  <c r="O88" i="1"/>
  <c r="L147" i="1"/>
  <c r="O101" i="1"/>
  <c r="U88" i="1" a="1"/>
  <c r="D66" i="1" a="1"/>
  <c r="H193" i="1" a="1"/>
  <c r="D66" i="1" l="1"/>
  <c r="H193" i="1"/>
  <c r="D70" i="1"/>
  <c r="F59" i="1" s="1"/>
  <c r="U88" i="1"/>
  <c r="AD88" i="1"/>
  <c r="O93" i="1"/>
  <c r="L119" i="1"/>
  <c r="U139" i="1"/>
  <c r="U127" i="1"/>
  <c r="U93" i="1" a="1"/>
  <c r="L120" i="1" a="1"/>
  <c r="D72" i="1" a="1"/>
  <c r="J211" i="1" l="1"/>
  <c r="J212" i="1"/>
  <c r="D72" i="1"/>
  <c r="L120" i="1"/>
  <c r="U93" i="1"/>
  <c r="E206" i="1" a="1"/>
  <c r="V133" i="1" a="1"/>
  <c r="U103" i="1" a="1"/>
  <c r="V133" i="1" l="1"/>
  <c r="E206" i="1"/>
  <c r="AD81" i="1"/>
  <c r="U103" i="1"/>
  <c r="P18" i="1" a="1"/>
  <c r="P219" i="1" a="1"/>
  <c r="AD82" i="1" a="1"/>
  <c r="X133" i="1"/>
  <c r="AD82" i="1" l="1"/>
  <c r="I81" i="1" s="1"/>
  <c r="P219" i="1"/>
  <c r="N81" i="1"/>
  <c r="P18" i="1"/>
  <c r="I42" i="1"/>
  <c r="AD46" i="1" s="1"/>
  <c r="AD47" i="1" s="1"/>
  <c r="D42" i="1" s="1"/>
  <c r="I49" i="1"/>
  <c r="J209" i="1" a="1"/>
  <c r="R81" i="1" a="1"/>
  <c r="D45" i="1" a="1"/>
  <c r="D45" i="1" l="1"/>
  <c r="R81" i="1"/>
  <c r="J209" i="1"/>
  <c r="AD53" i="1"/>
  <c r="D49" i="1" s="1"/>
  <c r="D51" i="1" a="1"/>
  <c r="D51" i="1" l="1"/>
  <c r="F38" i="1"/>
  <c r="Q126" i="1" s="1"/>
  <c r="K38" i="1" a="1"/>
  <c r="E210" i="1" a="1"/>
  <c r="V132" i="1" l="1"/>
  <c r="K38" i="1"/>
  <c r="E210" i="1"/>
  <c r="Q138" i="1"/>
  <c r="H221" i="1" s="1"/>
  <c r="U126" i="1"/>
  <c r="P218" i="1" a="1"/>
  <c r="X132" i="1"/>
  <c r="U138" i="1" l="1"/>
  <c r="H212" i="1" s="1"/>
  <c r="P218" i="1"/>
  <c r="P221" i="1"/>
  <c r="L221" i="1"/>
  <c r="H211" i="1"/>
  <c r="L59" i="1"/>
  <c r="H108" i="10" l="1"/>
  <c r="AD118" i="10"/>
  <c r="H110" i="10" a="1"/>
  <c r="I155" i="10" a="1"/>
  <c r="I155" i="10" l="1"/>
  <c r="H110" i="10"/>
  <c r="H112" i="10"/>
  <c r="H114" i="10" a="1"/>
  <c r="E158" i="10" a="1"/>
  <c r="E158" i="10" l="1"/>
  <c r="H114" i="10"/>
  <c r="F80" i="1"/>
  <c r="Q140" i="1" s="1"/>
  <c r="H223" i="1" s="1"/>
  <c r="I138" i="1" a="1"/>
  <c r="E207" i="1" a="1"/>
  <c r="L223" i="1" l="1"/>
  <c r="P223" i="1"/>
  <c r="I138" i="1"/>
  <c r="E207" i="1"/>
  <c r="H230" i="1"/>
  <c r="Q128" i="1"/>
  <c r="L148" i="1"/>
  <c r="T148" i="1" a="1"/>
  <c r="I126" i="1" a="1"/>
  <c r="H224" i="1" l="1"/>
  <c r="T148" i="1"/>
  <c r="I126" i="1"/>
  <c r="AD147" i="1"/>
  <c r="U140" i="1"/>
  <c r="K148" i="1"/>
  <c r="L149" i="1" s="1"/>
  <c r="U128" i="1"/>
  <c r="P231" i="1"/>
  <c r="H213" i="1" l="1"/>
  <c r="H215" i="1" s="1"/>
  <c r="AC215" i="1" s="1"/>
  <c r="P118" i="10"/>
  <c r="P21" i="1" a="1"/>
  <c r="T118" i="10" l="1"/>
  <c r="AD119" i="10" s="1"/>
  <c r="AD120" i="10" s="1"/>
  <c r="AF120" i="10" s="1"/>
  <c r="H116" i="10" s="1"/>
  <c r="AC224" i="1"/>
  <c r="AD224" i="1" s="1"/>
  <c r="P21" i="1"/>
  <c r="O87" i="1"/>
  <c r="E159" i="10" a="1"/>
  <c r="H118" i="10" a="1"/>
  <c r="U87" i="1" a="1"/>
  <c r="I128" i="1" a="1"/>
  <c r="E216" i="1"/>
  <c r="E159" i="10" l="1"/>
  <c r="Q137" i="1"/>
  <c r="U137" i="1" s="1"/>
  <c r="I128" i="1"/>
  <c r="H118" i="10"/>
  <c r="U87" i="1"/>
  <c r="J119" i="1"/>
  <c r="O122" i="1" s="1"/>
  <c r="J114" i="1" s="1"/>
  <c r="M84" i="1"/>
  <c r="O91" i="1"/>
  <c r="AD97" i="1" s="1"/>
  <c r="U122" i="1" a="1"/>
  <c r="U91" i="1" a="1"/>
  <c r="E189" i="1" a="1"/>
  <c r="E189" i="1" l="1"/>
  <c r="U122" i="1"/>
  <c r="U91" i="1"/>
  <c r="R91" i="1"/>
  <c r="AD98" i="1"/>
  <c r="AD100" i="1" s="1"/>
  <c r="H225" i="1" a="1"/>
  <c r="I140" i="1" a="1"/>
  <c r="AD94" i="1" l="1"/>
  <c r="O94" i="1" s="1"/>
  <c r="AD93" i="1"/>
  <c r="H225" i="1"/>
  <c r="I140" i="1"/>
  <c r="H192" i="1"/>
  <c r="U94" i="1" a="1"/>
  <c r="U94" i="1" l="1"/>
  <c r="M155" i="1"/>
  <c r="O99" i="1"/>
  <c r="U99" i="1" a="1"/>
  <c r="H191" i="1"/>
  <c r="E231" i="1"/>
  <c r="T149" i="1" a="1"/>
  <c r="F197" i="1" a="1"/>
  <c r="F198" i="1"/>
  <c r="T149" i="1" l="1"/>
  <c r="R159" i="1"/>
  <c r="AD165" i="1" s="1"/>
  <c r="AD155" i="1"/>
  <c r="F197" i="1"/>
  <c r="U99" i="1"/>
  <c r="O108" i="1"/>
  <c r="O112" i="1"/>
  <c r="F84" i="1" s="1"/>
  <c r="O106" i="1"/>
  <c r="S84" i="1"/>
  <c r="F196" i="1" a="1"/>
  <c r="E195" i="1" a="1"/>
  <c r="V84" i="1" a="1"/>
  <c r="U112" i="1" a="1"/>
  <c r="E217" i="1"/>
  <c r="F196" i="1" l="1"/>
  <c r="E195" i="1"/>
  <c r="I130" i="1"/>
  <c r="U112" i="1"/>
  <c r="V84" i="1"/>
  <c r="J86" i="1"/>
  <c r="I132" i="1" a="1"/>
  <c r="I132" i="1" l="1"/>
  <c r="T131" i="1"/>
  <c r="X131" i="1" s="1"/>
  <c r="E219" i="1" s="1"/>
  <c r="V131" i="1" l="1"/>
  <c r="E218" i="1" l="1"/>
  <c r="AC218" i="1"/>
  <c r="I155" i="1"/>
  <c r="AD154" i="1" s="1"/>
  <c r="AD157" i="1" s="1"/>
  <c r="S155" i="1" l="1"/>
  <c r="AD158" i="1"/>
  <c r="AD159" i="1" s="1"/>
  <c r="S156" i="1" s="1"/>
  <c r="AD167" i="1" s="1"/>
  <c r="U155" i="1" a="1"/>
  <c r="U156" i="1" a="1"/>
  <c r="AG173" i="1" l="1"/>
  <c r="AD166" i="1"/>
  <c r="AD168" i="1" s="1"/>
  <c r="U156" i="1"/>
  <c r="U155" i="1"/>
  <c r="AD169" i="1" l="1"/>
  <c r="AG169" i="1" s="1"/>
  <c r="S165" i="1" l="1"/>
  <c r="AG175" i="1"/>
  <c r="AG170" i="1"/>
  <c r="U165" i="1" a="1"/>
  <c r="U165" i="1" l="1"/>
  <c r="S166" i="1"/>
  <c r="AG176" i="1"/>
  <c r="U166" i="1" a="1"/>
  <c r="U166" i="1" l="1"/>
  <c r="L90" i="2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<sst xmlns="http://schemas.openxmlformats.org/spreadsheetml/2006/main" count="2716" uniqueCount="873">
  <si>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</si>
  <si>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</si>
  <si>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</si>
  <si>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</si>
  <si>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</si>
  <si>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</si>
  <si>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</si>
  <si>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</si>
  <si>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</si>
  <si>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</si>
  <si>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</si>
  <si>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</si>
  <si>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</si>
  <si>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</si>
  <si>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</si>
  <si>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</si>
  <si>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</si>
  <si>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</si>
  <si>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</si>
  <si>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</si>
  <si>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</si>
  <si>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</si>
  <si>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</si>
  <si>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</si>
  <si>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</si>
  <si>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Hauteur vraie</t>
  </si>
  <si>
    <t>Hauteur instrumentale</t>
  </si>
  <si>
    <t>Intercept</t>
  </si>
  <si>
    <t>°</t>
  </si>
  <si>
    <t>Chrono</t>
  </si>
  <si>
    <t>Astre</t>
  </si>
  <si>
    <t>Soleil</t>
  </si>
  <si>
    <t>Etoile</t>
  </si>
  <si>
    <t>Lune</t>
  </si>
  <si>
    <t>Memo Sens …</t>
  </si>
  <si>
    <t>Type de calcul</t>
  </si>
  <si>
    <t>types calculs --&gt;</t>
  </si>
  <si>
    <t>resultat</t>
  </si>
  <si>
    <t>gradiant angulaire</t>
  </si>
  <si>
    <t>deltaT</t>
  </si>
  <si>
    <t>pwd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</si>
  <si>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</si>
  <si>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</si>
  <si>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</si>
  <si>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</si>
  <si>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</si>
  <si>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</si>
  <si>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</si>
  <si>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</si>
  <si>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Refraction</t>
  </si>
  <si>
    <t>Par abaque</t>
  </si>
  <si>
    <t>Par calcul</t>
  </si>
  <si>
    <t>Parallaxe horizontale (HP ou Pi)</t>
  </si>
  <si>
    <t>Deg</t>
  </si>
  <si>
    <t>deg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</si>
  <si>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</si>
  <si>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</si>
  <si>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</si>
  <si>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</si>
  <si>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</si>
  <si>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</si>
  <si>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</si>
  <si>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</si>
  <si>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</si>
  <si>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</si>
  <si>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</si>
  <si>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</si>
  <si>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</si>
  <si>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</si>
  <si>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 xml:space="preserve"> </t>
  </si>
  <si>
    <t>Visee</t>
  </si>
  <si>
    <t>SD</t>
  </si>
  <si>
    <t>Hv</t>
  </si>
  <si>
    <t>Signe</t>
  </si>
  <si>
    <t>=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</si>
  <si>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</si>
  <si>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</si>
  <si>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</si>
  <si>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</si>
  <si>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</si>
  <si>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</si>
  <si>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</si>
  <si>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</si>
  <si>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</si>
  <si>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</si>
  <si>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</si>
  <si>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</si>
  <si>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sinon </t>
  </si>
  <si>
    <t>Zn = 360 - Z</t>
  </si>
  <si>
    <t>Zn = 180 +  Z</t>
  </si>
  <si>
    <t>-&gt;</t>
  </si>
  <si>
    <t xml:space="preserve">Rad </t>
  </si>
  <si>
    <t>Z</t>
  </si>
  <si>
    <t>Zn</t>
  </si>
  <si>
    <t>Vitesse
almanah : 15°0.12' - soleil</t>
  </si>
  <si>
    <t>Corrections</t>
  </si>
  <si>
    <t>f</t>
  </si>
  <si>
    <t>Proposition</t>
  </si>
  <si>
    <t xml:space="preserve">visee --&gt; </t>
  </si>
  <si>
    <t>54'</t>
  </si>
  <si>
    <t>Diametre</t>
  </si>
  <si>
    <t>Ho</t>
  </si>
  <si>
    <t>Memo deg - rad conv</t>
  </si>
  <si>
    <t>Correction</t>
  </si>
  <si>
    <t>Mn</t>
  </si>
  <si>
    <t>Vitesse</t>
  </si>
  <si>
    <t>Cap</t>
  </si>
  <si>
    <t>Resumé</t>
  </si>
  <si>
    <t>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</si>
  <si>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</si>
  <si>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</si>
  <si>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</si>
  <si>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</si>
  <si>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</si>
  <si>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</si>
  <si>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pour Nav astro</t>
  </si>
  <si>
    <t>&lt;==</t>
  </si>
  <si>
    <t>si (LHA &gt; 180)</t>
  </si>
  <si>
    <t>Zn = Z</t>
  </si>
  <si>
    <t>Zn = 180 - Z</t>
  </si>
  <si>
    <t>Methodo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</si>
  <si>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</si>
  <si>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</si>
  <si>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</si>
  <si>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</si>
  <si>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</si>
  <si>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</si>
  <si>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Horizon artificiel - Hauteur instrumentale</t>
  </si>
  <si>
    <t>Horizon artificiel - Colimation en dd°mm.mm'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</si>
  <si>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</si>
  <si>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</si>
  <si>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</si>
  <si>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</si>
  <si>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</si>
  <si>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</si>
  <si>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</si>
  <si>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</si>
  <si>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</si>
  <si>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</si>
  <si>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</si>
  <si>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</si>
  <si>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</si>
  <si>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</si>
  <si>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</si>
  <si>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</si>
  <si>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</si>
  <si>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</si>
  <si>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Is Valide ?</t>
  </si>
  <si>
    <t>H</t>
  </si>
  <si>
    <t>Rad :</t>
  </si>
  <si>
    <t>Deg :</t>
  </si>
  <si>
    <t>HP (Pi)</t>
  </si>
  <si>
    <t>0.173' soleil 
54'-60' lune 
0 pour les etoiles</t>
  </si>
  <si>
    <t>Polaire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</si>
  <si>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</si>
  <si>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</si>
  <si>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</si>
  <si>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</si>
  <si>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</si>
  <si>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</si>
  <si>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</si>
  <si>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</si>
  <si>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Heure montre</t>
  </si>
  <si>
    <t>Decalage UTC</t>
  </si>
  <si>
    <t>Decalage Montre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</si>
  <si>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</si>
  <si>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</si>
  <si>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</si>
  <si>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</si>
  <si>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</si>
  <si>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</si>
  <si>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</si>
  <si>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</si>
  <si>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</si>
  <si>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gradiant horaire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</si>
  <si>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</si>
  <si>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</si>
  <si>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</si>
  <si>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</si>
  <si>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</si>
  <si>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</si>
  <si>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</si>
  <si>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</si>
  <si>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</si>
  <si>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</si>
  <si>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</si>
  <si>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</si>
  <si>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</si>
  <si>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</si>
  <si>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</si>
  <si>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Type de correction</t>
  </si>
  <si>
    <t>Correction en diametre</t>
  </si>
  <si>
    <t>papa</t>
  </si>
  <si>
    <t>SHA</t>
  </si>
  <si>
    <t>signe dec</t>
  </si>
  <si>
    <t>Declinaison polaire</t>
  </si>
  <si>
    <t>29°05</t>
  </si>
  <si>
    <t>311°38</t>
  </si>
  <si>
    <t>The result gives the true azimuth of Polaris in minutes of arc. Divide by 60 and round appropriately for the azimuth in degrees.</t>
  </si>
  <si>
    <t>Position ESTIMEE</t>
  </si>
  <si>
    <t>Heure 1</t>
  </si>
  <si>
    <t>Heure 1'</t>
  </si>
  <si>
    <t>Heure 2</t>
  </si>
  <si>
    <t>Heure 2'</t>
  </si>
  <si>
    <t>Heure 3</t>
  </si>
  <si>
    <t>Heure 3'</t>
  </si>
  <si>
    <t>Heure 4</t>
  </si>
  <si>
    <t>Heure 4'</t>
  </si>
  <si>
    <t>Heure 5</t>
  </si>
  <si>
    <t>Heure 5'</t>
  </si>
  <si>
    <t>2°54</t>
  </si>
  <si>
    <t>33°24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</si>
  <si>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</si>
  <si>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</si>
  <si>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</si>
  <si>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</si>
  <si>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</si>
  <si>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</si>
  <si>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</si>
  <si>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</si>
  <si>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10:20:25</t>
  </si>
  <si>
    <t>M</t>
  </si>
  <si>
    <t>Rv</t>
  </si>
  <si>
    <t>Hc</t>
  </si>
  <si>
    <t>Azimut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</si>
  <si>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</si>
  <si>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</si>
  <si>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</si>
  <si>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</si>
  <si>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</si>
  <si>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</si>
  <si>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</si>
  <si>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</si>
  <si>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</si>
  <si>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</si>
  <si>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</si>
  <si>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</si>
  <si>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</si>
  <si>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</si>
  <si>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</si>
  <si>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</si>
  <si>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</si>
  <si>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</si>
  <si>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a</t>
  </si>
  <si>
    <t>b</t>
  </si>
  <si>
    <t>+1,3'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</si>
  <si>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</si>
  <si>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</si>
  <si>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</si>
  <si>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</si>
  <si>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(°/h)</t>
  </si>
  <si>
    <t>Heure de l'estime</t>
  </si>
  <si>
    <t>Long Horaire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</si>
  <si>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</si>
  <si>
    <t>66°57</t>
  </si>
  <si>
    <t>Meridienne</t>
  </si>
  <si>
    <t>Dz = 90 - Hv</t>
  </si>
  <si>
    <t>Distance azimutale = Dz</t>
  </si>
  <si>
    <t>h</t>
  </si>
  <si>
    <r>
      <t xml:space="preserve">Position ESTIMEE apres le point du matin - </t>
    </r>
    <r>
      <rPr>
        <b/>
        <sz val="10"/>
        <color rgb="FFFF0000"/>
        <rFont val="Roboto"/>
      </rPr>
      <t>ATTENTION AVANT LE PERIGEE</t>
    </r>
  </si>
  <si>
    <r>
      <t xml:space="preserve">Navigation estime </t>
    </r>
    <r>
      <rPr>
        <b/>
        <sz val="10"/>
        <color rgb="FFFF0000"/>
        <rFont val="Roboto"/>
      </rPr>
      <t>jusqu’à</t>
    </r>
    <r>
      <rPr>
        <sz val="10"/>
        <color theme="1"/>
        <rFont val="Roboto"/>
      </rPr>
      <t xml:space="preserve"> la méridienne</t>
    </r>
  </si>
  <si>
    <t>Vitesse en longitude = Vitesse * |sin(cap)|</t>
  </si>
  <si>
    <t>Vers l'est ?</t>
  </si>
  <si>
    <r>
      <t xml:space="preserve">15,002 * T = Longitude Horaire estimée au point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 Estimée au point) / (15,002 - ∆ Long)</t>
    </r>
  </si>
  <si>
    <t>En angle horaire</t>
  </si>
  <si>
    <t>Memo vitesse horaire du soleil</t>
  </si>
  <si>
    <t>(*)</t>
  </si>
  <si>
    <t>Heure de la merdienne locale = (Heure GreenWitch + T)</t>
  </si>
  <si>
    <t>resultat modulo 360</t>
  </si>
  <si>
    <t>46°06</t>
  </si>
  <si>
    <t>7°05</t>
  </si>
  <si>
    <r>
      <t xml:space="preserve">Distance parcourue par le bateau = </t>
    </r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rFont val="Calibri"/>
        <family val="2"/>
        <scheme val="minor"/>
      </rPr>
      <t xml:space="preserve"> * Vitesse </t>
    </r>
  </si>
  <si>
    <t>Is Droite hauteur de meridienne</t>
  </si>
  <si>
    <t>Cap1 = Direction1=</t>
  </si>
  <si>
    <t>Cap2 = Drection2=</t>
  </si>
  <si>
    <r>
      <rPr>
        <sz val="12"/>
        <color theme="1"/>
        <rFont val="Symbol"/>
        <family val="1"/>
        <charset val="2"/>
      </rPr>
      <t>j</t>
    </r>
    <r>
      <rPr>
        <vertAlign val="subscript"/>
        <sz val="12"/>
        <color theme="1"/>
        <rFont val="Calibri"/>
        <family val="2"/>
      </rPr>
      <t>0</t>
    </r>
  </si>
  <si>
    <r>
      <t>G</t>
    </r>
    <r>
      <rPr>
        <vertAlign val="subscript"/>
        <sz val="11"/>
        <color theme="1"/>
        <rFont val="Calibri"/>
        <family val="2"/>
        <scheme val="minor"/>
      </rPr>
      <t>0</t>
    </r>
  </si>
  <si>
    <t>u</t>
  </si>
  <si>
    <t>v</t>
  </si>
  <si>
    <t>P</t>
  </si>
  <si>
    <t>P (non meridienne)</t>
  </si>
  <si>
    <t>P (meridienne)</t>
  </si>
  <si>
    <t>Horaires des prises de meusures</t>
  </si>
  <si>
    <r>
      <t>Decalage montre (</t>
    </r>
    <r>
      <rPr>
        <b/>
        <sz val="8"/>
        <color theme="1"/>
        <rFont val="Roboto"/>
      </rPr>
      <t>en s</t>
    </r>
    <r>
      <rPr>
        <sz val="8"/>
        <color theme="1"/>
        <rFont val="Roboto"/>
      </rPr>
      <t>)
Heure vrai = decalage + montre</t>
    </r>
  </si>
  <si>
    <r>
      <t>Decalage UTC (</t>
    </r>
    <r>
      <rPr>
        <b/>
        <sz val="8"/>
        <color theme="1"/>
        <rFont val="Roboto"/>
      </rPr>
      <t>en h</t>
    </r>
    <r>
      <rPr>
        <sz val="8"/>
        <color theme="1"/>
        <rFont val="Roboto"/>
      </rPr>
      <t>)
Heure UTC = decalage + montre</t>
    </r>
  </si>
  <si>
    <t>Decalage culmination</t>
  </si>
  <si>
    <t>10:23</t>
  </si>
  <si>
    <t>Pre-Reglage
Hi</t>
  </si>
  <si>
    <t>UTC Prevus</t>
  </si>
  <si>
    <t>10:35:25</t>
  </si>
  <si>
    <t>10:54:25</t>
  </si>
  <si>
    <t>11:10:25</t>
  </si>
  <si>
    <t>12:10:25</t>
  </si>
  <si>
    <t>OK ?</t>
  </si>
  <si>
    <t>O</t>
  </si>
  <si>
    <t>3°54</t>
  </si>
  <si>
    <t>4°54</t>
  </si>
  <si>
    <t>5°54</t>
  </si>
  <si>
    <t>6°54</t>
  </si>
  <si>
    <t>UTC Realisé</t>
  </si>
  <si>
    <t>Heure de la meridienne</t>
  </si>
  <si>
    <t>Reussi</t>
  </si>
  <si>
    <t>14:32:01</t>
  </si>
  <si>
    <t>Moyenne</t>
  </si>
  <si>
    <t>14:10:00</t>
  </si>
  <si>
    <t>13:52</t>
  </si>
  <si>
    <t>13:40</t>
  </si>
  <si>
    <t xml:space="preserve">Heure Meridienne </t>
  </si>
  <si>
    <t>Prevu</t>
  </si>
  <si>
    <t>Realisation</t>
  </si>
  <si>
    <t>Est-ce realised?</t>
  </si>
  <si>
    <t>05/05/2010</t>
  </si>
  <si>
    <t>8:18:53</t>
  </si>
  <si>
    <t>parallaxe = asin(sin(HP) * cos(Ho))</t>
  </si>
  <si>
    <t>Pi</t>
  </si>
  <si>
    <t>0°29,4</t>
  </si>
  <si>
    <t>0°33,3</t>
  </si>
  <si>
    <t>Mois (Pour les diametres de soleil)</t>
  </si>
  <si>
    <t>TS=</t>
  </si>
  <si>
    <t>Date xls</t>
  </si>
  <si>
    <t>Mois:</t>
  </si>
  <si>
    <t>0°32,2</t>
  </si>
  <si>
    <t>Taille du lune selon Pi (Parallaxe horizontale equatoriale)</t>
  </si>
  <si>
    <t>0°30,0</t>
  </si>
  <si>
    <t>0°30,3</t>
  </si>
  <si>
    <t>0°30,6</t>
  </si>
  <si>
    <t>0°30,8</t>
  </si>
  <si>
    <t>0°31,1</t>
  </si>
  <si>
    <t>0°31,4</t>
  </si>
  <si>
    <t>0°31,7</t>
  </si>
  <si>
    <t>0°32,0</t>
  </si>
  <si>
    <t>0°32,5</t>
  </si>
  <si>
    <t>0°32,8</t>
  </si>
  <si>
    <t>index</t>
  </si>
  <si>
    <t>gradiant de Pi</t>
  </si>
  <si>
    <t>Pas de Pi</t>
  </si>
  <si>
    <t>% avancement</t>
  </si>
  <si>
    <t>Meusures</t>
  </si>
  <si>
    <r>
      <t>GHA (</t>
    </r>
    <r>
      <rPr>
        <sz val="10"/>
        <color theme="1"/>
        <rFont val="Symbol"/>
        <family val="1"/>
        <charset val="2"/>
      </rPr>
      <t>g)</t>
    </r>
  </si>
  <si>
    <r>
      <t>LHA (</t>
    </r>
    <r>
      <rPr>
        <sz val="10"/>
        <color theme="1"/>
        <rFont val="Symbol"/>
        <family val="1"/>
        <charset val="2"/>
      </rPr>
      <t>g)</t>
    </r>
  </si>
  <si>
    <t>I</t>
  </si>
  <si>
    <t>sens</t>
  </si>
  <si>
    <t>Planete</t>
  </si>
  <si>
    <t>Ha</t>
  </si>
  <si>
    <t>HP(°)</t>
  </si>
  <si>
    <t>P(°)</t>
  </si>
  <si>
    <t>R(°)</t>
  </si>
  <si>
    <t>Mars</t>
  </si>
  <si>
    <t>Venus</t>
  </si>
  <si>
    <t>0,3'</t>
  </si>
  <si>
    <t>0,1'</t>
  </si>
  <si>
    <t>HP(')</t>
  </si>
  <si>
    <t>HP(decimal)</t>
  </si>
  <si>
    <r>
      <t>(Hi -</t>
    </r>
    <r>
      <rPr>
        <sz val="10"/>
        <color theme="1"/>
        <rFont val="Symbol"/>
        <family val="1"/>
        <charset val="2"/>
      </rPr>
      <t>e</t>
    </r>
    <r>
      <rPr>
        <sz val="10"/>
        <color theme="1"/>
        <rFont val="Roboto"/>
      </rPr>
      <t xml:space="preserve">  -Dip)</t>
    </r>
  </si>
  <si>
    <t>R0</t>
  </si>
  <si>
    <t>Hmin</t>
  </si>
  <si>
    <t>G at min</t>
  </si>
  <si>
    <t>G at max</t>
  </si>
  <si>
    <t>Dec (en Rad)</t>
  </si>
  <si>
    <t>DR Lat (en rad)</t>
  </si>
  <si>
    <t>LHA(rad)</t>
  </si>
  <si>
    <t>asin( sin(Dec) * sin (Lat estimee) + cos(Dec) * cos (Lat estimee) * cos(LHA))</t>
  </si>
  <si>
    <t>DR Lat Nord ?</t>
  </si>
  <si>
    <t>Lha&gt;180 ?</t>
  </si>
  <si>
    <t>Pg</t>
  </si>
  <si>
    <t>Dec/GHA</t>
  </si>
  <si>
    <t>15,002'</t>
  </si>
  <si>
    <t>G (vitesse)</t>
  </si>
  <si>
    <t>G(interval)</t>
  </si>
  <si>
    <t>-R-Dip+P</t>
  </si>
  <si>
    <t>0°0,1'</t>
  </si>
  <si>
    <t>0°0,2'</t>
  </si>
  <si>
    <t>0°0,3'</t>
  </si>
  <si>
    <t>0°0,4'</t>
  </si>
  <si>
    <t>Correctifs mensuels supplementaires planetes</t>
  </si>
  <si>
    <t>planetes</t>
  </si>
  <si>
    <t>Correctifs  supplementaires planetes pour le mois</t>
  </si>
  <si>
    <t>Correctif</t>
  </si>
  <si>
    <t>If the heavenly body's declination is Contrary name to the Ap Latitude enter a negative sign before it.</t>
  </si>
  <si>
    <t>Horizon artificiel - Collition</t>
  </si>
  <si>
    <r>
      <t>GHA (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>)</t>
    </r>
  </si>
  <si>
    <t>Info refraction</t>
  </si>
  <si>
    <t>Lat(Dec)</t>
  </si>
  <si>
    <t>Long (GHA)</t>
  </si>
  <si>
    <t>GHA Lune</t>
  </si>
  <si>
    <t>date</t>
  </si>
  <si>
    <t>ecart</t>
  </si>
  <si>
    <t>2023/10/01</t>
  </si>
  <si>
    <t>2024/05/01</t>
  </si>
  <si>
    <t>2024/7/22</t>
  </si>
  <si>
    <t>derive sec/an</t>
  </si>
  <si>
    <t>ts</t>
  </si>
  <si>
    <t>secondes/an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</si>
  <si>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 xml:space="preserve"> t</t>
    </r>
  </si>
  <si>
    <t>2024/8/5</t>
  </si>
  <si>
    <t>derive sec/mois</t>
  </si>
  <si>
    <t>derive sec/jour</t>
  </si>
  <si>
    <t>30s erreur de position &lt;=&gt; 5Mn</t>
  </si>
  <si>
    <t>Erreur de position (Mn)</t>
  </si>
  <si>
    <t>0°03'</t>
  </si>
  <si>
    <t>18°55'</t>
  </si>
  <si>
    <t>Sextan correction - hauteur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</si>
  <si>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</si>
  <si>
    <t>e</t>
  </si>
  <si>
    <t>Dip</t>
  </si>
  <si>
    <r>
      <t>H</t>
    </r>
    <r>
      <rPr>
        <vertAlign val="subscript"/>
        <sz val="11"/>
        <color theme="1"/>
        <rFont val="Calibri"/>
        <family val="2"/>
        <scheme val="minor"/>
      </rPr>
      <t>o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</si>
  <si>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</si>
  <si>
    <t>hauteur astro  (Ha)</t>
  </si>
  <si>
    <t>Ho = Hv = (Ha - R + P +/- SD)</t>
  </si>
  <si>
    <t>(-Dip - R + P +/- SD)</t>
  </si>
  <si>
    <t>(- R + P +/- SD)</t>
  </si>
  <si>
    <t>Refraction (R)</t>
  </si>
  <si>
    <t>Parallaxe (P)</t>
  </si>
  <si>
    <t>(-Dip - R + P)</t>
  </si>
  <si>
    <t>Lat. Estimée</t>
  </si>
  <si>
    <t>Long. Estimée</t>
  </si>
  <si>
    <t>GHA</t>
  </si>
  <si>
    <t>cos(Dec.)</t>
  </si>
  <si>
    <t>sin(Dec.)</t>
  </si>
  <si>
    <t>sin(Lat. Est.)</t>
  </si>
  <si>
    <t>cos(Lat. Est.)</t>
  </si>
  <si>
    <t>cos(LHA)</t>
  </si>
  <si>
    <t>sin(Dec) * sin (Lat estimee) + cos(Dec) * cos (Lat estimee) * cos(LHA)</t>
  </si>
  <si>
    <r>
      <t>H</t>
    </r>
    <r>
      <rPr>
        <vertAlign val="subscript"/>
        <sz val="11"/>
        <color theme="1"/>
        <rFont val="Calibri"/>
        <family val="2"/>
        <scheme val="minor"/>
      </rPr>
      <t>c</t>
    </r>
  </si>
  <si>
    <t>cos(Z)</t>
  </si>
  <si>
    <r>
      <t>Z</t>
    </r>
    <r>
      <rPr>
        <vertAlign val="subscript"/>
        <sz val="11"/>
        <color theme="1"/>
        <rFont val="Calibri"/>
        <family val="2"/>
        <scheme val="minor"/>
      </rPr>
      <t>n</t>
    </r>
  </si>
  <si>
    <t>LHA &gt; 180</t>
  </si>
  <si>
    <t>Sens Lat. Estimée</t>
  </si>
  <si>
    <t>Cf. Abaque</t>
  </si>
  <si>
    <r>
      <t>sin(H</t>
    </r>
    <r>
      <rPr>
        <vertAlign val="subscript"/>
        <sz val="9"/>
        <color theme="1"/>
        <rFont val="Roboto"/>
      </rPr>
      <t>c</t>
    </r>
    <r>
      <rPr>
        <sz val="9"/>
        <color theme="1"/>
        <rFont val="Roboto"/>
      </rPr>
      <t>)</t>
    </r>
  </si>
  <si>
    <t>Latitude moyenne 
(depend de la vitesse - je laisse beton, je prends Lat. Estimée)</t>
  </si>
  <si>
    <t>Soleil - Meridienne</t>
  </si>
  <si>
    <t>Distance azimutale = Dz = 90 - Hv</t>
  </si>
  <si>
    <r>
      <t>D</t>
    </r>
    <r>
      <rPr>
        <vertAlign val="subscript"/>
        <sz val="11"/>
        <color theme="1"/>
        <rFont val="Calibri"/>
        <family val="2"/>
        <scheme val="minor"/>
      </rPr>
      <t>z</t>
    </r>
  </si>
  <si>
    <t>Lat dec ^m signe?</t>
  </si>
  <si>
    <t>Lat &gt; Dec</t>
  </si>
  <si>
    <t>HP (ou Pi) Lune</t>
  </si>
  <si>
    <t>Polaire - Latitude</t>
  </si>
  <si>
    <t>hauteur astro (Ha)</t>
  </si>
  <si>
    <r>
      <t>GHA</t>
    </r>
    <r>
      <rPr>
        <sz val="9"/>
        <color theme="1"/>
        <rFont val="Symbol"/>
        <family val="1"/>
        <charset val="2"/>
      </rPr>
      <t>g</t>
    </r>
  </si>
  <si>
    <r>
      <t>GHA</t>
    </r>
    <r>
      <rPr>
        <sz val="11"/>
        <color theme="1"/>
        <rFont val="Symbol"/>
        <family val="1"/>
        <charset val="2"/>
      </rPr>
      <t>g</t>
    </r>
  </si>
  <si>
    <t>-PD</t>
  </si>
  <si>
    <t>sin(LHA)</t>
  </si>
  <si>
    <t>cos(lat)</t>
  </si>
  <si>
    <t>-PD * S / C</t>
  </si>
  <si>
    <r>
      <t>LHA</t>
    </r>
    <r>
      <rPr>
        <vertAlign val="subscript"/>
        <sz val="11"/>
        <color theme="1"/>
        <rFont val="Roboto"/>
      </rPr>
      <t>p</t>
    </r>
    <r>
      <rPr>
        <sz val="11"/>
        <color theme="1"/>
        <rFont val="Roboto"/>
      </rPr>
      <t xml:space="preserve"> = LHA</t>
    </r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Roboto"/>
      </rPr>
      <t xml:space="preserve"> + SHA</t>
    </r>
    <r>
      <rPr>
        <vertAlign val="subscript"/>
        <sz val="11"/>
        <color theme="1"/>
        <rFont val="Roboto"/>
      </rPr>
      <t>p</t>
    </r>
  </si>
  <si>
    <r>
      <t>GHA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 xml:space="preserve"> Aries</t>
    </r>
  </si>
  <si>
    <r>
      <t>SHA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</si>
  <si>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SHA</t>
    </r>
    <r>
      <rPr>
        <vertAlign val="subscript"/>
        <sz val="10"/>
        <color theme="1"/>
        <rFont val="Roboto"/>
      </rPr>
      <t>p</t>
    </r>
  </si>
  <si>
    <r>
      <t>Dec</t>
    </r>
    <r>
      <rPr>
        <vertAlign val="subscript"/>
        <sz val="10"/>
        <color theme="1"/>
        <rFont val="Roboto"/>
      </rPr>
      <t>p</t>
    </r>
  </si>
  <si>
    <r>
      <t>LHA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</si>
  <si>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+ Longitude estinmee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</si>
  <si>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</si>
  <si>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</si>
  <si>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</si>
  <si>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b/>
        <sz val="11"/>
        <color rgb="FFFA7D00"/>
        <rFont val="Symbol"/>
        <family val="1"/>
        <charset val="2"/>
      </rPr>
      <t>g</t>
    </r>
    <r>
      <rPr>
        <b/>
        <sz val="11"/>
        <color rgb="FFFA7D00"/>
        <rFont val="Calibri"/>
        <family val="2"/>
        <scheme val="minor"/>
      </rPr>
      <t>+SHA</t>
    </r>
    <r>
      <rPr>
        <b/>
        <vertAlign val="subscript"/>
        <sz val="11"/>
        <color rgb="FFFA7D00"/>
        <rFont val="Calibri"/>
        <family val="2"/>
        <scheme val="minor"/>
      </rPr>
      <t>p</t>
    </r>
  </si>
  <si>
    <r>
      <t>GHA</t>
    </r>
    <r>
      <rPr>
        <b/>
        <vertAlign val="subscript"/>
        <sz val="11"/>
        <color rgb="FFFA7D00"/>
        <rFont val="Calibri"/>
        <family val="2"/>
        <scheme val="minor"/>
      </rPr>
      <t>p</t>
    </r>
    <r>
      <rPr>
        <b/>
        <sz val="11"/>
        <color rgb="FFFA7D00"/>
        <rFont val="Calibri"/>
        <family val="2"/>
        <scheme val="minor"/>
      </rPr>
      <t>+Long estimee</t>
    </r>
  </si>
  <si>
    <r>
      <t>Polar Distance = Pd = 90 - Dec</t>
    </r>
    <r>
      <rPr>
        <vertAlign val="subscript"/>
        <sz val="9"/>
        <color theme="1"/>
        <rFont val="Roboto"/>
      </rPr>
      <t>p</t>
    </r>
  </si>
  <si>
    <t>Pd</t>
  </si>
  <si>
    <r>
      <t>Q = -Pd * cos(LHA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</t>
    </r>
  </si>
  <si>
    <r>
      <t>Az = -Pd sin(LHA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 / cos (Lat)</t>
    </r>
  </si>
  <si>
    <r>
      <t>Lat = H</t>
    </r>
    <r>
      <rPr>
        <vertAlign val="subscript"/>
        <sz val="9"/>
        <color theme="1"/>
        <rFont val="Roboto"/>
      </rPr>
      <t>o</t>
    </r>
    <r>
      <rPr>
        <sz val="9"/>
        <color theme="1"/>
        <rFont val="Roboto"/>
      </rPr>
      <t xml:space="preserve"> + Q</t>
    </r>
  </si>
  <si>
    <t>Pg
Lune</t>
  </si>
  <si>
    <r>
      <t>A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</t>
    </r>
  </si>
  <si>
    <r>
      <t>SHA</t>
    </r>
    <r>
      <rPr>
        <vertAlign val="subscript"/>
        <sz val="11"/>
        <color theme="1"/>
        <rFont val="Calibri"/>
        <family val="2"/>
        <scheme val="minor"/>
      </rPr>
      <t>p</t>
    </r>
  </si>
  <si>
    <t>20/10/2029</t>
  </si>
  <si>
    <t>18:48:30</t>
  </si>
  <si>
    <t>12°30</t>
  </si>
  <si>
    <t>28°55'</t>
  </si>
  <si>
    <t>0°00</t>
  </si>
  <si>
    <t>89°23.1</t>
  </si>
  <si>
    <t>311°25.8</t>
  </si>
  <si>
    <t>299°29.0</t>
  </si>
  <si>
    <t>314°31.4</t>
  </si>
  <si>
    <t>Droite hauteur - Etoile</t>
  </si>
  <si>
    <r>
      <t>SHA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</si>
  <si>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GHA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</si>
  <si>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</si>
  <si>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sz val="11"/>
        <color theme="1"/>
        <rFont val="Symbol"/>
        <family val="1"/>
        <charset val="2"/>
      </rPr>
      <t>g</t>
    </r>
  </si>
  <si>
    <r>
      <t>Declinaison</t>
    </r>
    <r>
      <rPr>
        <vertAlign val="subscript"/>
        <sz val="11"/>
        <color theme="1"/>
        <rFont val="Calibri"/>
        <family val="2"/>
        <scheme val="minor"/>
      </rPr>
      <t>etoile</t>
    </r>
  </si>
  <si>
    <t>Etoile/Planete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</si>
  <si>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 (H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</si>
  <si>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(=H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</si>
  <si>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v</t>
    </r>
  </si>
  <si>
    <t>Longitude probable</t>
  </si>
  <si>
    <t>Longitude approximative (Longi. depart + Delta longi.)</t>
  </si>
  <si>
    <t xml:space="preserve">° de longitude parcourus </t>
  </si>
  <si>
    <t>08:30:05</t>
  </si>
  <si>
    <t>06:16:10</t>
  </si>
  <si>
    <t>12:20:13</t>
  </si>
  <si>
    <t>0°54,4'</t>
  </si>
  <si>
    <t>Diam (texte)</t>
  </si>
  <si>
    <t>Diam (float)</t>
  </si>
  <si>
    <t>Diam cible</t>
  </si>
  <si>
    <t>SD Cible</t>
  </si>
  <si>
    <t>Check avec ephemeride: SD calculé</t>
  </si>
  <si>
    <t>28/06/2024</t>
  </si>
  <si>
    <t>50°03'</t>
  </si>
  <si>
    <t>9°02'</t>
  </si>
  <si>
    <t>1.5'</t>
  </si>
  <si>
    <t>Capela</t>
  </si>
  <si>
    <t>18°45</t>
  </si>
  <si>
    <t>Alpheratz</t>
  </si>
  <si>
    <t>51°06</t>
  </si>
  <si>
    <t>Altair</t>
  </si>
  <si>
    <t>Vega</t>
  </si>
  <si>
    <t>45°23.4</t>
  </si>
  <si>
    <t>59°47.7</t>
  </si>
  <si>
    <t>45°46.8</t>
  </si>
  <si>
    <t>321°42.4</t>
  </si>
  <si>
    <t>336°44.8</t>
  </si>
  <si>
    <t>351°47.3</t>
  </si>
  <si>
    <t>276°35.0</t>
  </si>
  <si>
    <t>280°23</t>
  </si>
  <si>
    <t>46°01.3</t>
  </si>
  <si>
    <t>357°35.2</t>
  </si>
  <si>
    <t>29°13.4</t>
  </si>
  <si>
    <t>62°0.1</t>
  </si>
  <si>
    <t>8°55.9</t>
  </si>
  <si>
    <t>80°33.1</t>
  </si>
  <si>
    <t>38°48.3</t>
  </si>
  <si>
    <t>137°19</t>
  </si>
  <si>
    <t>74°3.5</t>
  </si>
  <si>
    <t>G 
(inter ou v)</t>
  </si>
  <si>
    <t>Interval</t>
  </si>
  <si>
    <t>heure</t>
  </si>
  <si>
    <t>03:20:08</t>
  </si>
  <si>
    <t>03:22:12</t>
  </si>
  <si>
    <t>03:25:04</t>
  </si>
  <si>
    <t>03:27:15</t>
  </si>
  <si>
    <t>03:30:24</t>
  </si>
  <si>
    <t>-0:00:04</t>
  </si>
  <si>
    <t>cos(Z) = {sin(Dec) - sin (Lat estimee) * sin(Hc)}    /  {cos(Lat estimee) * cos(Hc)}</t>
  </si>
  <si>
    <t>sin(Dec)</t>
  </si>
  <si>
    <t>cos(Dec)</t>
  </si>
  <si>
    <t>sin(DR Lat)</t>
  </si>
  <si>
    <t>cos(DR Lat)</t>
  </si>
  <si>
    <t>sin(Hc)</t>
  </si>
  <si>
    <t xml:space="preserve">cos(Z) =  {sin(Dec) - sin (Lat estimee) * sin(Hc)}    /  {cos(Lat estimee) * cos(Hc)}  </t>
  </si>
  <si>
    <t>sin(Hc) = sin(Dec) * sin (Lat estimee) + cos(Dec) * cos (Lat estimee) * cos(LHA)</t>
  </si>
  <si>
    <t>cos(Hc)</t>
  </si>
  <si>
    <r>
      <t>T (et decalage montre a ajouter [</t>
    </r>
    <r>
      <rPr>
        <b/>
        <sz val="8"/>
        <color rgb="FFFF0000"/>
        <rFont val="Roboto"/>
      </rPr>
      <t>si monte avance mettre -x</t>
    </r>
    <r>
      <rPr>
        <sz val="8"/>
        <color theme="1"/>
        <rFont val="Roboto"/>
      </rPr>
      <t>])</t>
    </r>
  </si>
  <si>
    <t>Résumé</t>
  </si>
  <si>
    <t>Resume</t>
  </si>
  <si>
    <t>Par Python - Skyfield</t>
  </si>
  <si>
    <t>10:20:35</t>
  </si>
  <si>
    <t>23°08,5</t>
  </si>
  <si>
    <t>23°08,3</t>
  </si>
  <si>
    <t>329°03.9</t>
  </si>
  <si>
    <t>344°03.8</t>
  </si>
  <si>
    <t>12:03:46</t>
  </si>
  <si>
    <t>Calcul latitude</t>
  </si>
  <si>
    <t>Calcul longitude</t>
  </si>
  <si>
    <t>Départ</t>
  </si>
  <si>
    <t>Heure Passage G.</t>
  </si>
  <si>
    <t>V - longitude</t>
  </si>
  <si>
    <t>kn</t>
  </si>
  <si>
    <t>°/h</t>
  </si>
  <si>
    <t xml:space="preserve">Temps de nav </t>
  </si>
  <si>
    <t>Distance parcourue</t>
  </si>
  <si>
    <t>delta longi</t>
  </si>
  <si>
    <t>Par valeur</t>
  </si>
  <si>
    <t>Par Valeur</t>
  </si>
  <si>
    <t>Valeur
almanah : 45°59.999'</t>
  </si>
  <si>
    <t>is Nord</t>
  </si>
  <si>
    <t>is &gt; 180</t>
  </si>
  <si>
    <r>
      <t>Colimation en dd°mm.mm' (</t>
    </r>
    <r>
      <rPr>
        <sz val="14"/>
        <color theme="1"/>
        <rFont val="Symbol"/>
        <family val="1"/>
        <charset val="2"/>
      </rPr>
      <t>e</t>
    </r>
    <r>
      <rPr>
        <sz val="10"/>
        <color theme="1"/>
        <rFont val="Roboto"/>
      </rPr>
      <t>)</t>
    </r>
  </si>
  <si>
    <t xml:space="preserve">m </t>
  </si>
  <si>
    <t>Pied:</t>
  </si>
  <si>
    <t>m :</t>
  </si>
  <si>
    <t>Pied</t>
  </si>
  <si>
    <t>L</t>
  </si>
  <si>
    <t>tan(Z)</t>
  </si>
  <si>
    <t>{sin(LHA) * cos(Dec.)} / {cos(Lat estimee) * sin(Dec.) - sin(Lat estimee) * cos(Dec.) * cos(LHA)}</t>
  </si>
  <si>
    <t xml:space="preserve">Botchich V2 </t>
  </si>
  <si>
    <t>LHA-Calcul</t>
  </si>
  <si>
    <t>sin(LHA-Calcul)</t>
  </si>
  <si>
    <t>cos(LHA-Calcul)</t>
  </si>
  <si>
    <t>Lat. Esti. Calcul</t>
  </si>
  <si>
    <t>sin(Lat. Esti. Calcul)</t>
  </si>
  <si>
    <t>cos(Lat. Esti. Calcul)</t>
  </si>
  <si>
    <t>sin(Dec. Calcul)</t>
  </si>
  <si>
    <t>cos(Dec. Calcul)</t>
  </si>
  <si>
    <t>Dec. Calcul</t>
  </si>
  <si>
    <t>dec</t>
  </si>
  <si>
    <t>ho</t>
  </si>
  <si>
    <t>67°45</t>
  </si>
  <si>
    <t>22°05</t>
  </si>
  <si>
    <t>18°46</t>
  </si>
  <si>
    <t>Observation vers Sud
Dos au Nord</t>
  </si>
  <si>
    <t>Soleil au Nord</t>
  </si>
  <si>
    <t>Soleil au sud</t>
  </si>
  <si>
    <t>6°22.001</t>
  </si>
  <si>
    <t>Sens de la visee</t>
  </si>
  <si>
    <t>Boditch</t>
  </si>
  <si>
    <t>Formule</t>
  </si>
  <si>
    <t>Bodwithch</t>
  </si>
  <si>
    <t>Defaut</t>
  </si>
  <si>
    <r>
      <t>G</t>
    </r>
    <r>
      <rPr>
        <vertAlign val="subscript"/>
        <sz val="10"/>
        <color theme="1"/>
        <rFont val="Calibri"/>
        <family val="2"/>
        <scheme val="minor"/>
      </rPr>
      <t>0</t>
    </r>
  </si>
  <si>
    <r>
      <t>j</t>
    </r>
    <r>
      <rPr>
        <vertAlign val="subscript"/>
        <sz val="10"/>
        <color theme="1"/>
        <rFont val="Calibri"/>
        <family val="2"/>
        <scheme val="minor"/>
      </rPr>
      <t>0</t>
    </r>
  </si>
  <si>
    <t>Pied - metre conv</t>
  </si>
  <si>
    <t>Pouce - metre conv</t>
  </si>
  <si>
    <t>cm</t>
  </si>
  <si>
    <t>Pouce</t>
  </si>
  <si>
    <t>cm :</t>
  </si>
  <si>
    <t>Pouce :</t>
  </si>
  <si>
    <t>Long. estimée</t>
  </si>
  <si>
    <r>
      <t>Calcul ([</t>
    </r>
    <r>
      <rPr>
        <sz val="10"/>
        <color theme="1"/>
        <rFont val="Symbol"/>
        <family val="1"/>
        <charset val="2"/>
      </rPr>
      <t>l1 + l0</t>
    </r>
    <r>
      <rPr>
        <sz val="10"/>
        <color theme="1"/>
        <rFont val="Calibri"/>
        <family val="2"/>
        <scheme val="minor"/>
      </rPr>
      <t>]/2)</t>
    </r>
  </si>
  <si>
    <t>Calcul ([l1 + l0]/2)</t>
  </si>
  <si>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Calibri"/>
        <family val="2"/>
        <scheme val="minor"/>
      </rPr>
      <t xml:space="preserve"> Moyenne</t>
    </r>
  </si>
  <si>
    <r>
      <t>Lat. estimée (</t>
    </r>
    <r>
      <rPr>
        <sz val="11"/>
        <color theme="1"/>
        <rFont val="Symbol"/>
        <family val="1"/>
        <charset val="2"/>
      </rPr>
      <t>l</t>
    </r>
    <r>
      <rPr>
        <sz val="11"/>
        <color theme="1"/>
        <rFont val="Calibri"/>
        <family val="2"/>
        <scheme val="minor"/>
      </rPr>
      <t>)</t>
    </r>
  </si>
  <si>
    <r>
      <t xml:space="preserve">Longitude </t>
    </r>
    <r>
      <rPr>
        <b/>
        <i/>
        <sz val="10"/>
        <color rgb="FFFF0000"/>
        <rFont val="Roboto"/>
      </rPr>
      <t>horaire</t>
    </r>
    <r>
      <rPr>
        <b/>
        <i/>
        <sz val="10"/>
        <color theme="1"/>
        <rFont val="Roboto"/>
      </rPr>
      <t xml:space="preserve"> estimée au moment du point (attention angle Horaire &gt; 0)</t>
    </r>
  </si>
  <si>
    <t>Meridienne
estimée</t>
  </si>
  <si>
    <t>Sens lat/Dec</t>
  </si>
  <si>
    <t>lat&gt;Dec</t>
  </si>
  <si>
    <t>==&gt; Lat</t>
  </si>
  <si>
    <t>Realisation de la meridienne</t>
  </si>
  <si>
    <t>23°10.6</t>
  </si>
  <si>
    <t>Heure decimale T0
almanach</t>
  </si>
  <si>
    <t>180°02</t>
  </si>
  <si>
    <t>Ha etoile</t>
  </si>
  <si>
    <t>46°47.10</t>
  </si>
  <si>
    <t>27°30</t>
  </si>
  <si>
    <t>63°</t>
  </si>
  <si>
    <t>306°17.89</t>
  </si>
  <si>
    <t>14°43.7</t>
  </si>
  <si>
    <t>Heure 
Meusure</t>
  </si>
  <si>
    <t>Valeur</t>
  </si>
  <si>
    <r>
      <t>90 + Z</t>
    </r>
    <r>
      <rPr>
        <vertAlign val="subscript"/>
        <sz val="11"/>
        <color theme="1"/>
        <rFont val="Calibri"/>
        <family val="2"/>
        <scheme val="minor"/>
      </rPr>
      <t>n</t>
    </r>
  </si>
  <si>
    <t>recal</t>
  </si>
  <si>
    <t>Route fond (COG)
Cap a defaut</t>
  </si>
  <si>
    <t>Vitesse fond 
Lock a defaut (Nd)</t>
  </si>
  <si>
    <t>Heure 
Meridienne Greenwitch</t>
  </si>
  <si>
    <r>
      <t xml:space="preserve">Calcul temps de nav jusqu’à la meridienne </t>
    </r>
    <r>
      <rPr>
        <b/>
        <sz val="10"/>
        <color rgb="FFFF0000"/>
        <rFont val="Roboto"/>
      </rPr>
      <t>LOCALE</t>
    </r>
    <r>
      <rPr>
        <b/>
        <sz val="10"/>
        <color theme="1"/>
        <rFont val="Roboto"/>
      </rPr>
      <t xml:space="preserve"> - Estimation longitude de meridienne </t>
    </r>
    <r>
      <rPr>
        <b/>
        <sz val="10"/>
        <color rgb="FFFF0000"/>
        <rFont val="Roboto"/>
      </rPr>
      <t xml:space="preserve">LOCALE </t>
    </r>
  </si>
  <si>
    <r>
      <t xml:space="preserve">Horaire de la meridienne locale </t>
    </r>
    <r>
      <rPr>
        <b/>
        <sz val="10"/>
        <color rgb="FFFF0000"/>
        <rFont val="Roboto"/>
      </rPr>
      <t>ESTIMEE</t>
    </r>
  </si>
  <si>
    <t>Heure UTC</t>
  </si>
  <si>
    <t>12:43</t>
  </si>
  <si>
    <t>Heure meusure</t>
  </si>
  <si>
    <t>correction horaire</t>
  </si>
  <si>
    <t>Dt avant culmination</t>
  </si>
  <si>
    <t>Heure prevue</t>
  </si>
  <si>
    <t>Heure realisee</t>
  </si>
  <si>
    <t>Dt</t>
  </si>
  <si>
    <t>H meridienne</t>
  </si>
  <si>
    <t>To</t>
  </si>
  <si>
    <t>L Soleil</t>
  </si>
  <si>
    <t>L bateau</t>
  </si>
  <si>
    <t>Vb</t>
  </si>
  <si>
    <t>Vs</t>
  </si>
  <si>
    <t>Parallaxe</t>
  </si>
  <si>
    <t>0°54.4</t>
  </si>
  <si>
    <t>0°54.1</t>
  </si>
  <si>
    <r>
      <t xml:space="preserve">Parallaxe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/ Diametre</t>
    </r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</si>
  <si>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Sup /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Inf</t>
    </r>
  </si>
  <si>
    <t>parallaleaxe</t>
  </si>
  <si>
    <t>Index Pi Inf</t>
  </si>
  <si>
    <t>Pi Sup / Diam. Sup.</t>
  </si>
  <si>
    <t>Pi inf / Diam. Inf.</t>
  </si>
  <si>
    <t>gradiant</t>
  </si>
  <si>
    <t>Diam</t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</si>
  <si>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
Meusure</t>
    </r>
  </si>
  <si>
    <t>Diam.</t>
  </si>
  <si>
    <t>Lune: 54'&lt; . &lt; 60' ou 0.9°&lt;.&lt;1.0°</t>
  </si>
  <si>
    <r>
      <t>I = 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- H</t>
    </r>
    <r>
      <rPr>
        <vertAlign val="subscript"/>
        <sz val="11"/>
        <color theme="1"/>
        <rFont val="Calibri"/>
        <family val="2"/>
        <scheme val="minor"/>
      </rPr>
      <t>c</t>
    </r>
  </si>
  <si>
    <t>Diametre / SD</t>
  </si>
  <si>
    <t>°C - °Fahrenheit</t>
  </si>
  <si>
    <t>°C</t>
  </si>
  <si>
    <t>°F</t>
  </si>
  <si>
    <t>F=C*(9/5)+32</t>
  </si>
  <si>
    <t>C=(F-32)*(5/9)</t>
  </si>
  <si>
    <t>Pas de valeur &lt; 20°</t>
  </si>
  <si>
    <t>Si possible &gt; 30°</t>
  </si>
  <si>
    <t>Au dela de 40° faible erreur</t>
  </si>
  <si>
    <t>Angle</t>
  </si>
  <si>
    <t>Ordre</t>
  </si>
  <si>
    <t>1. Hauteur de lune</t>
  </si>
  <si>
    <t>2. Hauteur du soleil</t>
  </si>
  <si>
    <t>3. distance Lune-soleil</t>
  </si>
  <si>
    <t>Dv</t>
  </si>
  <si>
    <t>49°40.5</t>
  </si>
  <si>
    <t>sin HvL * sin HvS</t>
  </si>
  <si>
    <t>T (UT)</t>
  </si>
  <si>
    <t>74°40.8</t>
  </si>
  <si>
    <t>76°12.7</t>
  </si>
  <si>
    <t>77°44.2</t>
  </si>
  <si>
    <t>79°15.4</t>
  </si>
  <si>
    <t>80°46.1</t>
  </si>
  <si>
    <t>82°16.4</t>
  </si>
  <si>
    <t>83°46.4</t>
  </si>
  <si>
    <t>85°16.0</t>
  </si>
  <si>
    <t>Note premiminaire:</t>
  </si>
  <si>
    <t>Dstance Astre - Lune</t>
  </si>
  <si>
    <t>Distance Lunaire</t>
  </si>
  <si>
    <r>
      <t>collimation (</t>
    </r>
    <r>
      <rPr>
        <sz val="14"/>
        <color theme="1"/>
        <rFont val="Symbol"/>
        <family val="1"/>
        <charset val="2"/>
      </rPr>
      <t>e</t>
    </r>
    <r>
      <rPr>
        <sz val="11"/>
        <color theme="1"/>
        <rFont val="Calibri"/>
        <family val="2"/>
        <scheme val="minor"/>
      </rPr>
      <t>)</t>
    </r>
  </si>
  <si>
    <t>type visée</t>
  </si>
  <si>
    <t>Type visée</t>
  </si>
  <si>
    <t>Bord inf.</t>
  </si>
  <si>
    <t>Bord Sup.</t>
  </si>
  <si>
    <t>Correction de visee sur le SD</t>
  </si>
  <si>
    <t>Ephemerides du jour</t>
  </si>
  <si>
    <t>Diametre du jour</t>
  </si>
  <si>
    <t>rad.</t>
  </si>
  <si>
    <t>HP</t>
  </si>
  <si>
    <t>Colimation en dd°mm.mm' (e)</t>
  </si>
  <si>
    <t>0°0</t>
  </si>
  <si>
    <t xml:space="preserve">(Di) </t>
  </si>
  <si>
    <t xml:space="preserve">sin Hv </t>
  </si>
  <si>
    <t xml:space="preserve">cos Hv </t>
  </si>
  <si>
    <t xml:space="preserve">cos(Dv)  </t>
  </si>
  <si>
    <t>=ASIN(SIN(HP)*COS(Ho))</t>
  </si>
  <si>
    <t>(Do)</t>
  </si>
  <si>
    <t>N/A</t>
  </si>
  <si>
    <t>Calcul de Dv</t>
  </si>
  <si>
    <t>Calcul de l'heure</t>
  </si>
  <si>
    <t>Ephemerides Solunaire du jour</t>
  </si>
  <si>
    <r>
      <t>D</t>
    </r>
    <r>
      <rPr>
        <vertAlign val="subscript"/>
        <sz val="11"/>
        <color theme="1"/>
        <rFont val="Calibri"/>
        <family val="2"/>
        <scheme val="minor"/>
      </rPr>
      <t>l</t>
    </r>
  </si>
  <si>
    <r>
      <t>Regression lineaire: T = a * D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+ b</t>
    </r>
  </si>
  <si>
    <t>Y</t>
  </si>
  <si>
    <t>X</t>
  </si>
  <si>
    <t>X moyen</t>
  </si>
  <si>
    <t>Y moyen</t>
  </si>
  <si>
    <t>X-Xm</t>
  </si>
  <si>
    <t>Y-Ym</t>
  </si>
  <si>
    <t>(X-Xm)(Y-Ym)</t>
  </si>
  <si>
    <t>(X-Xm)^2</t>
  </si>
  <si>
    <t>T</t>
  </si>
  <si>
    <t>UT</t>
  </si>
  <si>
    <t>-R+P+SD</t>
  </si>
  <si>
    <t>Deviation du compas</t>
  </si>
  <si>
    <t>1. chercher un endroit a magnetique sur le bateau</t>
  </si>
  <si>
    <t>prendre un compas de relevement</t>
  </si>
  <si>
    <t>prendre un amer a &gt; 3 milles</t>
  </si>
  <si>
    <t>faire un 360° pas trop largue</t>
  </si>
  <si>
    <t>==&gt; le relevement doit etre constant</t>
  </si>
  <si>
    <t>2. prendre un cap sur un alignement</t>
  </si>
  <si>
    <t>Correction du W du compas de relevement</t>
  </si>
  <si>
    <t>note la diff entre compas de relevement et compas de navigation fix</t>
  </si>
  <si>
    <t>Diametre Lune en fonction de Pi (Paralaxe lune)</t>
  </si>
  <si>
    <t>Table</t>
  </si>
  <si>
    <t>Rayon en °</t>
  </si>
  <si>
    <t>Regression linaire</t>
  </si>
  <si>
    <t>Rayon =</t>
  </si>
  <si>
    <t xml:space="preserve">* Pi + </t>
  </si>
  <si>
    <t>Estimation</t>
  </si>
  <si>
    <t>err ^2</t>
  </si>
  <si>
    <t>30/3/2025</t>
  </si>
  <si>
    <t>moyenne</t>
  </si>
  <si>
    <t>sec/mois</t>
  </si>
  <si>
    <t>methodo</t>
  </si>
  <si>
    <t>Hv = Hi + Depression + 1/2 Diametre</t>
  </si>
  <si>
    <t>Ha = Hv + refraction + parallaxe</t>
  </si>
  <si>
    <t>(lune/sol)</t>
  </si>
  <si>
    <t>Da = Di - les deux 1/2 diametres</t>
  </si>
  <si>
    <t>Hi -&gt;</t>
  </si>
  <si>
    <t>Di -&gt;</t>
  </si>
  <si>
    <t>(dis. Lun)</t>
  </si>
  <si>
    <t>Ephemerides</t>
  </si>
  <si>
    <t>Equation horaire de la droite lunaire: Dv = a T + b</t>
  </si>
  <si>
    <t>Du coup T = (Dv - b) / a ….</t>
  </si>
  <si>
    <t>Ephemeride par heure estimee ou position estimée ?</t>
  </si>
  <si>
    <t>Par heure</t>
  </si>
  <si>
    <t>Par position</t>
  </si>
  <si>
    <t>14:00</t>
  </si>
  <si>
    <t>Latitude (N+ / S-)</t>
  </si>
  <si>
    <t>Longitude (E+ / W-)</t>
  </si>
  <si>
    <t>49°</t>
  </si>
  <si>
    <t>-8°</t>
  </si>
  <si>
    <t>Heure estimée UTC (pour les ephemerides)</t>
  </si>
  <si>
    <t>Heure estimée</t>
  </si>
  <si>
    <t>23/04/2007</t>
  </si>
  <si>
    <t>56,9'</t>
  </si>
  <si>
    <t>mois</t>
  </si>
  <si>
    <t>32°59</t>
  </si>
  <si>
    <t>81°49,5</t>
  </si>
  <si>
    <r>
      <t xml:space="preserve">Ho (=Hi + </t>
    </r>
    <r>
      <rPr>
        <b/>
        <sz val="11"/>
        <color rgb="FFFA7D00"/>
        <rFont val="Symbol"/>
        <family val="1"/>
        <charset val="2"/>
      </rPr>
      <t>e</t>
    </r>
    <r>
      <rPr>
        <b/>
        <sz val="11"/>
        <color rgb="FFFA7D00"/>
        <rFont val="Calibri"/>
        <family val="2"/>
        <scheme val="minor"/>
      </rPr>
      <t xml:space="preserve"> -Dip)</t>
    </r>
  </si>
  <si>
    <t>=ASIN(SIN(HP)*COS(Hs))</t>
  </si>
  <si>
    <t>parallaxe = HP * cos(Hs)</t>
  </si>
  <si>
    <t>A</t>
  </si>
  <si>
    <t>B</t>
  </si>
  <si>
    <t>C</t>
  </si>
  <si>
    <t>D</t>
  </si>
  <si>
    <t>Cos(Dv) = A + (B-C) * D / E</t>
  </si>
  <si>
    <t>Hv (=Ho + SD)</t>
  </si>
  <si>
    <t>Ha (= Hv -R + P)</t>
  </si>
  <si>
    <t>sin Ha</t>
  </si>
  <si>
    <t>cos Ha</t>
  </si>
  <si>
    <t xml:space="preserve">cos HvL * cos HvS </t>
  </si>
  <si>
    <t>sin HaL * sin HaS</t>
  </si>
  <si>
    <t>cos HaL * cos HaS</t>
  </si>
  <si>
    <t>(Da)</t>
  </si>
  <si>
    <t>cos Da</t>
  </si>
  <si>
    <t>Cos(Dv) = (sin HvL * sin HvS) + (cos Da - (sin HaL * sin HaS)) * (cos HvL * cos HvS ) / (cos HaL * cos HaS)</t>
  </si>
  <si>
    <t>Bord inf. Lune</t>
  </si>
  <si>
    <t>Bord Sup. Lune</t>
  </si>
  <si>
    <t>Bord inf. Soleil</t>
  </si>
  <si>
    <t>Bord Sup. Soleil</t>
  </si>
  <si>
    <t>(XLS) Regression lineaire: T = a * Dl + b</t>
  </si>
  <si>
    <t>Estime</t>
  </si>
  <si>
    <t>X. estmé.</t>
  </si>
  <si>
    <t>err^2</t>
  </si>
  <si>
    <t>3. pour chaque cap (de 10 en 10 ou 20 en 20)</t>
  </si>
  <si>
    <t xml:space="preserve">Note </t>
  </si>
  <si>
    <t>W(cap) = D + d(cap)</t>
  </si>
  <si>
    <t>Zc = Zv - W (cap)</t>
  </si>
  <si>
    <t>Si Cap change, Zv cst, D cst =&gt; seul d(cap) change</t>
  </si>
  <si>
    <t>d est lie au perturbation du bateau</t>
  </si>
  <si>
    <t>Astro</t>
  </si>
  <si>
    <t>1. variation par l'heure</t>
  </si>
  <si>
    <t>3. par la polaire</t>
  </si>
  <si>
    <t>2. variation au lever et coucher du soleil</t>
  </si>
  <si>
    <t>prendre un astre de faible hauteur</t>
  </si>
  <si>
    <t xml:space="preserve">Ex: </t>
  </si>
  <si>
    <t xml:space="preserve">Zc </t>
  </si>
  <si>
    <t>H (UTC)</t>
  </si>
  <si>
    <t>-46°36'</t>
  </si>
  <si>
    <t>-57°03'</t>
  </si>
  <si>
    <t>A une heure donner prendre Zc de l'astre pas trop haut</t>
  </si>
  <si>
    <t>Puis GHA/Dec - Puis Az - Puis Z - Puis W = Zv - Zc</t>
  </si>
  <si>
    <t>19:35</t>
  </si>
  <si>
    <t>Ephemeride</t>
  </si>
  <si>
    <t>104°36.9'</t>
  </si>
  <si>
    <t>10°01.1</t>
  </si>
  <si>
    <t>119°37.1'</t>
  </si>
  <si>
    <t>10°00.2'</t>
  </si>
  <si>
    <t>=&gt;</t>
  </si>
  <si>
    <t xml:space="preserve">Si astre a l'ouest [0° &lt; LHA &lt; 180°] - Pe = LHA / Ze = 360 - Aze </t>
  </si>
  <si>
    <t>Si astre a l'Est [180° &lt; LHA &lt; 360°] - Pe = 360 - LHA / Ze = Aze</t>
  </si>
  <si>
    <t>Tan (Aze) = sin(Pe) / [tan (D) * cos (Lat)- cos(Pe) * sin(Lat)]</t>
  </si>
  <si>
    <t>LHA &lt; 180</t>
  </si>
  <si>
    <t>Pe=</t>
  </si>
  <si>
    <t>Tan(Aze)</t>
  </si>
  <si>
    <t>Aze</t>
  </si>
  <si>
    <t>Ze =</t>
  </si>
  <si>
    <t xml:space="preserve">W = Zv - Zc </t>
  </si>
  <si>
    <t xml:space="preserve">W = </t>
  </si>
  <si>
    <t>2. Par le lever / coucher du soleil</t>
  </si>
  <si>
    <t>Ex</t>
  </si>
  <si>
    <t>27°35'</t>
  </si>
  <si>
    <t>-151°42'</t>
  </si>
  <si>
    <t>Coucher apparent bord SUP</t>
  </si>
  <si>
    <t>Acturus</t>
  </si>
  <si>
    <t>25°42'</t>
  </si>
  <si>
    <t>136°21'</t>
  </si>
  <si>
    <t>9:17</t>
  </si>
  <si>
    <t>117°03.4</t>
  </si>
  <si>
    <t>132°05.9</t>
  </si>
  <si>
    <t>146°05.7</t>
  </si>
  <si>
    <t>19°11.4</t>
  </si>
  <si>
    <t>Cos(Aze) = (sin(D)-(sin(Hv) * sin(Lat)))/(cos(Hv) * cos (Lat))</t>
  </si>
  <si>
    <t>si Bord inf: Hv = -0.5°</t>
  </si>
  <si>
    <t>Si bord sup: Hv = -1°</t>
  </si>
  <si>
    <t>Au lever Ze = Aze</t>
  </si>
  <si>
    <t>Au coucher Ze = 360 - Aze</t>
  </si>
  <si>
    <t>Cos Aze</t>
  </si>
  <si>
    <t>Fin crepuscule</t>
  </si>
  <si>
    <t>Heure locale</t>
  </si>
  <si>
    <t>18:28</t>
  </si>
  <si>
    <t>18:19</t>
  </si>
  <si>
    <t>Ze</t>
  </si>
  <si>
    <t>été -2</t>
  </si>
  <si>
    <t>hiver -1</t>
  </si>
  <si>
    <t>6:0</t>
  </si>
  <si>
    <t>17:43</t>
  </si>
  <si>
    <t>0°08</t>
  </si>
  <si>
    <t>64°44'</t>
  </si>
  <si>
    <t>Python Path</t>
  </si>
  <si>
    <t>E:\bin\Python\Python312\python.exe</t>
  </si>
  <si>
    <t>Python Script</t>
  </si>
  <si>
    <t>path</t>
  </si>
  <si>
    <t>arg</t>
  </si>
  <si>
    <t xml:space="preserve">retour </t>
  </si>
  <si>
    <t>09/05/2025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</si>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</sst>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.00_);_(&quot;$&quot;* \(#,##0.00\);_(&quot;$&quot;* &quot;-&quot;??_);_(@_)"/>
    <numFmt numFmtId="165" formatCode="0.000000"/>
    <numFmt numFmtId="166" formatCode="[$-F400]h:mm:ss\ AM/PM"/>
    <numFmt numFmtId="167" formatCode="0.0000"/>
    <numFmt numFmtId="168" formatCode="0.000"/>
    <numFmt numFmtId="169" formatCode="0.0"/>
    <numFmt numFmtId="170" formatCode="0.0000000"/>
    <numFmt numFmtId="171" formatCode="0.00000"/>
    <numFmt numFmtId="172" formatCode="0.000000000000"/>
  </numFmts>
  <fonts count="100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0"/>
      <color theme="1"/>
      <name val="Roboto"/>
    </font>
    <font>
      <b/>
      <sz val="11"/>
      <color theme="1"/>
      <name val="Calibri"/>
      <family val="2"/>
      <scheme val="minor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rgb="FFFF0000"/>
      <name val="Roboto"/>
    </font>
    <font>
      <b/>
      <sz val="11"/>
      <name val="Calibri"/>
      <family val="2"/>
      <scheme val="minor"/>
    </font>
    <font>
      <b/>
      <sz val="11"/>
      <color rgb="FFF802C3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1"/>
      <charset val="2"/>
    </font>
    <font>
      <sz val="8"/>
      <color theme="1"/>
      <name val="Roboto"/>
    </font>
    <font>
      <b/>
      <sz val="8"/>
      <color theme="1"/>
      <name val="Roboto"/>
    </font>
    <font>
      <b/>
      <sz val="16"/>
      <name val="Palatino Linotype"/>
      <family val="1"/>
    </font>
    <font>
      <sz val="10"/>
      <name val="Roboto"/>
    </font>
    <font>
      <i/>
      <sz val="8"/>
      <color theme="1"/>
      <name val="Calibri"/>
      <family val="2"/>
      <scheme val="minor"/>
    </font>
    <font>
      <i/>
      <sz val="8"/>
      <color theme="1"/>
      <name val="Roboto"/>
    </font>
    <font>
      <sz val="11"/>
      <name val="Calibri"/>
      <family val="2"/>
      <scheme val="minor"/>
    </font>
    <font>
      <b/>
      <sz val="10"/>
      <color rgb="FF3F3F3F"/>
      <name val="Calibri"/>
      <family val="2"/>
      <scheme val="minor"/>
    </font>
    <font>
      <sz val="11"/>
      <color rgb="FF222222"/>
      <name val="Times New Roman"/>
      <family val="1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vertAlign val="subscript"/>
      <sz val="11"/>
      <color theme="1"/>
      <name val="Roboto"/>
    </font>
    <font>
      <sz val="11"/>
      <color theme="1"/>
      <name val="Wingdings"/>
      <charset val="2"/>
    </font>
    <font>
      <sz val="11"/>
      <color theme="1"/>
      <name val="Calibri"/>
      <family val="1"/>
      <charset val="2"/>
    </font>
    <font>
      <vertAlign val="subscript"/>
      <sz val="10"/>
      <color theme="1"/>
      <name val="Roboto"/>
    </font>
    <font>
      <sz val="9"/>
      <color theme="1"/>
      <name val="Roboto"/>
    </font>
    <font>
      <vertAlign val="subscript"/>
      <sz val="9"/>
      <color theme="1"/>
      <name val="Roboto"/>
    </font>
    <font>
      <b/>
      <sz val="9"/>
      <color rgb="FF3F3F3F"/>
      <name val="Calibri"/>
      <family val="2"/>
      <scheme val="minor"/>
    </font>
    <font>
      <sz val="9"/>
      <color theme="1"/>
      <name val="Symbol"/>
      <family val="1"/>
      <charset val="2"/>
    </font>
    <font>
      <b/>
      <sz val="11"/>
      <color rgb="FFFA7D00"/>
      <name val="Symbol"/>
      <family val="1"/>
      <charset val="2"/>
    </font>
    <font>
      <b/>
      <vertAlign val="subscript"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rgb="FFFF0000"/>
      <name val="Roboto"/>
    </font>
    <font>
      <sz val="14"/>
      <color theme="1"/>
      <name val="Symbol"/>
      <family val="1"/>
      <charset val="2"/>
    </font>
    <font>
      <sz val="11"/>
      <color rgb="FFFF00FF"/>
      <name val="Calibri"/>
      <family val="2"/>
    </font>
    <font>
      <i/>
      <sz val="9"/>
      <color theme="1"/>
      <name val="Roboto"/>
    </font>
    <font>
      <b/>
      <sz val="8"/>
      <color theme="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color rgb="FFFA7D00"/>
      <name val="Calibri"/>
      <family val="2"/>
      <scheme val="minor"/>
    </font>
    <font>
      <sz val="10"/>
      <color theme="1"/>
      <name val="Roboto"/>
      <family val="1"/>
      <charset val="2"/>
    </font>
    <font>
      <b/>
      <sz val="10"/>
      <name val="Roboto"/>
    </font>
    <font>
      <b/>
      <sz val="18"/>
      <color theme="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2" tint="-9.9978637043366805E-2"/>
      <name val="Calibri"/>
      <family val="2"/>
      <scheme val="minor"/>
    </font>
    <font>
      <sz val="11"/>
      <color rgb="FF000000"/>
      <name val="Calibri"/>
      <family val="2"/>
    </font>
  </fonts>
  <fills count="5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99CC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rgb="FFB9F7FF"/>
        <bgColor indexed="64"/>
      </patternFill>
    </fill>
    <fill>
      <patternFill patternType="solid">
        <fgColor rgb="FFD5FFD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lightUp">
        <fgColor rgb="FFFFFF00"/>
        <bgColor theme="8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BFFE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BB7FB"/>
        <bgColor indexed="64"/>
      </patternFill>
    </fill>
    <fill>
      <patternFill patternType="lightUp">
        <fgColor rgb="FFFFC000"/>
        <bgColor rgb="FFCCFFFF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</fills>
  <borders count="18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/>
      <bottom style="double">
        <color rgb="FF3F3F3F"/>
      </bottom>
      <diagonal/>
    </border>
    <border>
      <left/>
      <right style="thin">
        <color indexed="64"/>
      </right>
      <top/>
      <bottom style="double">
        <color rgb="FF3F3F3F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thin">
        <color indexed="64"/>
      </top>
      <bottom style="thin">
        <color rgb="FF7F7F7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 style="thin">
        <color indexed="64"/>
      </diagonal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7F7F7F"/>
      </top>
      <bottom/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/>
      <top style="thin">
        <color indexed="64"/>
      </top>
      <bottom/>
      <diagonal/>
    </border>
    <border>
      <left/>
      <right style="thin">
        <color rgb="FFB2B2B2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indexed="64"/>
      </left>
      <right/>
      <top style="double">
        <color rgb="FF3F3F3F"/>
      </top>
      <bottom style="thin">
        <color indexed="64"/>
      </bottom>
      <diagonal/>
    </border>
    <border>
      <left/>
      <right/>
      <top style="double">
        <color rgb="FF3F3F3F"/>
      </top>
      <bottom style="thin">
        <color indexed="64"/>
      </bottom>
      <diagonal/>
    </border>
    <border>
      <left/>
      <right style="thin">
        <color indexed="64"/>
      </right>
      <top style="double">
        <color rgb="FF3F3F3F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double">
        <color rgb="FF3F3F3F"/>
      </bottom>
      <diagonal/>
    </border>
    <border>
      <left/>
      <right/>
      <top style="thin">
        <color rgb="FF7F7F7F"/>
      </top>
      <bottom style="double">
        <color rgb="FF3F3F3F"/>
      </bottom>
      <diagonal/>
    </border>
    <border>
      <left style="double">
        <color rgb="FF3F3F3F"/>
      </left>
      <right/>
      <top/>
      <bottom/>
      <diagonal/>
    </border>
    <border>
      <left/>
      <right style="double">
        <color rgb="FF3F3F3F"/>
      </right>
      <top/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 style="thin">
        <color rgb="FF7F7F7F"/>
      </right>
      <top style="thin">
        <color indexed="64"/>
      </top>
      <bottom style="double">
        <color rgb="FF3F3F3F"/>
      </bottom>
      <diagonal/>
    </border>
    <border>
      <left/>
      <right/>
      <top style="thin">
        <color indexed="64"/>
      </top>
      <bottom style="double">
        <color rgb="FF3F3F3F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dashDot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ashDot">
        <color auto="1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dashDot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/>
      <diagonal/>
    </border>
  </borders>
  <cellStyleXfs count="14">
    <xf numFmtId="0" fontId="0" fillId="0" borderId="0"/>
    <xf numFmtId="0" fontId="1" fillId="2" borderId="1" applyNumberFormat="0" applyAlignment="0" applyProtection="0"/>
    <xf numFmtId="0" fontId="3" fillId="13" borderId="1" applyNumberFormat="0" applyAlignment="0" applyProtection="0"/>
    <xf numFmtId="0" fontId="4" fillId="5" borderId="0" applyNumberFormat="0" applyBorder="0" applyAlignment="0" applyProtection="0"/>
    <xf numFmtId="0" fontId="6" fillId="6" borderId="24" applyNumberFormat="0" applyAlignment="0" applyProtection="0"/>
    <xf numFmtId="0" fontId="5" fillId="7" borderId="25" applyNumberFormat="0" applyFont="0" applyAlignment="0" applyProtection="0"/>
    <xf numFmtId="0" fontId="8" fillId="11" borderId="0" applyNumberFormat="0" applyBorder="0" applyAlignment="0" applyProtection="0"/>
    <xf numFmtId="0" fontId="9" fillId="2" borderId="38" applyNumberFormat="0" applyAlignment="0" applyProtection="0"/>
    <xf numFmtId="0" fontId="2" fillId="15" borderId="0" applyNumberFormat="0" applyBorder="0" applyAlignment="0" applyProtection="0"/>
    <xf numFmtId="0" fontId="38" fillId="22" borderId="0" applyNumberFormat="0" applyBorder="0" applyAlignment="0" applyProtection="0"/>
    <xf numFmtId="0" fontId="5" fillId="23" borderId="0" applyNumberFormat="0" applyBorder="0" applyAlignment="0" applyProtection="0"/>
    <xf numFmtId="0" fontId="49" fillId="0" borderId="113" applyNumberFormat="0" applyFill="0" applyAlignment="0" applyProtection="0"/>
    <xf numFmtId="0" fontId="86" fillId="0" borderId="0" applyNumberFormat="0" applyFill="0" applyBorder="0" applyAlignment="0" applyProtection="0"/>
    <xf numFmtId="0" fontId="87" fillId="50" borderId="0" applyNumberFormat="0" applyBorder="0" applyAlignment="0" applyProtection="0"/>
  </cellStyleXfs>
  <cellXfs count="1497">
    <xf numFmtId="0" fontId="0" fillId="0" borderId="0" xfId="0"/>
    <xf numFmtId="165" fontId="2" fillId="0" borderId="0" xfId="0" applyNumberFormat="1" applyFont="1"/>
    <xf numFmtId="165" fontId="7" fillId="8" borderId="0" xfId="0" applyNumberFormat="1" applyFont="1" applyFill="1"/>
    <xf numFmtId="0" fontId="1" fillId="2" borderId="1" xfId="1" applyProtection="1"/>
    <xf numFmtId="165" fontId="7" fillId="0" borderId="0" xfId="0" applyNumberFormat="1" applyFont="1"/>
    <xf numFmtId="165" fontId="1" fillId="2" borderId="1" xfId="1" applyNumberFormat="1" applyProtection="1"/>
    <xf numFmtId="165" fontId="7" fillId="0" borderId="0" xfId="0" applyNumberFormat="1" applyFont="1" applyAlignment="1">
      <alignment horizontal="right"/>
    </xf>
    <xf numFmtId="0" fontId="0" fillId="7" borderId="25" xfId="5" applyFont="1" applyProtection="1"/>
    <xf numFmtId="0" fontId="2" fillId="0" borderId="0" xfId="0" applyFont="1"/>
    <xf numFmtId="165" fontId="2" fillId="0" borderId="0" xfId="0" applyNumberFormat="1" applyFont="1" applyAlignment="1">
      <alignment horizontal="center"/>
    </xf>
    <xf numFmtId="0" fontId="3" fillId="13" borderId="1" xfId="2" applyAlignment="1">
      <alignment horizontal="center"/>
    </xf>
    <xf numFmtId="0" fontId="0" fillId="0" borderId="0" xfId="0" quotePrefix="1"/>
    <xf numFmtId="0" fontId="3" fillId="13" borderId="2" xfId="2" quotePrefix="1" applyBorder="1" applyAlignment="1">
      <alignment horizontal="center" vertical="center"/>
    </xf>
    <xf numFmtId="0" fontId="3" fillId="13" borderId="2" xfId="2" applyBorder="1" applyAlignment="1">
      <alignment horizontal="center" vertical="center"/>
    </xf>
    <xf numFmtId="0" fontId="18" fillId="0" borderId="0" xfId="0" applyFont="1"/>
    <xf numFmtId="165" fontId="10" fillId="0" borderId="0" xfId="0" applyNumberFormat="1" applyFont="1" applyAlignment="1">
      <alignment horizontal="center" vertical="center"/>
    </xf>
    <xf numFmtId="165" fontId="10" fillId="0" borderId="0" xfId="0" applyNumberFormat="1" applyFont="1"/>
    <xf numFmtId="165" fontId="25" fillId="10" borderId="30" xfId="0" applyNumberFormat="1" applyFont="1" applyFill="1" applyBorder="1" applyAlignment="1">
      <alignment horizontal="center" vertical="center"/>
    </xf>
    <xf numFmtId="1" fontId="25" fillId="10" borderId="31" xfId="0" applyNumberFormat="1" applyFont="1" applyFill="1" applyBorder="1" applyAlignment="1">
      <alignment horizontal="center" vertical="center"/>
    </xf>
    <xf numFmtId="165" fontId="25" fillId="10" borderId="32" xfId="0" applyNumberFormat="1" applyFont="1" applyFill="1" applyBorder="1" applyAlignment="1">
      <alignment horizontal="center" vertical="center"/>
    </xf>
    <xf numFmtId="165" fontId="25" fillId="10" borderId="33" xfId="0" applyNumberFormat="1" applyFont="1" applyFill="1" applyBorder="1" applyAlignment="1">
      <alignment horizontal="center" vertical="center"/>
    </xf>
    <xf numFmtId="1" fontId="25" fillId="10" borderId="34" xfId="0" applyNumberFormat="1" applyFont="1" applyFill="1" applyBorder="1" applyAlignment="1">
      <alignment horizontal="center" vertical="center"/>
    </xf>
    <xf numFmtId="165" fontId="15" fillId="2" borderId="1" xfId="1" applyNumberFormat="1" applyFont="1" applyProtection="1"/>
    <xf numFmtId="165" fontId="25" fillId="8" borderId="0" xfId="0" applyNumberFormat="1" applyFont="1" applyFill="1"/>
    <xf numFmtId="165" fontId="25" fillId="0" borderId="0" xfId="0" applyNumberFormat="1" applyFont="1"/>
    <xf numFmtId="165" fontId="10" fillId="9" borderId="14" xfId="0" applyNumberFormat="1" applyFont="1" applyFill="1" applyBorder="1"/>
    <xf numFmtId="165" fontId="10" fillId="9" borderId="15" xfId="0" applyNumberFormat="1" applyFont="1" applyFill="1" applyBorder="1"/>
    <xf numFmtId="0" fontId="10" fillId="15" borderId="8" xfId="8" applyFont="1" applyBorder="1" applyAlignment="1" applyProtection="1">
      <alignment vertical="center"/>
    </xf>
    <xf numFmtId="0" fontId="10" fillId="15" borderId="9" xfId="8" applyFont="1" applyBorder="1" applyAlignment="1" applyProtection="1">
      <alignment vertical="center"/>
    </xf>
    <xf numFmtId="0" fontId="10" fillId="15" borderId="45" xfId="8" applyFont="1" applyBorder="1" applyAlignment="1" applyProtection="1">
      <alignment vertical="center"/>
    </xf>
    <xf numFmtId="0" fontId="10" fillId="15" borderId="10" xfId="8" applyFont="1" applyBorder="1" applyAlignment="1" applyProtection="1">
      <alignment vertical="center"/>
    </xf>
    <xf numFmtId="0" fontId="25" fillId="0" borderId="0" xfId="0" applyFont="1"/>
    <xf numFmtId="165" fontId="25" fillId="10" borderId="29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165" fontId="10" fillId="4" borderId="0" xfId="0" applyNumberFormat="1" applyFont="1" applyFill="1" applyAlignment="1">
      <alignment horizontal="left"/>
    </xf>
    <xf numFmtId="165" fontId="10" fillId="4" borderId="0" xfId="0" applyNumberFormat="1" applyFont="1" applyFill="1" applyAlignment="1">
      <alignment horizontal="center"/>
    </xf>
    <xf numFmtId="165" fontId="31" fillId="0" borderId="0" xfId="0" applyNumberFormat="1" applyFont="1" applyAlignment="1">
      <alignment horizontal="center" vertical="center"/>
    </xf>
    <xf numFmtId="165" fontId="30" fillId="7" borderId="25" xfId="5" applyNumberFormat="1" applyFont="1" applyProtection="1"/>
    <xf numFmtId="165" fontId="10" fillId="0" borderId="45" xfId="0" applyNumberFormat="1" applyFont="1" applyBorder="1"/>
    <xf numFmtId="165" fontId="10" fillId="0" borderId="45" xfId="0" quotePrefix="1" applyNumberFormat="1" applyFont="1" applyBorder="1"/>
    <xf numFmtId="165" fontId="10" fillId="0" borderId="0" xfId="0" quotePrefix="1" applyNumberFormat="1" applyFont="1"/>
    <xf numFmtId="165" fontId="10" fillId="0" borderId="44" xfId="0" quotePrefix="1" applyNumberFormat="1" applyFont="1" applyBorder="1"/>
    <xf numFmtId="2" fontId="20" fillId="11" borderId="0" xfId="6" applyNumberFormat="1" applyFont="1" applyProtection="1"/>
    <xf numFmtId="2" fontId="20" fillId="11" borderId="0" xfId="6" quotePrefix="1" applyNumberFormat="1" applyFont="1" applyProtection="1"/>
    <xf numFmtId="168" fontId="19" fillId="13" borderId="1" xfId="2" quotePrefix="1" applyNumberFormat="1" applyFont="1" applyProtection="1">
      <protection locked="0"/>
    </xf>
    <xf numFmtId="165" fontId="10" fillId="0" borderId="43" xfId="0" quotePrefix="1" applyNumberFormat="1" applyFont="1" applyBorder="1"/>
    <xf numFmtId="165" fontId="10" fillId="0" borderId="56" xfId="0" applyNumberFormat="1" applyFont="1" applyBorder="1" applyAlignment="1">
      <alignment horizontal="center"/>
    </xf>
    <xf numFmtId="165" fontId="10" fillId="9" borderId="56" xfId="0" applyNumberFormat="1" applyFont="1" applyFill="1" applyBorder="1"/>
    <xf numFmtId="165" fontId="10" fillId="0" borderId="0" xfId="0" quotePrefix="1" applyNumberFormat="1" applyFont="1" applyAlignment="1">
      <alignment horizontal="center"/>
    </xf>
    <xf numFmtId="168" fontId="15" fillId="2" borderId="5" xfId="1" applyNumberFormat="1" applyFont="1" applyBorder="1" applyAlignment="1" applyProtection="1"/>
    <xf numFmtId="165" fontId="15" fillId="2" borderId="6" xfId="1" applyNumberFormat="1" applyFont="1" applyBorder="1" applyAlignment="1" applyProtection="1"/>
    <xf numFmtId="169" fontId="15" fillId="2" borderId="5" xfId="1" applyNumberFormat="1" applyFont="1" applyBorder="1" applyAlignment="1" applyProtection="1"/>
    <xf numFmtId="165" fontId="25" fillId="10" borderId="88" xfId="0" applyNumberFormat="1" applyFont="1" applyFill="1" applyBorder="1" applyAlignment="1">
      <alignment horizontal="center" vertical="center"/>
    </xf>
    <xf numFmtId="165" fontId="25" fillId="10" borderId="2" xfId="0" quotePrefix="1" applyNumberFormat="1" applyFont="1" applyFill="1" applyBorder="1" applyAlignment="1">
      <alignment horizontal="center" vertical="center"/>
    </xf>
    <xf numFmtId="1" fontId="25" fillId="10" borderId="2" xfId="0" applyNumberFormat="1" applyFont="1" applyFill="1" applyBorder="1" applyAlignment="1">
      <alignment horizontal="center" vertical="center"/>
    </xf>
    <xf numFmtId="165" fontId="25" fillId="10" borderId="33" xfId="0" quotePrefix="1" applyNumberFormat="1" applyFont="1" applyFill="1" applyBorder="1" applyAlignment="1">
      <alignment horizontal="center" vertical="center"/>
    </xf>
    <xf numFmtId="1" fontId="25" fillId="10" borderId="33" xfId="0" applyNumberFormat="1" applyFont="1" applyFill="1" applyBorder="1" applyAlignment="1">
      <alignment horizontal="center" vertical="center"/>
    </xf>
    <xf numFmtId="168" fontId="20" fillId="11" borderId="5" xfId="6" applyNumberFormat="1" applyFont="1" applyBorder="1" applyAlignment="1" applyProtection="1"/>
    <xf numFmtId="165" fontId="4" fillId="5" borderId="15" xfId="3" applyNumberFormat="1" applyBorder="1" applyAlignment="1" applyProtection="1"/>
    <xf numFmtId="165" fontId="10" fillId="0" borderId="0" xfId="0" applyNumberFormat="1" applyFont="1" applyAlignment="1">
      <alignment horizontal="center"/>
    </xf>
    <xf numFmtId="165" fontId="10" fillId="21" borderId="15" xfId="0" applyNumberFormat="1" applyFont="1" applyFill="1" applyBorder="1"/>
    <xf numFmtId="165" fontId="4" fillId="3" borderId="0" xfId="3" applyNumberFormat="1" applyFill="1" applyProtection="1"/>
    <xf numFmtId="165" fontId="4" fillId="3" borderId="15" xfId="3" applyNumberFormat="1" applyFill="1" applyBorder="1" applyAlignment="1" applyProtection="1"/>
    <xf numFmtId="166" fontId="4" fillId="3" borderId="0" xfId="3" applyNumberFormat="1" applyFill="1" applyProtection="1"/>
    <xf numFmtId="165" fontId="4" fillId="3" borderId="16" xfId="3" applyNumberFormat="1" applyFill="1" applyBorder="1" applyAlignment="1" applyProtection="1"/>
    <xf numFmtId="165" fontId="4" fillId="3" borderId="0" xfId="3" applyNumberFormat="1" applyFill="1" applyAlignment="1" applyProtection="1">
      <alignment horizontal="right" vertical="center"/>
    </xf>
    <xf numFmtId="0" fontId="4" fillId="3" borderId="0" xfId="3" applyFill="1" applyProtection="1"/>
    <xf numFmtId="1" fontId="1" fillId="2" borderId="1" xfId="1" applyNumberFormat="1" applyProtection="1"/>
    <xf numFmtId="0" fontId="0" fillId="12" borderId="2" xfId="0" applyFill="1" applyBorder="1"/>
    <xf numFmtId="0" fontId="11" fillId="12" borderId="2" xfId="0" applyFont="1" applyFill="1" applyBorder="1" applyAlignment="1">
      <alignment horizontal="right"/>
    </xf>
    <xf numFmtId="0" fontId="11" fillId="12" borderId="2" xfId="0" applyFont="1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15" fillId="2" borderId="6" xfId="1" quotePrefix="1" applyFont="1" applyBorder="1" applyProtection="1"/>
    <xf numFmtId="0" fontId="0" fillId="7" borderId="25" xfId="5" quotePrefix="1" applyFont="1" applyProtection="1"/>
    <xf numFmtId="165" fontId="10" fillId="9" borderId="22" xfId="0" applyNumberFormat="1" applyFont="1" applyFill="1" applyBorder="1"/>
    <xf numFmtId="165" fontId="25" fillId="0" borderId="0" xfId="0" applyNumberFormat="1" applyFont="1" applyAlignment="1">
      <alignment horizontal="right"/>
    </xf>
    <xf numFmtId="165" fontId="10" fillId="0" borderId="0" xfId="0" applyNumberFormat="1" applyFont="1" applyAlignment="1">
      <alignment horizontal="right"/>
    </xf>
    <xf numFmtId="165" fontId="35" fillId="11" borderId="2" xfId="6" applyNumberFormat="1" applyFont="1" applyBorder="1" applyAlignment="1" applyProtection="1">
      <alignment vertical="center"/>
    </xf>
    <xf numFmtId="165" fontId="10" fillId="3" borderId="15" xfId="0" applyNumberFormat="1" applyFont="1" applyFill="1" applyBorder="1"/>
    <xf numFmtId="165" fontId="15" fillId="3" borderId="1" xfId="1" applyNumberFormat="1" applyFont="1" applyFill="1" applyProtection="1"/>
    <xf numFmtId="165" fontId="1" fillId="3" borderId="1" xfId="1" applyNumberFormat="1" applyFill="1" applyProtection="1"/>
    <xf numFmtId="165" fontId="22" fillId="6" borderId="104" xfId="4" applyNumberFormat="1" applyFont="1" applyBorder="1" applyAlignment="1" applyProtection="1"/>
    <xf numFmtId="0" fontId="0" fillId="3" borderId="0" xfId="0" applyFill="1"/>
    <xf numFmtId="0" fontId="10" fillId="0" borderId="0" xfId="0" applyFont="1"/>
    <xf numFmtId="165" fontId="10" fillId="9" borderId="16" xfId="0" applyNumberFormat="1" applyFont="1" applyFill="1" applyBorder="1"/>
    <xf numFmtId="165" fontId="10" fillId="23" borderId="45" xfId="10" applyNumberFormat="1" applyFont="1" applyBorder="1" applyAlignment="1" applyProtection="1">
      <alignment vertical="center"/>
    </xf>
    <xf numFmtId="165" fontId="10" fillId="23" borderId="4" xfId="10" applyNumberFormat="1" applyFont="1" applyBorder="1" applyAlignment="1" applyProtection="1">
      <alignment vertical="center"/>
    </xf>
    <xf numFmtId="165" fontId="10" fillId="23" borderId="10" xfId="10" applyNumberFormat="1" applyFont="1" applyBorder="1" applyAlignment="1" applyProtection="1">
      <alignment vertical="center"/>
    </xf>
    <xf numFmtId="165" fontId="10" fillId="23" borderId="12" xfId="10" applyNumberFormat="1" applyFont="1" applyBorder="1" applyAlignment="1" applyProtection="1">
      <alignment vertical="center"/>
    </xf>
    <xf numFmtId="165" fontId="10" fillId="0" borderId="0" xfId="0" applyNumberFormat="1" applyFont="1" applyAlignment="1">
      <alignment vertical="center"/>
    </xf>
    <xf numFmtId="0" fontId="0" fillId="0" borderId="2" xfId="0" applyBorder="1"/>
    <xf numFmtId="165" fontId="0" fillId="0" borderId="0" xfId="0" applyNumberFormat="1"/>
    <xf numFmtId="0" fontId="0" fillId="7" borderId="25" xfId="5" quotePrefix="1" applyFont="1" applyAlignment="1" applyProtection="1">
      <alignment horizontal="center"/>
    </xf>
    <xf numFmtId="165" fontId="4" fillId="25" borderId="15" xfId="3" applyNumberFormat="1" applyFill="1" applyBorder="1" applyAlignment="1" applyProtection="1"/>
    <xf numFmtId="165" fontId="10" fillId="25" borderId="15" xfId="0" applyNumberFormat="1" applyFont="1" applyFill="1" applyBorder="1" applyAlignment="1">
      <alignment horizontal="center"/>
    </xf>
    <xf numFmtId="165" fontId="10" fillId="25" borderId="15" xfId="0" applyNumberFormat="1" applyFont="1" applyFill="1" applyBorder="1"/>
    <xf numFmtId="165" fontId="10" fillId="9" borderId="0" xfId="0" applyNumberFormat="1" applyFont="1" applyFill="1"/>
    <xf numFmtId="0" fontId="18" fillId="9" borderId="0" xfId="0" applyFont="1" applyFill="1"/>
    <xf numFmtId="165" fontId="10" fillId="0" borderId="2" xfId="0" quotePrefix="1" applyNumberFormat="1" applyFont="1" applyBorder="1"/>
    <xf numFmtId="165" fontId="10" fillId="9" borderId="2" xfId="0" applyNumberFormat="1" applyFont="1" applyFill="1" applyBorder="1"/>
    <xf numFmtId="165" fontId="10" fillId="9" borderId="2" xfId="0" quotePrefix="1" applyNumberFormat="1" applyFont="1" applyFill="1" applyBorder="1"/>
    <xf numFmtId="168" fontId="19" fillId="13" borderId="13" xfId="2" quotePrefix="1" applyNumberFormat="1" applyFont="1" applyBorder="1" applyAlignment="1" applyProtection="1">
      <alignment horizontal="center"/>
      <protection locked="0"/>
    </xf>
    <xf numFmtId="165" fontId="10" fillId="0" borderId="0" xfId="5" quotePrefix="1" applyNumberFormat="1" applyFont="1" applyFill="1" applyBorder="1" applyAlignment="1" applyProtection="1"/>
    <xf numFmtId="165" fontId="13" fillId="27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10" fillId="7" borderId="25" xfId="5" applyFont="1" applyAlignment="1">
      <alignment vertical="center"/>
    </xf>
    <xf numFmtId="0" fontId="10" fillId="7" borderId="2" xfId="5" applyFont="1" applyBorder="1" applyAlignment="1">
      <alignment vertical="center"/>
    </xf>
    <xf numFmtId="165" fontId="10" fillId="7" borderId="25" xfId="5" applyNumberFormat="1" applyFont="1" applyProtection="1"/>
    <xf numFmtId="0" fontId="0" fillId="28" borderId="14" xfId="0" applyFill="1" applyBorder="1"/>
    <xf numFmtId="0" fontId="0" fillId="28" borderId="15" xfId="0" applyFill="1" applyBorder="1"/>
    <xf numFmtId="0" fontId="0" fillId="28" borderId="16" xfId="0" applyFill="1" applyBorder="1"/>
    <xf numFmtId="165" fontId="3" fillId="13" borderId="1" xfId="2" applyNumberFormat="1" applyAlignment="1" applyProtection="1"/>
    <xf numFmtId="165" fontId="20" fillId="11" borderId="6" xfId="6" applyNumberFormat="1" applyFont="1" applyBorder="1" applyAlignment="1" applyProtection="1">
      <alignment vertical="center"/>
    </xf>
    <xf numFmtId="165" fontId="1" fillId="2" borderId="1" xfId="1" applyNumberFormat="1" applyAlignment="1" applyProtection="1">
      <alignment vertical="center"/>
    </xf>
    <xf numFmtId="168" fontId="49" fillId="7" borderId="113" xfId="11" applyNumberFormat="1" applyFill="1" applyAlignment="1" applyProtection="1"/>
    <xf numFmtId="0" fontId="49" fillId="7" borderId="113" xfId="11" applyFill="1" applyAlignment="1" applyProtection="1">
      <alignment horizontal="center"/>
    </xf>
    <xf numFmtId="0" fontId="1" fillId="2" borderId="3" xfId="1" applyBorder="1" applyProtection="1"/>
    <xf numFmtId="0" fontId="0" fillId="28" borderId="0" xfId="0" applyFill="1"/>
    <xf numFmtId="165" fontId="0" fillId="28" borderId="0" xfId="0" applyNumberFormat="1" applyFill="1"/>
    <xf numFmtId="0" fontId="55" fillId="28" borderId="0" xfId="0" applyFont="1" applyFill="1"/>
    <xf numFmtId="0" fontId="0" fillId="30" borderId="0" xfId="0" applyFill="1"/>
    <xf numFmtId="165" fontId="0" fillId="30" borderId="0" xfId="0" applyNumberFormat="1" applyFill="1"/>
    <xf numFmtId="0" fontId="55" fillId="30" borderId="0" xfId="0" applyFont="1" applyFill="1"/>
    <xf numFmtId="0" fontId="0" fillId="25" borderId="0" xfId="0" applyFill="1"/>
    <xf numFmtId="165" fontId="0" fillId="25" borderId="0" xfId="0" applyNumberFormat="1" applyFill="1"/>
    <xf numFmtId="0" fontId="46" fillId="0" borderId="0" xfId="0" applyFont="1"/>
    <xf numFmtId="0" fontId="10" fillId="7" borderId="2" xfId="5" applyFont="1" applyBorder="1" applyAlignment="1" applyProtection="1">
      <alignment vertical="center"/>
    </xf>
    <xf numFmtId="0" fontId="1" fillId="2" borderId="1" xfId="1" applyAlignment="1" applyProtection="1">
      <alignment vertical="center"/>
    </xf>
    <xf numFmtId="0" fontId="10" fillId="7" borderId="25" xfId="5" applyFont="1" applyAlignment="1" applyProtection="1">
      <alignment vertical="center"/>
    </xf>
    <xf numFmtId="165" fontId="3" fillId="13" borderId="1" xfId="2" applyNumberFormat="1" applyAlignment="1" applyProtection="1">
      <protection locked="0"/>
    </xf>
    <xf numFmtId="165" fontId="13" fillId="9" borderId="22" xfId="0" applyNumberFormat="1" applyFont="1" applyFill="1" applyBorder="1"/>
    <xf numFmtId="165" fontId="13" fillId="9" borderId="14" xfId="0" applyNumberFormat="1" applyFont="1" applyFill="1" applyBorder="1"/>
    <xf numFmtId="165" fontId="13" fillId="9" borderId="15" xfId="0" applyNumberFormat="1" applyFont="1" applyFill="1" applyBorder="1"/>
    <xf numFmtId="165" fontId="10" fillId="15" borderId="5" xfId="8" applyNumberFormat="1" applyFont="1" applyBorder="1" applyAlignment="1" applyProtection="1"/>
    <xf numFmtId="165" fontId="10" fillId="15" borderId="6" xfId="8" applyNumberFormat="1" applyFont="1" applyBorder="1" applyAlignment="1" applyProtection="1"/>
    <xf numFmtId="165" fontId="10" fillId="15" borderId="5" xfId="8" applyNumberFormat="1" applyFont="1" applyBorder="1" applyAlignment="1" applyProtection="1">
      <alignment vertical="center"/>
    </xf>
    <xf numFmtId="165" fontId="10" fillId="15" borderId="6" xfId="8" applyNumberFormat="1" applyFont="1" applyBorder="1" applyAlignment="1" applyProtection="1">
      <alignment vertical="center"/>
    </xf>
    <xf numFmtId="165" fontId="10" fillId="15" borderId="7" xfId="8" applyNumberFormat="1" applyFont="1" applyBorder="1" applyAlignment="1" applyProtection="1"/>
    <xf numFmtId="165" fontId="10" fillId="15" borderId="9" xfId="8" applyNumberFormat="1" applyFont="1" applyBorder="1" applyAlignment="1" applyProtection="1"/>
    <xf numFmtId="0" fontId="16" fillId="13" borderId="23" xfId="2" quotePrefix="1" applyNumberFormat="1" applyFont="1" applyBorder="1" applyAlignment="1" applyProtection="1">
      <alignment vertical="center"/>
      <protection locked="0"/>
    </xf>
    <xf numFmtId="0" fontId="0" fillId="7" borderId="2" xfId="5" applyFont="1" applyBorder="1" applyAlignment="1">
      <alignment horizontal="center" vertical="center"/>
    </xf>
    <xf numFmtId="0" fontId="11" fillId="12" borderId="28" xfId="0" applyFont="1" applyFill="1" applyBorder="1" applyAlignment="1">
      <alignment horizontal="right"/>
    </xf>
    <xf numFmtId="0" fontId="0" fillId="12" borderId="28" xfId="0" applyFill="1" applyBorder="1" applyAlignment="1">
      <alignment horizontal="center"/>
    </xf>
    <xf numFmtId="0" fontId="11" fillId="7" borderId="2" xfId="5" quotePrefix="1" applyFont="1" applyBorder="1" applyAlignment="1">
      <alignment horizontal="center" vertical="center"/>
    </xf>
    <xf numFmtId="168" fontId="10" fillId="0" borderId="0" xfId="0" applyNumberFormat="1" applyFont="1"/>
    <xf numFmtId="165" fontId="10" fillId="0" borderId="2" xfId="0" applyNumberFormat="1" applyFont="1" applyBorder="1" applyAlignment="1">
      <alignment horizontal="center" vertical="center"/>
    </xf>
    <xf numFmtId="171" fontId="0" fillId="0" borderId="0" xfId="0" applyNumberFormat="1"/>
    <xf numFmtId="171" fontId="10" fillId="0" borderId="0" xfId="0" applyNumberFormat="1" applyFont="1" applyAlignment="1">
      <alignment horizontal="center"/>
    </xf>
    <xf numFmtId="168" fontId="0" fillId="0" borderId="0" xfId="0" applyNumberFormat="1"/>
    <xf numFmtId="2" fontId="10" fillId="0" borderId="0" xfId="0" applyNumberFormat="1" applyFont="1"/>
    <xf numFmtId="2" fontId="0" fillId="0" borderId="0" xfId="0" applyNumberFormat="1"/>
    <xf numFmtId="2" fontId="10" fillId="0" borderId="2" xfId="0" applyNumberFormat="1" applyFont="1" applyBorder="1"/>
    <xf numFmtId="171" fontId="18" fillId="0" borderId="0" xfId="0" applyNumberFormat="1" applyFont="1"/>
    <xf numFmtId="171" fontId="10" fillId="9" borderId="15" xfId="0" applyNumberFormat="1" applyFont="1" applyFill="1" applyBorder="1"/>
    <xf numFmtId="168" fontId="18" fillId="0" borderId="0" xfId="0" applyNumberFormat="1" applyFont="1"/>
    <xf numFmtId="168" fontId="10" fillId="9" borderId="15" xfId="0" applyNumberFormat="1" applyFont="1" applyFill="1" applyBorder="1"/>
    <xf numFmtId="168" fontId="10" fillId="0" borderId="2" xfId="0" applyNumberFormat="1" applyFont="1" applyBorder="1" applyAlignment="1">
      <alignment horizontal="center" vertical="center"/>
    </xf>
    <xf numFmtId="2" fontId="10" fillId="9" borderId="15" xfId="0" applyNumberFormat="1" applyFont="1" applyFill="1" applyBorder="1"/>
    <xf numFmtId="2" fontId="10" fillId="7" borderId="2" xfId="5" applyNumberFormat="1" applyFont="1" applyBorder="1" applyAlignment="1">
      <alignment horizontal="center" vertical="center"/>
    </xf>
    <xf numFmtId="2" fontId="18" fillId="0" borderId="0" xfId="0" applyNumberFormat="1" applyFont="1"/>
    <xf numFmtId="165" fontId="10" fillId="7" borderId="2" xfId="5" applyNumberFormat="1" applyFont="1" applyBorder="1" applyAlignment="1">
      <alignment horizontal="center" vertical="center"/>
    </xf>
    <xf numFmtId="165" fontId="10" fillId="18" borderId="65" xfId="5" quotePrefix="1" applyNumberFormat="1" applyFont="1" applyFill="1" applyBorder="1" applyAlignment="1" applyProtection="1"/>
    <xf numFmtId="165" fontId="10" fillId="18" borderId="66" xfId="5" quotePrefix="1" applyNumberFormat="1" applyFont="1" applyFill="1" applyBorder="1" applyAlignment="1" applyProtection="1"/>
    <xf numFmtId="165" fontId="10" fillId="18" borderId="67" xfId="5" quotePrefix="1" applyNumberFormat="1" applyFont="1" applyFill="1" applyBorder="1" applyAlignment="1" applyProtection="1"/>
    <xf numFmtId="165" fontId="10" fillId="18" borderId="90" xfId="5" applyNumberFormat="1" applyFont="1" applyFill="1" applyBorder="1" applyAlignment="1" applyProtection="1"/>
    <xf numFmtId="165" fontId="10" fillId="18" borderId="63" xfId="5" applyNumberFormat="1" applyFont="1" applyFill="1" applyBorder="1" applyAlignment="1" applyProtection="1"/>
    <xf numFmtId="165" fontId="10" fillId="18" borderId="70" xfId="5" applyNumberFormat="1" applyFont="1" applyFill="1" applyBorder="1" applyAlignment="1" applyProtection="1"/>
    <xf numFmtId="165" fontId="10" fillId="18" borderId="68" xfId="5" applyNumberFormat="1" applyFont="1" applyFill="1" applyBorder="1" applyAlignment="1" applyProtection="1"/>
    <xf numFmtId="165" fontId="62" fillId="18" borderId="25" xfId="5" applyNumberFormat="1" applyFont="1" applyFill="1" applyAlignment="1" applyProtection="1">
      <alignment horizontal="center" vertical="center"/>
    </xf>
    <xf numFmtId="0" fontId="0" fillId="18" borderId="2" xfId="5" applyFont="1" applyFill="1" applyBorder="1" applyAlignment="1">
      <alignment horizontal="center" vertical="center"/>
    </xf>
    <xf numFmtId="165" fontId="63" fillId="3" borderId="29" xfId="7" applyNumberFormat="1" applyFont="1" applyFill="1" applyBorder="1" applyAlignment="1">
      <alignment horizontal="center" vertical="center"/>
    </xf>
    <xf numFmtId="0" fontId="3" fillId="13" borderId="1" xfId="2" quotePrefix="1" applyAlignment="1">
      <alignment horizontal="center"/>
    </xf>
    <xf numFmtId="168" fontId="10" fillId="7" borderId="2" xfId="5" applyNumberFormat="1" applyFont="1" applyBorder="1" applyAlignment="1">
      <alignment horizontal="center" vertical="center"/>
    </xf>
    <xf numFmtId="2" fontId="10" fillId="7" borderId="29" xfId="5" applyNumberFormat="1" applyFont="1" applyBorder="1" applyAlignment="1">
      <alignment horizontal="center" vertical="center"/>
    </xf>
    <xf numFmtId="165" fontId="9" fillId="3" borderId="29" xfId="7" applyNumberFormat="1" applyFill="1" applyBorder="1" applyAlignment="1">
      <alignment horizontal="center" vertical="center"/>
    </xf>
    <xf numFmtId="2" fontId="9" fillId="3" borderId="29" xfId="7" applyNumberFormat="1" applyFill="1" applyBorder="1" applyAlignment="1">
      <alignment horizontal="center" vertical="center"/>
    </xf>
    <xf numFmtId="171" fontId="3" fillId="13" borderId="1" xfId="2" applyNumberFormat="1" applyAlignment="1">
      <alignment horizontal="center" vertical="center"/>
    </xf>
    <xf numFmtId="1" fontId="10" fillId="0" borderId="28" xfId="0" applyNumberFormat="1" applyFont="1" applyBorder="1" applyAlignment="1">
      <alignment horizontal="center"/>
    </xf>
    <xf numFmtId="1" fontId="10" fillId="9" borderId="16" xfId="0" applyNumberFormat="1" applyFont="1" applyFill="1" applyBorder="1"/>
    <xf numFmtId="2" fontId="10" fillId="32" borderId="2" xfId="0" applyNumberFormat="1" applyFont="1" applyFill="1" applyBorder="1"/>
    <xf numFmtId="2" fontId="10" fillId="32" borderId="2" xfId="0" quotePrefix="1" applyNumberFormat="1" applyFont="1" applyFill="1" applyBorder="1"/>
    <xf numFmtId="2" fontId="0" fillId="31" borderId="2" xfId="0" applyNumberFormat="1" applyFill="1" applyBorder="1"/>
    <xf numFmtId="2" fontId="10" fillId="31" borderId="2" xfId="0" quotePrefix="1" applyNumberFormat="1" applyFont="1" applyFill="1" applyBorder="1"/>
    <xf numFmtId="165" fontId="56" fillId="33" borderId="28" xfId="0" applyNumberFormat="1" applyFont="1" applyFill="1" applyBorder="1" applyAlignment="1">
      <alignment horizontal="center" vertical="center"/>
    </xf>
    <xf numFmtId="165" fontId="56" fillId="33" borderId="29" xfId="0" quotePrefix="1" applyNumberFormat="1" applyFont="1" applyFill="1" applyBorder="1" applyAlignment="1">
      <alignment horizontal="center" vertical="center"/>
    </xf>
    <xf numFmtId="165" fontId="56" fillId="33" borderId="2" xfId="0" applyNumberFormat="1" applyFont="1" applyFill="1" applyBorder="1" applyAlignment="1">
      <alignment horizontal="center"/>
    </xf>
    <xf numFmtId="165" fontId="56" fillId="33" borderId="29" xfId="0" applyNumberFormat="1" applyFont="1" applyFill="1" applyBorder="1" applyAlignment="1">
      <alignment horizontal="center" vertical="center"/>
    </xf>
    <xf numFmtId="165" fontId="56" fillId="33" borderId="2" xfId="0" applyNumberFormat="1" applyFont="1" applyFill="1" applyBorder="1" applyAlignment="1">
      <alignment horizontal="center" vertical="center"/>
    </xf>
    <xf numFmtId="2" fontId="9" fillId="2" borderId="124" xfId="7" applyNumberFormat="1" applyBorder="1" applyAlignment="1">
      <alignment horizontal="center" vertical="center"/>
    </xf>
    <xf numFmtId="165" fontId="56" fillId="7" borderId="2" xfId="5" applyNumberFormat="1" applyFont="1" applyBorder="1"/>
    <xf numFmtId="165" fontId="10" fillId="15" borderId="23" xfId="8" applyNumberFormat="1" applyFont="1" applyBorder="1" applyAlignment="1" applyProtection="1">
      <alignment vertical="center"/>
    </xf>
    <xf numFmtId="165" fontId="10" fillId="15" borderId="23" xfId="8" applyNumberFormat="1" applyFont="1" applyBorder="1" applyAlignment="1" applyProtection="1"/>
    <xf numFmtId="165" fontId="10" fillId="15" borderId="8" xfId="8" applyNumberFormat="1" applyFont="1" applyBorder="1" applyAlignment="1" applyProtection="1"/>
    <xf numFmtId="0" fontId="0" fillId="0" borderId="2" xfId="0" applyBorder="1" applyAlignment="1">
      <alignment horizontal="center"/>
    </xf>
    <xf numFmtId="165" fontId="56" fillId="0" borderId="2" xfId="0" applyNumberFormat="1" applyFont="1" applyBorder="1" applyAlignment="1">
      <alignment horizontal="center" vertical="center" wrapText="1"/>
    </xf>
    <xf numFmtId="165" fontId="10" fillId="0" borderId="2" xfId="0" applyNumberFormat="1" applyFont="1" applyBorder="1" applyAlignment="1">
      <alignment vertical="center"/>
    </xf>
    <xf numFmtId="0" fontId="3" fillId="13" borderId="13" xfId="2" applyBorder="1" applyAlignment="1">
      <alignment horizontal="center" vertical="center"/>
    </xf>
    <xf numFmtId="0" fontId="3" fillId="13" borderId="13" xfId="2" quotePrefix="1" applyBorder="1" applyAlignment="1">
      <alignment horizontal="center" vertical="center"/>
    </xf>
    <xf numFmtId="0" fontId="3" fillId="7" borderId="58" xfId="5" applyFont="1" applyBorder="1" applyAlignment="1">
      <alignment horizontal="center" vertical="center"/>
    </xf>
    <xf numFmtId="0" fontId="3" fillId="13" borderId="1" xfId="2" applyAlignment="1">
      <alignment horizontal="center" vertical="center"/>
    </xf>
    <xf numFmtId="0" fontId="3" fillId="13" borderId="1" xfId="2" quotePrefix="1" applyAlignment="1">
      <alignment horizontal="center" vertical="center"/>
    </xf>
    <xf numFmtId="0" fontId="3" fillId="7" borderId="25" xfId="5" applyFont="1" applyAlignment="1">
      <alignment horizontal="center" vertical="center"/>
    </xf>
    <xf numFmtId="1" fontId="19" fillId="13" borderId="13" xfId="2" quotePrefix="1" applyNumberFormat="1" applyFont="1" applyBorder="1" applyAlignment="1" applyProtection="1">
      <alignment horizontal="center" vertical="center"/>
      <protection locked="0"/>
    </xf>
    <xf numFmtId="1" fontId="19" fillId="13" borderId="1" xfId="2" quotePrefix="1" applyNumberFormat="1" applyFont="1" applyAlignment="1" applyProtection="1">
      <alignment horizontal="center" vertical="center"/>
      <protection locked="0"/>
    </xf>
    <xf numFmtId="165" fontId="15" fillId="2" borderId="2" xfId="1" applyNumberFormat="1" applyFont="1" applyBorder="1" applyAlignment="1" applyProtection="1">
      <alignment horizontal="left"/>
    </xf>
    <xf numFmtId="0" fontId="3" fillId="13" borderId="29" xfId="2" applyBorder="1" applyAlignment="1">
      <alignment horizontal="center" vertical="center"/>
    </xf>
    <xf numFmtId="165" fontId="10" fillId="0" borderId="0" xfId="0" applyNumberFormat="1" applyFont="1" applyAlignment="1">
      <alignment horizontal="center" vertical="center" wrapText="1"/>
    </xf>
    <xf numFmtId="0" fontId="3" fillId="13" borderId="29" xfId="2" quotePrefix="1" applyBorder="1" applyAlignment="1">
      <alignment horizontal="center" vertical="center"/>
    </xf>
    <xf numFmtId="165" fontId="10" fillId="0" borderId="29" xfId="0" applyNumberFormat="1" applyFont="1" applyBorder="1" applyAlignment="1">
      <alignment vertical="center"/>
    </xf>
    <xf numFmtId="168" fontId="10" fillId="7" borderId="29" xfId="5" applyNumberFormat="1" applyFont="1" applyBorder="1" applyAlignment="1">
      <alignment horizontal="center" vertical="center"/>
    </xf>
    <xf numFmtId="167" fontId="10" fillId="0" borderId="0" xfId="0" applyNumberFormat="1" applyFont="1" applyAlignment="1">
      <alignment horizontal="center"/>
    </xf>
    <xf numFmtId="167" fontId="4" fillId="25" borderId="15" xfId="3" applyNumberFormat="1" applyFill="1" applyBorder="1" applyAlignment="1" applyProtection="1"/>
    <xf numFmtId="167" fontId="18" fillId="0" borderId="0" xfId="0" applyNumberFormat="1" applyFont="1"/>
    <xf numFmtId="167" fontId="10" fillId="9" borderId="15" xfId="0" applyNumberFormat="1" applyFont="1" applyFill="1" applyBorder="1"/>
    <xf numFmtId="167" fontId="0" fillId="0" borderId="0" xfId="0" applyNumberFormat="1"/>
    <xf numFmtId="165" fontId="15" fillId="2" borderId="9" xfId="1" applyNumberFormat="1" applyFont="1" applyBorder="1" applyAlignment="1" applyProtection="1"/>
    <xf numFmtId="169" fontId="15" fillId="2" borderId="7" xfId="1" applyNumberFormat="1" applyFont="1" applyBorder="1" applyAlignment="1" applyProtection="1"/>
    <xf numFmtId="0" fontId="64" fillId="0" borderId="0" xfId="0" applyFont="1"/>
    <xf numFmtId="0" fontId="0" fillId="27" borderId="0" xfId="0" applyFill="1"/>
    <xf numFmtId="0" fontId="66" fillId="0" borderId="2" xfId="0" applyFont="1" applyBorder="1" applyAlignment="1">
      <alignment horizontal="center"/>
    </xf>
    <xf numFmtId="0" fontId="66" fillId="27" borderId="2" xfId="0" applyFont="1" applyFill="1" applyBorder="1" applyAlignment="1">
      <alignment horizontal="center"/>
    </xf>
    <xf numFmtId="0" fontId="0" fillId="27" borderId="2" xfId="0" applyFill="1" applyBorder="1" applyAlignment="1">
      <alignment horizontal="center"/>
    </xf>
    <xf numFmtId="14" fontId="3" fillId="13" borderId="1" xfId="2" quotePrefix="1" applyNumberFormat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/>
    <xf numFmtId="165" fontId="0" fillId="0" borderId="0" xfId="0" applyNumberFormat="1" applyAlignment="1">
      <alignment horizontal="center"/>
    </xf>
    <xf numFmtId="165" fontId="6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165" fontId="0" fillId="0" borderId="125" xfId="0" applyNumberFormat="1" applyBorder="1"/>
    <xf numFmtId="165" fontId="0" fillId="0" borderId="125" xfId="0" applyNumberFormat="1" applyBorder="1" applyAlignment="1">
      <alignment horizontal="center"/>
    </xf>
    <xf numFmtId="0" fontId="0" fillId="0" borderId="125" xfId="0" applyBorder="1"/>
    <xf numFmtId="165" fontId="0" fillId="35" borderId="0" xfId="0" applyNumberFormat="1" applyFill="1" applyAlignment="1">
      <alignment horizontal="center"/>
    </xf>
    <xf numFmtId="165" fontId="71" fillId="0" borderId="0" xfId="0" applyNumberFormat="1" applyFont="1"/>
    <xf numFmtId="0" fontId="0" fillId="4" borderId="2" xfId="0" applyFill="1" applyBorder="1" applyAlignment="1">
      <alignment horizontal="center" vertical="center"/>
    </xf>
    <xf numFmtId="165" fontId="56" fillId="0" borderId="2" xfId="0" applyNumberFormat="1" applyFont="1" applyBorder="1" applyAlignment="1">
      <alignment horizontal="center" vertical="center"/>
    </xf>
    <xf numFmtId="165" fontId="71" fillId="0" borderId="126" xfId="0" applyNumberFormat="1" applyFont="1" applyBorder="1" applyAlignment="1">
      <alignment horizontal="center" vertical="center"/>
    </xf>
    <xf numFmtId="167" fontId="73" fillId="2" borderId="127" xfId="7" applyNumberFormat="1" applyFont="1" applyBorder="1" applyAlignment="1">
      <alignment horizontal="center" vertical="center"/>
    </xf>
    <xf numFmtId="167" fontId="61" fillId="7" borderId="29" xfId="5" applyNumberFormat="1" applyFont="1" applyBorder="1" applyAlignment="1">
      <alignment horizontal="center" vertical="center"/>
    </xf>
    <xf numFmtId="167" fontId="61" fillId="7" borderId="2" xfId="5" applyNumberFormat="1" applyFont="1" applyBorder="1" applyAlignment="1">
      <alignment horizontal="center" vertical="center"/>
    </xf>
    <xf numFmtId="0" fontId="68" fillId="0" borderId="0" xfId="0" applyFont="1"/>
    <xf numFmtId="168" fontId="56" fillId="0" borderId="29" xfId="0" quotePrefix="1" applyNumberFormat="1" applyFont="1" applyBorder="1" applyAlignment="1">
      <alignment horizontal="center" vertical="center"/>
    </xf>
    <xf numFmtId="168" fontId="56" fillId="0" borderId="29" xfId="0" applyNumberFormat="1" applyFont="1" applyBorder="1" applyAlignment="1">
      <alignment horizontal="center" vertical="center"/>
    </xf>
    <xf numFmtId="167" fontId="56" fillId="0" borderId="29" xfId="0" applyNumberFormat="1" applyFont="1" applyBorder="1" applyAlignment="1">
      <alignment horizontal="center" vertical="center"/>
    </xf>
    <xf numFmtId="168" fontId="56" fillId="0" borderId="2" xfId="0" quotePrefix="1" applyNumberFormat="1" applyFont="1" applyBorder="1" applyAlignment="1">
      <alignment horizontal="center" vertical="center"/>
    </xf>
    <xf numFmtId="170" fontId="33" fillId="10" borderId="89" xfId="0" applyNumberFormat="1" applyFont="1" applyFill="1" applyBorder="1" applyAlignment="1">
      <alignment horizontal="center"/>
    </xf>
    <xf numFmtId="165" fontId="33" fillId="10" borderId="34" xfId="0" applyNumberFormat="1" applyFont="1" applyFill="1" applyBorder="1" applyAlignment="1">
      <alignment horizontal="center"/>
    </xf>
    <xf numFmtId="1" fontId="10" fillId="9" borderId="15" xfId="0" applyNumberFormat="1" applyFont="1" applyFill="1" applyBorder="1"/>
    <xf numFmtId="169" fontId="0" fillId="0" borderId="0" xfId="0" applyNumberFormat="1"/>
    <xf numFmtId="165" fontId="10" fillId="9" borderId="14" xfId="0" applyNumberFormat="1" applyFont="1" applyFill="1" applyBorder="1" applyAlignment="1">
      <alignment horizontal="left" vertical="center"/>
    </xf>
    <xf numFmtId="165" fontId="10" fillId="9" borderId="15" xfId="0" applyNumberFormat="1" applyFont="1" applyFill="1" applyBorder="1" applyAlignment="1">
      <alignment horizontal="left" vertical="center"/>
    </xf>
    <xf numFmtId="0" fontId="0" fillId="0" borderId="0" xfId="0" applyAlignment="1">
      <alignment horizontal="right"/>
    </xf>
    <xf numFmtId="0" fontId="0" fillId="7" borderId="25" xfId="5" applyFont="1" applyAlignment="1">
      <alignment horizontal="center"/>
    </xf>
    <xf numFmtId="0" fontId="1" fillId="2" borderId="1" xfId="1"/>
    <xf numFmtId="0" fontId="1" fillId="2" borderId="1" xfId="1" applyAlignment="1">
      <alignment horizontal="center" vertical="center"/>
    </xf>
    <xf numFmtId="0" fontId="1" fillId="2" borderId="1" xfId="1" applyAlignment="1">
      <alignment horizontal="left"/>
    </xf>
    <xf numFmtId="0" fontId="1" fillId="2" borderId="1" xfId="1" applyAlignment="1">
      <alignment horizontal="left" vertical="center"/>
    </xf>
    <xf numFmtId="165" fontId="8" fillId="11" borderId="0" xfId="6" applyNumberFormat="1"/>
    <xf numFmtId="171" fontId="3" fillId="13" borderId="5" xfId="2" quotePrefix="1" applyNumberFormat="1" applyBorder="1" applyAlignment="1">
      <alignment vertical="center"/>
    </xf>
    <xf numFmtId="168" fontId="60" fillId="7" borderId="29" xfId="5" quotePrefix="1" applyNumberFormat="1" applyFont="1" applyBorder="1" applyAlignment="1">
      <alignment horizontal="center" vertical="center"/>
    </xf>
    <xf numFmtId="168" fontId="60" fillId="7" borderId="2" xfId="5" quotePrefix="1" applyNumberFormat="1" applyFont="1" applyBorder="1" applyAlignment="1">
      <alignment horizontal="center" vertical="center"/>
    </xf>
    <xf numFmtId="167" fontId="1" fillId="2" borderId="1" xfId="1" quotePrefix="1" applyNumberFormat="1" applyAlignment="1">
      <alignment vertical="center"/>
    </xf>
    <xf numFmtId="2" fontId="10" fillId="31" borderId="2" xfId="0" applyNumberFormat="1" applyFont="1" applyFill="1" applyBorder="1" applyAlignment="1">
      <alignment horizontal="center"/>
    </xf>
    <xf numFmtId="165" fontId="10" fillId="31" borderId="2" xfId="0" quotePrefix="1" applyNumberFormat="1" applyFont="1" applyFill="1" applyBorder="1" applyAlignment="1">
      <alignment horizontal="center"/>
    </xf>
    <xf numFmtId="2" fontId="10" fillId="32" borderId="2" xfId="0" applyNumberFormat="1" applyFont="1" applyFill="1" applyBorder="1" applyAlignment="1">
      <alignment horizontal="center"/>
    </xf>
    <xf numFmtId="165" fontId="10" fillId="32" borderId="2" xfId="0" quotePrefix="1" applyNumberFormat="1" applyFont="1" applyFill="1" applyBorder="1" applyAlignment="1">
      <alignment horizontal="center"/>
    </xf>
    <xf numFmtId="165" fontId="1" fillId="2" borderId="1" xfId="1" applyNumberFormat="1"/>
    <xf numFmtId="1" fontId="1" fillId="2" borderId="1" xfId="1" applyNumberFormat="1" applyAlignment="1">
      <alignment horizontal="center"/>
    </xf>
    <xf numFmtId="165" fontId="1" fillId="2" borderId="1" xfId="1" quotePrefix="1" applyNumberFormat="1"/>
    <xf numFmtId="165" fontId="1" fillId="2" borderId="1" xfId="1" applyNumberFormat="1" applyAlignment="1">
      <alignment horizontal="center" vertical="center"/>
    </xf>
    <xf numFmtId="2" fontId="1" fillId="2" borderId="1" xfId="1" applyNumberFormat="1" applyAlignment="1">
      <alignment vertical="center"/>
    </xf>
    <xf numFmtId="2" fontId="1" fillId="2" borderId="1" xfId="1" applyNumberFormat="1"/>
    <xf numFmtId="165" fontId="30" fillId="39" borderId="2" xfId="5" applyNumberFormat="1" applyFont="1" applyFill="1" applyBorder="1" applyAlignment="1" applyProtection="1">
      <alignment horizontal="center"/>
    </xf>
    <xf numFmtId="0" fontId="1" fillId="39" borderId="2" xfId="1" applyFill="1" applyBorder="1" applyAlignment="1" applyProtection="1">
      <alignment horizontal="center"/>
    </xf>
    <xf numFmtId="165" fontId="10" fillId="40" borderId="2" xfId="0" applyNumberFormat="1" applyFont="1" applyFill="1" applyBorder="1" applyAlignment="1">
      <alignment horizontal="center"/>
    </xf>
    <xf numFmtId="165" fontId="10" fillId="41" borderId="2" xfId="0" applyNumberFormat="1" applyFont="1" applyFill="1" applyBorder="1" applyAlignment="1">
      <alignment horizontal="center"/>
    </xf>
    <xf numFmtId="165" fontId="10" fillId="42" borderId="2" xfId="0" applyNumberFormat="1" applyFont="1" applyFill="1" applyBorder="1" applyAlignment="1">
      <alignment horizontal="center"/>
    </xf>
    <xf numFmtId="167" fontId="71" fillId="0" borderId="88" xfId="0" applyNumberFormat="1" applyFont="1" applyBorder="1" applyAlignment="1">
      <alignment horizontal="center" vertical="center"/>
    </xf>
    <xf numFmtId="167" fontId="71" fillId="37" borderId="2" xfId="0" applyNumberFormat="1" applyFont="1" applyFill="1" applyBorder="1" applyAlignment="1">
      <alignment horizontal="center" vertical="center"/>
    </xf>
    <xf numFmtId="167" fontId="71" fillId="0" borderId="6" xfId="0" applyNumberFormat="1" applyFont="1" applyBorder="1" applyAlignment="1">
      <alignment horizontal="center" vertical="center"/>
    </xf>
    <xf numFmtId="2" fontId="9" fillId="2" borderId="38" xfId="7" applyNumberFormat="1" applyAlignment="1">
      <alignment horizontal="center" vertical="center"/>
    </xf>
    <xf numFmtId="171" fontId="10" fillId="31" borderId="5" xfId="0" applyNumberFormat="1" applyFont="1" applyFill="1" applyBorder="1"/>
    <xf numFmtId="171" fontId="10" fillId="32" borderId="5" xfId="0" applyNumberFormat="1" applyFont="1" applyFill="1" applyBorder="1"/>
    <xf numFmtId="0" fontId="71" fillId="34" borderId="6" xfId="0" applyFont="1" applyFill="1" applyBorder="1"/>
    <xf numFmtId="0" fontId="71" fillId="34" borderId="6" xfId="0" applyFont="1" applyFill="1" applyBorder="1" applyAlignment="1">
      <alignment horizontal="center"/>
    </xf>
    <xf numFmtId="165" fontId="20" fillId="11" borderId="2" xfId="6" applyNumberFormat="1" applyFont="1" applyBorder="1" applyAlignment="1" applyProtection="1">
      <alignment horizontal="center" vertical="center"/>
    </xf>
    <xf numFmtId="165" fontId="20" fillId="11" borderId="2" xfId="6" applyNumberFormat="1" applyFont="1" applyBorder="1" applyAlignment="1" applyProtection="1">
      <alignment horizontal="center"/>
    </xf>
    <xf numFmtId="2" fontId="15" fillId="2" borderId="7" xfId="1" applyNumberFormat="1" applyFont="1" applyBorder="1" applyAlignment="1" applyProtection="1"/>
    <xf numFmtId="165" fontId="15" fillId="2" borderId="12" xfId="1" applyNumberFormat="1" applyFont="1" applyBorder="1" applyAlignment="1" applyProtection="1"/>
    <xf numFmtId="165" fontId="83" fillId="6" borderId="6" xfId="4" applyNumberFormat="1" applyFont="1" applyBorder="1" applyAlignment="1" applyProtection="1"/>
    <xf numFmtId="165" fontId="48" fillId="6" borderId="23" xfId="4" applyNumberFormat="1" applyFont="1" applyBorder="1" applyAlignment="1" applyProtection="1"/>
    <xf numFmtId="0" fontId="15" fillId="2" borderId="3" xfId="1" applyFont="1" applyBorder="1" applyProtection="1"/>
    <xf numFmtId="0" fontId="15" fillId="2" borderId="1" xfId="1" applyFont="1" applyProtection="1"/>
    <xf numFmtId="0" fontId="18" fillId="12" borderId="6" xfId="0" applyFont="1" applyFill="1" applyBorder="1"/>
    <xf numFmtId="0" fontId="18" fillId="12" borderId="2" xfId="0" applyFont="1" applyFill="1" applyBorder="1"/>
    <xf numFmtId="0" fontId="34" fillId="12" borderId="6" xfId="0" applyFont="1" applyFill="1" applyBorder="1" applyAlignment="1">
      <alignment horizontal="right"/>
    </xf>
    <xf numFmtId="0" fontId="34" fillId="12" borderId="2" xfId="0" applyFont="1" applyFill="1" applyBorder="1" applyAlignment="1">
      <alignment horizontal="center"/>
    </xf>
    <xf numFmtId="0" fontId="15" fillId="2" borderId="3" xfId="1" quotePrefix="1" applyFont="1" applyBorder="1" applyProtection="1"/>
    <xf numFmtId="165" fontId="18" fillId="0" borderId="0" xfId="0" applyNumberFormat="1" applyFont="1"/>
    <xf numFmtId="0" fontId="18" fillId="30" borderId="0" xfId="0" applyFont="1" applyFill="1"/>
    <xf numFmtId="165" fontId="18" fillId="30" borderId="0" xfId="0" applyNumberFormat="1" applyFont="1" applyFill="1"/>
    <xf numFmtId="165" fontId="18" fillId="25" borderId="0" xfId="0" applyNumberFormat="1" applyFont="1" applyFill="1"/>
    <xf numFmtId="0" fontId="18" fillId="25" borderId="0" xfId="0" applyFont="1" applyFill="1"/>
    <xf numFmtId="165" fontId="0" fillId="4" borderId="4" xfId="0" applyNumberFormat="1" applyFill="1" applyBorder="1"/>
    <xf numFmtId="0" fontId="18" fillId="38" borderId="0" xfId="0" applyFont="1" applyFill="1"/>
    <xf numFmtId="0" fontId="71" fillId="34" borderId="23" xfId="0" applyFont="1" applyFill="1" applyBorder="1"/>
    <xf numFmtId="165" fontId="71" fillId="46" borderId="140" xfId="5" applyNumberFormat="1" applyFont="1" applyFill="1" applyBorder="1" applyAlignment="1" applyProtection="1"/>
    <xf numFmtId="165" fontId="71" fillId="46" borderId="58" xfId="5" applyNumberFormat="1" applyFont="1" applyFill="1" applyBorder="1" applyAlignment="1" applyProtection="1"/>
    <xf numFmtId="165" fontId="71" fillId="46" borderId="137" xfId="5" applyNumberFormat="1" applyFont="1" applyFill="1" applyBorder="1" applyAlignment="1" applyProtection="1"/>
    <xf numFmtId="165" fontId="71" fillId="46" borderId="138" xfId="5" applyNumberFormat="1" applyFont="1" applyFill="1" applyBorder="1" applyAlignment="1" applyProtection="1"/>
    <xf numFmtId="165" fontId="10" fillId="25" borderId="15" xfId="0" applyNumberFormat="1" applyFont="1" applyFill="1" applyBorder="1" applyAlignment="1">
      <alignment horizontal="left" vertical="center"/>
    </xf>
    <xf numFmtId="0" fontId="88" fillId="0" borderId="0" xfId="0" applyFont="1"/>
    <xf numFmtId="165" fontId="10" fillId="15" borderId="2" xfId="8" applyNumberFormat="1" applyFont="1" applyBorder="1" applyAlignment="1" applyProtection="1">
      <alignment vertical="center"/>
    </xf>
    <xf numFmtId="165" fontId="0" fillId="25" borderId="2" xfId="0" applyNumberFormat="1" applyFill="1" applyBorder="1" applyAlignment="1">
      <alignment vertical="center"/>
    </xf>
    <xf numFmtId="165" fontId="10" fillId="4" borderId="14" xfId="0" applyNumberFormat="1" applyFont="1" applyFill="1" applyBorder="1"/>
    <xf numFmtId="165" fontId="10" fillId="4" borderId="15" xfId="0" applyNumberFormat="1" applyFont="1" applyFill="1" applyBorder="1"/>
    <xf numFmtId="165" fontId="10" fillId="4" borderId="16" xfId="0" applyNumberFormat="1" applyFont="1" applyFill="1" applyBorder="1"/>
    <xf numFmtId="165" fontId="10" fillId="4" borderId="22" xfId="0" applyNumberFormat="1" applyFont="1" applyFill="1" applyBorder="1"/>
    <xf numFmtId="165" fontId="46" fillId="0" borderId="0" xfId="0" applyNumberFormat="1" applyFont="1"/>
    <xf numFmtId="0" fontId="18" fillId="0" borderId="2" xfId="0" applyFont="1" applyBorder="1"/>
    <xf numFmtId="0" fontId="1" fillId="2" borderId="2" xfId="1" applyBorder="1" applyProtection="1"/>
    <xf numFmtId="0" fontId="90" fillId="2" borderId="2" xfId="1" applyFont="1" applyBorder="1" applyProtection="1"/>
    <xf numFmtId="167" fontId="90" fillId="2" borderId="2" xfId="1" applyNumberFormat="1" applyFont="1" applyBorder="1" applyProtection="1"/>
    <xf numFmtId="1" fontId="90" fillId="2" borderId="2" xfId="1" applyNumberFormat="1" applyFont="1" applyBorder="1" applyProtection="1"/>
    <xf numFmtId="165" fontId="87" fillId="51" borderId="0" xfId="13" applyNumberFormat="1" applyFill="1" applyBorder="1" applyProtection="1"/>
    <xf numFmtId="165" fontId="87" fillId="51" borderId="0" xfId="13" applyNumberFormat="1" applyFill="1" applyBorder="1" applyAlignment="1" applyProtection="1"/>
    <xf numFmtId="165" fontId="87" fillId="51" borderId="0" xfId="13" applyNumberFormat="1" applyFill="1" applyProtection="1"/>
    <xf numFmtId="0" fontId="87" fillId="51" borderId="0" xfId="13" applyFill="1" applyProtection="1"/>
    <xf numFmtId="0" fontId="87" fillId="51" borderId="0" xfId="13" applyFill="1"/>
    <xf numFmtId="165" fontId="87" fillId="51" borderId="15" xfId="13" applyNumberFormat="1" applyFill="1" applyBorder="1" applyAlignment="1" applyProtection="1"/>
    <xf numFmtId="166" fontId="87" fillId="51" borderId="0" xfId="13" applyNumberFormat="1" applyFill="1" applyProtection="1"/>
    <xf numFmtId="165" fontId="87" fillId="51" borderId="0" xfId="13" applyNumberFormat="1" applyFill="1"/>
    <xf numFmtId="164" fontId="87" fillId="51" borderId="0" xfId="13" applyNumberFormat="1" applyFill="1" applyBorder="1" applyAlignment="1" applyProtection="1">
      <alignment vertical="center" wrapText="1"/>
    </xf>
    <xf numFmtId="49" fontId="87" fillId="51" borderId="0" xfId="13" quotePrefix="1" applyNumberFormat="1" applyFill="1" applyBorder="1" applyAlignment="1" applyProtection="1">
      <alignment vertical="center"/>
      <protection locked="0"/>
    </xf>
    <xf numFmtId="0" fontId="0" fillId="51" borderId="0" xfId="0" applyFill="1"/>
    <xf numFmtId="164" fontId="87" fillId="51" borderId="4" xfId="13" applyNumberFormat="1" applyFill="1" applyBorder="1" applyAlignment="1" applyProtection="1">
      <alignment vertical="center" wrapText="1"/>
    </xf>
    <xf numFmtId="164" fontId="87" fillId="51" borderId="12" xfId="13" applyNumberFormat="1" applyFill="1" applyBorder="1" applyAlignment="1" applyProtection="1">
      <alignment vertical="center" wrapText="1"/>
    </xf>
    <xf numFmtId="0" fontId="87" fillId="51" borderId="6" xfId="13" quotePrefix="1" applyNumberFormat="1" applyFill="1" applyBorder="1" applyAlignment="1" applyProtection="1">
      <alignment vertical="center"/>
      <protection locked="0"/>
    </xf>
    <xf numFmtId="49" fontId="87" fillId="51" borderId="6" xfId="13" quotePrefix="1" applyNumberFormat="1" applyFill="1" applyBorder="1" applyAlignment="1" applyProtection="1">
      <alignment vertical="center"/>
      <protection locked="0"/>
    </xf>
    <xf numFmtId="0" fontId="18" fillId="38" borderId="28" xfId="0" applyFont="1" applyFill="1" applyBorder="1"/>
    <xf numFmtId="168" fontId="3" fillId="13" borderId="1" xfId="2" applyNumberFormat="1" applyAlignment="1" applyProtection="1"/>
    <xf numFmtId="165" fontId="4" fillId="51" borderId="0" xfId="3" applyNumberFormat="1" applyFill="1" applyBorder="1" applyProtection="1"/>
    <xf numFmtId="165" fontId="4" fillId="51" borderId="0" xfId="3" applyNumberFormat="1" applyFill="1" applyBorder="1" applyAlignment="1" applyProtection="1"/>
    <xf numFmtId="165" fontId="4" fillId="51" borderId="0" xfId="3" applyNumberFormat="1" applyFill="1" applyProtection="1"/>
    <xf numFmtId="165" fontId="10" fillId="51" borderId="0" xfId="0" applyNumberFormat="1" applyFont="1" applyFill="1"/>
    <xf numFmtId="0" fontId="46" fillId="51" borderId="0" xfId="0" applyFont="1" applyFill="1"/>
    <xf numFmtId="165" fontId="4" fillId="51" borderId="15" xfId="3" applyNumberFormat="1" applyFill="1" applyBorder="1" applyAlignment="1" applyProtection="1"/>
    <xf numFmtId="166" fontId="4" fillId="51" borderId="0" xfId="3" applyNumberFormat="1" applyFill="1" applyProtection="1"/>
    <xf numFmtId="165" fontId="4" fillId="51" borderId="16" xfId="3" applyNumberFormat="1" applyFill="1" applyBorder="1" applyAlignment="1" applyProtection="1"/>
    <xf numFmtId="165" fontId="4" fillId="51" borderId="0" xfId="3" applyNumberFormat="1" applyFill="1" applyAlignment="1" applyProtection="1">
      <alignment horizontal="right" vertical="center"/>
    </xf>
    <xf numFmtId="0" fontId="1" fillId="2" borderId="1" xfId="1" applyAlignment="1">
      <alignment horizontal="center"/>
    </xf>
    <xf numFmtId="167" fontId="10" fillId="9" borderId="22" xfId="0" applyNumberFormat="1" applyFont="1" applyFill="1" applyBorder="1"/>
    <xf numFmtId="171" fontId="10" fillId="9" borderId="22" xfId="0" applyNumberFormat="1" applyFont="1" applyFill="1" applyBorder="1"/>
    <xf numFmtId="0" fontId="15" fillId="2" borderId="5" xfId="1" applyFont="1" applyBorder="1" applyAlignment="1" applyProtection="1"/>
    <xf numFmtId="171" fontId="15" fillId="2" borderId="5" xfId="1" applyNumberFormat="1" applyFont="1" applyBorder="1" applyAlignment="1" applyProtection="1"/>
    <xf numFmtId="0" fontId="15" fillId="2" borderId="6" xfId="1" applyFont="1" applyBorder="1" applyAlignment="1" applyProtection="1"/>
    <xf numFmtId="165" fontId="19" fillId="13" borderId="6" xfId="2" quotePrefix="1" applyNumberFormat="1" applyFont="1" applyBorder="1" applyAlignment="1" applyProtection="1">
      <alignment vertical="center"/>
      <protection locked="0"/>
    </xf>
    <xf numFmtId="165" fontId="19" fillId="13" borderId="5" xfId="2" applyNumberFormat="1" applyFont="1" applyBorder="1" applyAlignment="1" applyProtection="1">
      <alignment horizontal="center" vertical="center"/>
      <protection locked="0"/>
    </xf>
    <xf numFmtId="165" fontId="33" fillId="10" borderId="34" xfId="0" quotePrefix="1" applyNumberFormat="1" applyFont="1" applyFill="1" applyBorder="1" applyAlignment="1">
      <alignment horizontal="center"/>
    </xf>
    <xf numFmtId="165" fontId="25" fillId="10" borderId="29" xfId="0" quotePrefix="1" applyNumberFormat="1" applyFont="1" applyFill="1" applyBorder="1" applyAlignment="1">
      <alignment horizontal="center" vertical="center"/>
    </xf>
    <xf numFmtId="1" fontId="25" fillId="10" borderId="29" xfId="0" applyNumberFormat="1" applyFont="1" applyFill="1" applyBorder="1" applyAlignment="1">
      <alignment horizontal="center" vertical="center"/>
    </xf>
    <xf numFmtId="170" fontId="33" fillId="10" borderId="3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165" fontId="10" fillId="0" borderId="0" xfId="0" applyNumberFormat="1" applyFont="1" applyAlignment="1">
      <alignment horizontal="left"/>
    </xf>
    <xf numFmtId="1" fontId="10" fillId="9" borderId="15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165" fontId="1" fillId="2" borderId="1" xfId="1" applyNumberFormat="1" applyAlignment="1">
      <alignment horizontal="center"/>
    </xf>
    <xf numFmtId="0" fontId="0" fillId="38" borderId="0" xfId="0" applyFill="1"/>
    <xf numFmtId="0" fontId="0" fillId="7" borderId="25" xfId="5" quotePrefix="1" applyFont="1" applyAlignment="1">
      <alignment horizontal="center"/>
    </xf>
    <xf numFmtId="0" fontId="65" fillId="0" borderId="2" xfId="0" applyFont="1" applyBorder="1"/>
    <xf numFmtId="0" fontId="1" fillId="2" borderId="13" xfId="1" applyBorder="1"/>
    <xf numFmtId="0" fontId="0" fillId="33" borderId="0" xfId="0" applyFill="1"/>
    <xf numFmtId="0" fontId="8" fillId="11" borderId="25" xfId="6" applyBorder="1" applyAlignment="1">
      <alignment horizontal="center"/>
    </xf>
    <xf numFmtId="0" fontId="9" fillId="3" borderId="38" xfId="7" applyFill="1"/>
    <xf numFmtId="165" fontId="1" fillId="2" borderId="1" xfId="1" applyNumberFormat="1" applyAlignment="1"/>
    <xf numFmtId="0" fontId="1" fillId="2" borderId="1" xfId="1" applyAlignment="1"/>
    <xf numFmtId="0" fontId="1" fillId="2" borderId="1" xfId="1" quotePrefix="1"/>
    <xf numFmtId="0" fontId="4" fillId="5" borderId="0" xfId="3" quotePrefix="1"/>
    <xf numFmtId="0" fontId="4" fillId="5" borderId="0" xfId="3"/>
    <xf numFmtId="0" fontId="0" fillId="33" borderId="0" xfId="0" quotePrefix="1" applyFill="1"/>
    <xf numFmtId="0" fontId="3" fillId="13" borderId="0" xfId="2" applyBorder="1" applyAlignment="1">
      <alignment horizontal="center"/>
    </xf>
    <xf numFmtId="0" fontId="3" fillId="13" borderId="102" xfId="2" applyBorder="1" applyAlignment="1">
      <alignment horizontal="center"/>
    </xf>
    <xf numFmtId="0" fontId="0" fillId="7" borderId="25" xfId="5" applyFont="1"/>
    <xf numFmtId="0" fontId="0" fillId="7" borderId="25" xfId="5" applyFont="1" applyAlignment="1"/>
    <xf numFmtId="0" fontId="0" fillId="43" borderId="0" xfId="0" applyFill="1"/>
    <xf numFmtId="165" fontId="15" fillId="2" borderId="1" xfId="1" applyNumberFormat="1" applyFont="1" applyAlignment="1" applyProtection="1"/>
    <xf numFmtId="165" fontId="1" fillId="2" borderId="43" xfId="1" applyNumberFormat="1" applyBorder="1" applyAlignment="1"/>
    <xf numFmtId="165" fontId="1" fillId="2" borderId="160" xfId="1" applyNumberFormat="1" applyBorder="1" applyAlignment="1"/>
    <xf numFmtId="165" fontId="1" fillId="2" borderId="161" xfId="1" applyNumberFormat="1" applyBorder="1" applyAlignment="1"/>
    <xf numFmtId="165" fontId="1" fillId="2" borderId="83" xfId="1" applyNumberFormat="1" applyBorder="1" applyAlignment="1"/>
    <xf numFmtId="165" fontId="1" fillId="2" borderId="53" xfId="1" applyNumberFormat="1" applyBorder="1" applyAlignment="1"/>
    <xf numFmtId="0" fontId="8" fillId="11" borderId="0" xfId="6" quotePrefix="1" applyAlignment="1">
      <alignment horizontal="center"/>
    </xf>
    <xf numFmtId="0" fontId="6" fillId="6" borderId="24" xfId="4" applyAlignment="1">
      <alignment horizontal="center" vertical="center"/>
    </xf>
    <xf numFmtId="171" fontId="6" fillId="6" borderId="24" xfId="4" applyNumberFormat="1" applyAlignment="1">
      <alignment horizontal="center" vertical="center"/>
    </xf>
    <xf numFmtId="0" fontId="11" fillId="0" borderId="0" xfId="0" applyFont="1" applyAlignment="1">
      <alignment horizontal="center"/>
    </xf>
    <xf numFmtId="0" fontId="0" fillId="53" borderId="0" xfId="0" applyFill="1"/>
    <xf numFmtId="0" fontId="0" fillId="0" borderId="162" xfId="0" applyBorder="1"/>
    <xf numFmtId="0" fontId="0" fillId="0" borderId="163" xfId="0" applyBorder="1"/>
    <xf numFmtId="0" fontId="0" fillId="0" borderId="45" xfId="0" applyBorder="1"/>
    <xf numFmtId="0" fontId="0" fillId="0" borderId="4" xfId="0" applyBorder="1"/>
    <xf numFmtId="0" fontId="0" fillId="0" borderId="173" xfId="0" applyBorder="1"/>
    <xf numFmtId="0" fontId="0" fillId="0" borderId="165" xfId="0" applyBorder="1"/>
    <xf numFmtId="0" fontId="0" fillId="0" borderId="174" xfId="0" applyBorder="1"/>
    <xf numFmtId="0" fontId="0" fillId="0" borderId="0" xfId="0" applyAlignment="1">
      <alignment vertical="center"/>
    </xf>
    <xf numFmtId="0" fontId="0" fillId="0" borderId="164" xfId="0" applyBorder="1" applyAlignment="1">
      <alignment vertical="center"/>
    </xf>
    <xf numFmtId="0" fontId="3" fillId="13" borderId="1" xfId="2"/>
    <xf numFmtId="0" fontId="3" fillId="13" borderId="1" xfId="2" quotePrefix="1"/>
    <xf numFmtId="170" fontId="0" fillId="0" borderId="0" xfId="0" applyNumberFormat="1"/>
    <xf numFmtId="172" fontId="0" fillId="0" borderId="0" xfId="0" applyNumberFormat="1"/>
    <xf numFmtId="0" fontId="18" fillId="0" borderId="0" xfId="0" applyFont="1"/>
    <xf numFmtId="0" fontId="0" fillId="25" borderId="0" xfId="0" applyFill="1" applyAlignment="1">
      <alignment horizontal="center" vertical="center"/>
    </xf>
    <xf numFmtId="165" fontId="13" fillId="3" borderId="5" xfId="0" applyNumberFormat="1" applyFont="1" applyFill="1" applyBorder="1" applyAlignment="1">
      <alignment horizontal="center"/>
    </xf>
    <xf numFmtId="165" fontId="13" fillId="3" borderId="23" xfId="0" applyNumberFormat="1" applyFont="1" applyFill="1" applyBorder="1" applyAlignment="1">
      <alignment horizontal="center"/>
    </xf>
    <xf numFmtId="165" fontId="1" fillId="2" borderId="1" xfId="1" applyNumberFormat="1" applyAlignment="1" applyProtection="1">
      <alignment horizontal="center"/>
    </xf>
    <xf numFmtId="165" fontId="6" fillId="6" borderId="24" xfId="4" applyNumberFormat="1" applyAlignment="1" applyProtection="1">
      <alignment horizontal="center"/>
    </xf>
    <xf numFmtId="165" fontId="13" fillId="27" borderId="2" xfId="0" applyNumberFormat="1" applyFont="1" applyFill="1" applyBorder="1" applyAlignment="1">
      <alignment horizontal="left" vertical="center"/>
    </xf>
    <xf numFmtId="165" fontId="22" fillId="6" borderId="24" xfId="4" applyNumberFormat="1" applyFont="1" applyAlignment="1" applyProtection="1">
      <alignment horizontal="center"/>
    </xf>
    <xf numFmtId="169" fontId="1" fillId="2" borderId="5" xfId="1" applyNumberFormat="1" applyBorder="1" applyAlignment="1" applyProtection="1">
      <alignment horizontal="center"/>
    </xf>
    <xf numFmtId="169" fontId="1" fillId="2" borderId="23" xfId="1" applyNumberFormat="1" applyBorder="1" applyAlignment="1" applyProtection="1">
      <alignment horizontal="center"/>
    </xf>
    <xf numFmtId="0" fontId="19" fillId="13" borderId="7" xfId="2" quotePrefix="1" applyFont="1" applyBorder="1" applyAlignment="1" applyProtection="1">
      <alignment horizontal="center" vertical="center"/>
      <protection locked="0"/>
    </xf>
    <xf numFmtId="0" fontId="19" fillId="13" borderId="8" xfId="2" quotePrefix="1" applyFont="1" applyBorder="1" applyAlignment="1" applyProtection="1">
      <alignment horizontal="center" vertical="center"/>
      <protection locked="0"/>
    </xf>
    <xf numFmtId="0" fontId="19" fillId="13" borderId="45" xfId="2" quotePrefix="1" applyFont="1" applyBorder="1" applyAlignment="1" applyProtection="1">
      <alignment horizontal="center" vertical="center"/>
      <protection locked="0"/>
    </xf>
    <xf numFmtId="0" fontId="19" fillId="13" borderId="0" xfId="2" quotePrefix="1" applyFont="1" applyBorder="1" applyAlignment="1" applyProtection="1">
      <alignment horizontal="center" vertical="center"/>
      <protection locked="0"/>
    </xf>
    <xf numFmtId="0" fontId="19" fillId="13" borderId="10" xfId="2" quotePrefix="1" applyFont="1" applyBorder="1" applyAlignment="1" applyProtection="1">
      <alignment horizontal="center" vertical="center"/>
      <protection locked="0"/>
    </xf>
    <xf numFmtId="0" fontId="19" fillId="13" borderId="11" xfId="2" quotePrefix="1" applyFont="1" applyBorder="1" applyAlignment="1" applyProtection="1">
      <alignment horizontal="center" vertical="center"/>
      <protection locked="0"/>
    </xf>
    <xf numFmtId="165" fontId="15" fillId="2" borderId="7" xfId="1" applyNumberFormat="1" applyFont="1" applyBorder="1" applyAlignment="1" applyProtection="1">
      <alignment horizontal="center" vertical="center"/>
    </xf>
    <xf numFmtId="165" fontId="15" fillId="2" borderId="8" xfId="1" applyNumberFormat="1" applyFont="1" applyBorder="1" applyAlignment="1" applyProtection="1">
      <alignment horizontal="center" vertical="center"/>
    </xf>
    <xf numFmtId="165" fontId="15" fillId="2" borderId="9" xfId="1" applyNumberFormat="1" applyFont="1" applyBorder="1" applyAlignment="1" applyProtection="1">
      <alignment horizontal="center" vertical="center"/>
    </xf>
    <xf numFmtId="165" fontId="15" fillId="2" borderId="45" xfId="1" applyNumberFormat="1" applyFont="1" applyBorder="1" applyAlignment="1" applyProtection="1">
      <alignment horizontal="center" vertical="center"/>
    </xf>
    <xf numFmtId="165" fontId="15" fillId="2" borderId="0" xfId="1" applyNumberFormat="1" applyFont="1" applyBorder="1" applyAlignment="1" applyProtection="1">
      <alignment horizontal="center" vertical="center"/>
    </xf>
    <xf numFmtId="165" fontId="15" fillId="2" borderId="4" xfId="1" applyNumberFormat="1" applyFont="1" applyBorder="1" applyAlignment="1" applyProtection="1">
      <alignment horizontal="center" vertical="center"/>
    </xf>
    <xf numFmtId="165" fontId="15" fillId="2" borderId="44" xfId="1" applyNumberFormat="1" applyFont="1" applyBorder="1" applyAlignment="1" applyProtection="1">
      <alignment horizontal="center" vertical="center"/>
    </xf>
    <xf numFmtId="165" fontId="15" fillId="2" borderId="43" xfId="1" applyNumberFormat="1" applyFont="1" applyBorder="1" applyAlignment="1" applyProtection="1">
      <alignment horizontal="center" vertical="center"/>
    </xf>
    <xf numFmtId="165" fontId="15" fillId="2" borderId="46" xfId="1" applyNumberFormat="1" applyFont="1" applyBorder="1" applyAlignment="1" applyProtection="1">
      <alignment horizontal="center" vertical="center"/>
    </xf>
    <xf numFmtId="165" fontId="20" fillId="11" borderId="45" xfId="6" applyNumberFormat="1" applyFont="1" applyBorder="1" applyAlignment="1" applyProtection="1">
      <alignment horizontal="center" vertical="center"/>
    </xf>
    <xf numFmtId="165" fontId="10" fillId="9" borderId="2" xfId="0" applyNumberFormat="1" applyFont="1" applyFill="1" applyBorder="1" applyAlignment="1">
      <alignment horizontal="left"/>
    </xf>
    <xf numFmtId="165" fontId="10" fillId="0" borderId="2" xfId="0" applyNumberFormat="1" applyFont="1" applyBorder="1" applyAlignment="1">
      <alignment horizontal="left"/>
    </xf>
    <xf numFmtId="165" fontId="10" fillId="0" borderId="0" xfId="0" quotePrefix="1" applyNumberFormat="1" applyFont="1" applyAlignment="1">
      <alignment horizontal="center" vertical="center"/>
    </xf>
    <xf numFmtId="165" fontId="22" fillId="6" borderId="40" xfId="4" applyNumberFormat="1" applyFont="1" applyBorder="1" applyAlignment="1" applyProtection="1">
      <alignment horizontal="center"/>
    </xf>
    <xf numFmtId="0" fontId="19" fillId="13" borderId="2" xfId="2" quotePrefix="1" applyFont="1" applyBorder="1" applyAlignment="1" applyProtection="1">
      <alignment horizontal="center"/>
      <protection locked="0"/>
    </xf>
    <xf numFmtId="165" fontId="15" fillId="2" borderId="1" xfId="1" applyNumberFormat="1" applyFont="1" applyAlignment="1" applyProtection="1">
      <alignment horizontal="center"/>
    </xf>
    <xf numFmtId="0" fontId="15" fillId="2" borderId="1" xfId="1" applyFont="1" applyAlignment="1" applyProtection="1">
      <alignment horizontal="center"/>
    </xf>
    <xf numFmtId="0" fontId="15" fillId="2" borderId="35" xfId="1" applyFont="1" applyBorder="1" applyAlignment="1" applyProtection="1">
      <alignment horizontal="center"/>
    </xf>
    <xf numFmtId="165" fontId="19" fillId="13" borderId="8" xfId="2" applyNumberFormat="1" applyFont="1" applyBorder="1" applyAlignment="1" applyProtection="1">
      <alignment horizontal="center" vertical="center"/>
      <protection locked="0"/>
    </xf>
    <xf numFmtId="165" fontId="19" fillId="13" borderId="9" xfId="2" applyNumberFormat="1" applyFont="1" applyBorder="1" applyAlignment="1" applyProtection="1">
      <alignment horizontal="center" vertical="center"/>
      <protection locked="0"/>
    </xf>
    <xf numFmtId="165" fontId="19" fillId="13" borderId="43" xfId="2" applyNumberFormat="1" applyFont="1" applyBorder="1" applyAlignment="1" applyProtection="1">
      <alignment horizontal="center" vertical="center"/>
      <protection locked="0"/>
    </xf>
    <xf numFmtId="165" fontId="19" fillId="13" borderId="46" xfId="2" applyNumberFormat="1" applyFont="1" applyBorder="1" applyAlignment="1" applyProtection="1">
      <alignment horizontal="center" vertical="center"/>
      <protection locked="0"/>
    </xf>
    <xf numFmtId="165" fontId="20" fillId="11" borderId="15" xfId="6" applyNumberFormat="1" applyFont="1" applyBorder="1" applyAlignment="1" applyProtection="1">
      <alignment horizontal="center"/>
    </xf>
    <xf numFmtId="165" fontId="10" fillId="15" borderId="7" xfId="8" applyNumberFormat="1" applyFont="1" applyBorder="1" applyAlignment="1" applyProtection="1">
      <alignment horizontal="center" vertical="center" wrapText="1"/>
    </xf>
    <xf numFmtId="165" fontId="10" fillId="15" borderId="8" xfId="8" applyNumberFormat="1" applyFont="1" applyBorder="1" applyAlignment="1" applyProtection="1">
      <alignment horizontal="center" vertical="center" wrapText="1"/>
    </xf>
    <xf numFmtId="165" fontId="10" fillId="15" borderId="9" xfId="8" applyNumberFormat="1" applyFont="1" applyBorder="1" applyAlignment="1" applyProtection="1">
      <alignment horizontal="center" vertical="center" wrapText="1"/>
    </xf>
    <xf numFmtId="165" fontId="10" fillId="15" borderId="10" xfId="8" applyNumberFormat="1" applyFont="1" applyBorder="1" applyAlignment="1" applyProtection="1">
      <alignment horizontal="center" vertical="center" wrapText="1"/>
    </xf>
    <xf numFmtId="165" fontId="10" fillId="15" borderId="11" xfId="8" applyNumberFormat="1" applyFont="1" applyBorder="1" applyAlignment="1" applyProtection="1">
      <alignment horizontal="center" vertical="center" wrapText="1"/>
    </xf>
    <xf numFmtId="165" fontId="10" fillId="15" borderId="12" xfId="8" applyNumberFormat="1" applyFont="1" applyBorder="1" applyAlignment="1" applyProtection="1">
      <alignment horizontal="center" vertical="center" wrapText="1"/>
    </xf>
    <xf numFmtId="165" fontId="10" fillId="15" borderId="2" xfId="8" applyNumberFormat="1" applyFont="1" applyBorder="1" applyAlignment="1" applyProtection="1">
      <alignment horizontal="center" wrapText="1"/>
    </xf>
    <xf numFmtId="165" fontId="19" fillId="13" borderId="1" xfId="2" applyNumberFormat="1" applyFont="1" applyAlignment="1" applyProtection="1">
      <alignment horizontal="center" vertical="center"/>
      <protection locked="0"/>
    </xf>
    <xf numFmtId="49" fontId="19" fillId="13" borderId="13" xfId="2" quotePrefix="1" applyNumberFormat="1" applyFont="1" applyBorder="1" applyAlignment="1" applyProtection="1">
      <alignment horizontal="center" vertical="center"/>
      <protection locked="0"/>
    </xf>
    <xf numFmtId="49" fontId="19" fillId="13" borderId="13" xfId="2" applyNumberFormat="1" applyFont="1" applyBorder="1" applyAlignment="1" applyProtection="1">
      <alignment horizontal="center" vertical="center"/>
      <protection locked="0"/>
    </xf>
    <xf numFmtId="49" fontId="19" fillId="13" borderId="1" xfId="2" applyNumberFormat="1" applyFont="1" applyAlignment="1" applyProtection="1">
      <alignment horizontal="center" vertical="center"/>
      <protection locked="0"/>
    </xf>
    <xf numFmtId="165" fontId="20" fillId="11" borderId="57" xfId="6" applyNumberFormat="1" applyFont="1" applyBorder="1" applyAlignment="1" applyProtection="1">
      <alignment horizontal="center" vertical="center"/>
    </xf>
    <xf numFmtId="165" fontId="21" fillId="5" borderId="5" xfId="3" applyNumberFormat="1" applyFont="1" applyBorder="1" applyAlignment="1" applyProtection="1">
      <alignment horizontal="right"/>
    </xf>
    <xf numFmtId="165" fontId="21" fillId="5" borderId="23" xfId="3" applyNumberFormat="1" applyFont="1" applyBorder="1" applyAlignment="1" applyProtection="1">
      <alignment horizontal="right"/>
    </xf>
    <xf numFmtId="165" fontId="21" fillId="5" borderId="6" xfId="3" applyNumberFormat="1" applyFont="1" applyBorder="1" applyAlignment="1" applyProtection="1">
      <alignment horizontal="right"/>
    </xf>
    <xf numFmtId="165" fontId="15" fillId="2" borderId="5" xfId="1" applyNumberFormat="1" applyFont="1" applyBorder="1" applyAlignment="1" applyProtection="1">
      <alignment horizontal="center"/>
    </xf>
    <xf numFmtId="165" fontId="15" fillId="2" borderId="23" xfId="1" applyNumberFormat="1" applyFont="1" applyBorder="1" applyAlignment="1" applyProtection="1">
      <alignment horizontal="center"/>
    </xf>
    <xf numFmtId="165" fontId="15" fillId="2" borderId="6" xfId="1" applyNumberFormat="1" applyFont="1" applyBorder="1" applyAlignment="1" applyProtection="1">
      <alignment horizontal="center"/>
    </xf>
    <xf numFmtId="0" fontId="21" fillId="5" borderId="5" xfId="3" applyFont="1" applyBorder="1" applyAlignment="1" applyProtection="1">
      <alignment horizontal="center"/>
    </xf>
    <xf numFmtId="0" fontId="21" fillId="5" borderId="23" xfId="3" applyFont="1" applyBorder="1" applyAlignment="1" applyProtection="1">
      <alignment horizontal="center"/>
    </xf>
    <xf numFmtId="0" fontId="21" fillId="5" borderId="6" xfId="3" applyFont="1" applyBorder="1" applyAlignment="1" applyProtection="1">
      <alignment horizontal="center"/>
    </xf>
    <xf numFmtId="165" fontId="20" fillId="11" borderId="2" xfId="6" applyNumberFormat="1" applyFont="1" applyBorder="1" applyAlignment="1" applyProtection="1">
      <alignment horizontal="center"/>
    </xf>
    <xf numFmtId="165" fontId="10" fillId="9" borderId="0" xfId="0" applyNumberFormat="1" applyFont="1" applyFill="1" applyAlignment="1">
      <alignment horizontal="center"/>
    </xf>
    <xf numFmtId="165" fontId="15" fillId="2" borderId="13" xfId="1" applyNumberFormat="1" applyFont="1" applyBorder="1" applyAlignment="1" applyProtection="1">
      <alignment horizontal="center"/>
    </xf>
    <xf numFmtId="165" fontId="15" fillId="2" borderId="42" xfId="1" applyNumberFormat="1" applyFont="1" applyBorder="1" applyAlignment="1" applyProtection="1">
      <alignment horizontal="center"/>
    </xf>
    <xf numFmtId="165" fontId="15" fillId="2" borderId="3" xfId="1" applyNumberFormat="1" applyFont="1" applyBorder="1" applyAlignment="1" applyProtection="1">
      <alignment horizontal="center"/>
    </xf>
    <xf numFmtId="165" fontId="20" fillId="11" borderId="1" xfId="6" quotePrefix="1" applyNumberFormat="1" applyFont="1" applyBorder="1" applyAlignment="1" applyProtection="1">
      <alignment horizontal="center"/>
    </xf>
    <xf numFmtId="165" fontId="20" fillId="11" borderId="1" xfId="6" applyNumberFormat="1" applyFont="1" applyBorder="1" applyAlignment="1" applyProtection="1">
      <alignment horizontal="center"/>
    </xf>
    <xf numFmtId="0" fontId="10" fillId="15" borderId="0" xfId="8" applyFont="1" applyBorder="1" applyAlignment="1" applyProtection="1">
      <alignment horizontal="right" vertical="center"/>
    </xf>
    <xf numFmtId="0" fontId="13" fillId="16" borderId="28" xfId="8" applyFont="1" applyFill="1" applyBorder="1" applyAlignment="1" applyProtection="1">
      <alignment horizontal="right"/>
    </xf>
    <xf numFmtId="165" fontId="15" fillId="2" borderId="153" xfId="1" applyNumberFormat="1" applyFont="1" applyBorder="1" applyAlignment="1" applyProtection="1">
      <alignment horizontal="center"/>
    </xf>
    <xf numFmtId="165" fontId="19" fillId="13" borderId="7" xfId="2" quotePrefix="1" applyNumberFormat="1" applyFont="1" applyBorder="1" applyAlignment="1" applyProtection="1">
      <alignment horizontal="center" vertical="center"/>
      <protection locked="0"/>
    </xf>
    <xf numFmtId="165" fontId="19" fillId="13" borderId="8" xfId="2" quotePrefix="1" applyNumberFormat="1" applyFont="1" applyBorder="1" applyAlignment="1" applyProtection="1">
      <alignment horizontal="center" vertical="center"/>
      <protection locked="0"/>
    </xf>
    <xf numFmtId="165" fontId="19" fillId="13" borderId="81" xfId="2" quotePrefix="1" applyNumberFormat="1" applyFont="1" applyBorder="1" applyAlignment="1" applyProtection="1">
      <alignment horizontal="center" vertical="center"/>
      <protection locked="0"/>
    </xf>
    <xf numFmtId="165" fontId="19" fillId="13" borderId="44" xfId="2" quotePrefix="1" applyNumberFormat="1" applyFont="1" applyBorder="1" applyAlignment="1" applyProtection="1">
      <alignment horizontal="center" vertical="center"/>
      <protection locked="0"/>
    </xf>
    <xf numFmtId="165" fontId="19" fillId="13" borderId="43" xfId="2" quotePrefix="1" applyNumberFormat="1" applyFont="1" applyBorder="1" applyAlignment="1" applyProtection="1">
      <alignment horizontal="center" vertical="center"/>
      <protection locked="0"/>
    </xf>
    <xf numFmtId="165" fontId="19" fillId="13" borderId="18" xfId="2" quotePrefix="1" applyNumberFormat="1" applyFont="1" applyBorder="1" applyAlignment="1" applyProtection="1">
      <alignment horizontal="center" vertical="center"/>
      <protection locked="0"/>
    </xf>
    <xf numFmtId="165" fontId="21" fillId="5" borderId="5" xfId="3" applyNumberFormat="1" applyFont="1" applyBorder="1" applyAlignment="1" applyProtection="1">
      <alignment horizontal="center"/>
    </xf>
    <xf numFmtId="165" fontId="21" fillId="5" borderId="23" xfId="3" applyNumberFormat="1" applyFont="1" applyBorder="1" applyAlignment="1" applyProtection="1">
      <alignment horizontal="center"/>
    </xf>
    <xf numFmtId="165" fontId="21" fillId="5" borderId="6" xfId="3" applyNumberFormat="1" applyFont="1" applyBorder="1" applyAlignment="1" applyProtection="1">
      <alignment horizontal="center"/>
    </xf>
    <xf numFmtId="165" fontId="19" fillId="13" borderId="7" xfId="2" applyNumberFormat="1" applyFont="1" applyBorder="1" applyAlignment="1" applyProtection="1">
      <alignment horizontal="center" vertical="center"/>
      <protection locked="0"/>
    </xf>
    <xf numFmtId="165" fontId="19" fillId="13" borderId="44" xfId="2" applyNumberFormat="1" applyFont="1" applyBorder="1" applyAlignment="1" applyProtection="1">
      <alignment horizontal="center" vertical="center"/>
      <protection locked="0"/>
    </xf>
    <xf numFmtId="165" fontId="19" fillId="13" borderId="2" xfId="2" applyNumberFormat="1" applyFont="1" applyBorder="1" applyAlignment="1" applyProtection="1">
      <alignment horizontal="center" vertical="center"/>
      <protection locked="0"/>
    </xf>
    <xf numFmtId="49" fontId="19" fillId="13" borderId="1" xfId="2" quotePrefix="1" applyNumberFormat="1" applyFont="1" applyAlignment="1" applyProtection="1">
      <alignment horizontal="center" vertical="center"/>
      <protection locked="0"/>
    </xf>
    <xf numFmtId="0" fontId="10" fillId="19" borderId="28" xfId="8" applyFont="1" applyFill="1" applyBorder="1" applyAlignment="1" applyProtection="1">
      <alignment horizontal="right"/>
    </xf>
    <xf numFmtId="165" fontId="22" fillId="6" borderId="24" xfId="4" applyNumberFormat="1" applyFont="1" applyAlignment="1" applyProtection="1">
      <alignment horizontal="center" vertical="center"/>
    </xf>
    <xf numFmtId="0" fontId="22" fillId="6" borderId="24" xfId="4" applyFont="1" applyAlignment="1" applyProtection="1">
      <alignment horizontal="center" vertical="center"/>
    </xf>
    <xf numFmtId="0" fontId="86" fillId="48" borderId="5" xfId="12" applyFill="1" applyBorder="1" applyAlignment="1" applyProtection="1">
      <alignment horizontal="center"/>
      <protection locked="0"/>
    </xf>
    <xf numFmtId="0" fontId="86" fillId="48" borderId="23" xfId="12" applyFill="1" applyBorder="1" applyAlignment="1" applyProtection="1">
      <alignment horizontal="center"/>
      <protection locked="0"/>
    </xf>
    <xf numFmtId="0" fontId="86" fillId="48" borderId="6" xfId="12" applyFill="1" applyBorder="1" applyAlignment="1" applyProtection="1">
      <alignment horizontal="center"/>
      <protection locked="0"/>
    </xf>
    <xf numFmtId="165" fontId="15" fillId="2" borderId="101" xfId="1" applyNumberFormat="1" applyFont="1" applyBorder="1" applyAlignment="1" applyProtection="1">
      <alignment horizontal="center"/>
    </xf>
    <xf numFmtId="0" fontId="10" fillId="15" borderId="7" xfId="8" applyFont="1" applyBorder="1" applyAlignment="1" applyProtection="1">
      <alignment horizontal="left" vertical="center"/>
    </xf>
    <xf numFmtId="0" fontId="10" fillId="15" borderId="8" xfId="8" applyFont="1" applyBorder="1" applyAlignment="1" applyProtection="1">
      <alignment horizontal="left" vertical="center"/>
    </xf>
    <xf numFmtId="0" fontId="10" fillId="15" borderId="9" xfId="8" applyFont="1" applyBorder="1" applyAlignment="1" applyProtection="1">
      <alignment horizontal="left" vertical="center"/>
    </xf>
    <xf numFmtId="0" fontId="10" fillId="15" borderId="45" xfId="8" applyFont="1" applyBorder="1" applyAlignment="1" applyProtection="1">
      <alignment horizontal="left" vertical="center"/>
    </xf>
    <xf numFmtId="0" fontId="10" fillId="15" borderId="0" xfId="8" applyFont="1" applyBorder="1" applyAlignment="1" applyProtection="1">
      <alignment horizontal="left" vertical="center"/>
    </xf>
    <xf numFmtId="0" fontId="10" fillId="15" borderId="4" xfId="8" applyFont="1" applyBorder="1" applyAlignment="1" applyProtection="1">
      <alignment horizontal="left" vertical="center"/>
    </xf>
    <xf numFmtId="0" fontId="10" fillId="15" borderId="10" xfId="8" applyFont="1" applyBorder="1" applyAlignment="1" applyProtection="1">
      <alignment horizontal="left" vertical="center"/>
    </xf>
    <xf numFmtId="0" fontId="10" fillId="15" borderId="11" xfId="8" applyFont="1" applyBorder="1" applyAlignment="1" applyProtection="1">
      <alignment horizontal="left" vertical="center"/>
    </xf>
    <xf numFmtId="0" fontId="10" fillId="15" borderId="12" xfId="8" applyFont="1" applyBorder="1" applyAlignment="1" applyProtection="1">
      <alignment horizontal="left" vertical="center"/>
    </xf>
    <xf numFmtId="1" fontId="10" fillId="9" borderId="15" xfId="0" applyNumberFormat="1" applyFont="1" applyFill="1" applyBorder="1" applyAlignment="1">
      <alignment horizontal="center"/>
    </xf>
    <xf numFmtId="165" fontId="22" fillId="6" borderId="47" xfId="4" applyNumberFormat="1" applyFont="1" applyBorder="1" applyAlignment="1" applyProtection="1">
      <alignment horizontal="center"/>
    </xf>
    <xf numFmtId="0" fontId="28" fillId="5" borderId="5" xfId="3" applyFont="1" applyBorder="1" applyAlignment="1" applyProtection="1">
      <alignment horizontal="center" vertical="center"/>
    </xf>
    <xf numFmtId="0" fontId="28" fillId="5" borderId="23" xfId="3" applyFont="1" applyBorder="1" applyAlignment="1" applyProtection="1">
      <alignment horizontal="center" vertical="center"/>
    </xf>
    <xf numFmtId="0" fontId="28" fillId="5" borderId="6" xfId="3" applyFont="1" applyBorder="1" applyAlignment="1" applyProtection="1">
      <alignment horizontal="center" vertical="center"/>
    </xf>
    <xf numFmtId="165" fontId="13" fillId="27" borderId="2" xfId="0" applyNumberFormat="1" applyFont="1" applyFill="1" applyBorder="1" applyAlignment="1">
      <alignment horizontal="center" vertical="center"/>
    </xf>
    <xf numFmtId="165" fontId="10" fillId="0" borderId="11" xfId="0" applyNumberFormat="1" applyFont="1" applyBorder="1" applyAlignment="1">
      <alignment horizontal="center"/>
    </xf>
    <xf numFmtId="165" fontId="10" fillId="7" borderId="25" xfId="5" applyNumberFormat="1" applyFont="1" applyAlignment="1" applyProtection="1">
      <alignment horizontal="left" vertical="center"/>
    </xf>
    <xf numFmtId="165" fontId="3" fillId="13" borderId="1" xfId="2" applyNumberFormat="1" applyAlignment="1" applyProtection="1">
      <alignment horizontal="center"/>
      <protection locked="0"/>
    </xf>
    <xf numFmtId="165" fontId="10" fillId="7" borderId="2" xfId="5" quotePrefix="1" applyNumberFormat="1" applyFont="1" applyBorder="1" applyAlignment="1" applyProtection="1">
      <alignment horizontal="left"/>
    </xf>
    <xf numFmtId="165" fontId="15" fillId="2" borderId="35" xfId="1" applyNumberFormat="1" applyFont="1" applyBorder="1" applyAlignment="1" applyProtection="1">
      <alignment horizontal="center"/>
    </xf>
    <xf numFmtId="165" fontId="20" fillId="11" borderId="5" xfId="6" applyNumberFormat="1" applyFont="1" applyBorder="1" applyAlignment="1" applyProtection="1">
      <alignment horizontal="center"/>
    </xf>
    <xf numFmtId="165" fontId="20" fillId="11" borderId="23" xfId="6" applyNumberFormat="1" applyFont="1" applyBorder="1" applyAlignment="1" applyProtection="1">
      <alignment horizontal="center"/>
    </xf>
    <xf numFmtId="165" fontId="20" fillId="11" borderId="75" xfId="6" applyNumberFormat="1" applyFont="1" applyBorder="1" applyAlignment="1" applyProtection="1">
      <alignment horizontal="center"/>
    </xf>
    <xf numFmtId="165" fontId="10" fillId="7" borderId="5" xfId="5" applyNumberFormat="1" applyFont="1" applyBorder="1" applyAlignment="1" applyProtection="1">
      <alignment horizontal="left"/>
    </xf>
    <xf numFmtId="165" fontId="10" fillId="7" borderId="23" xfId="5" applyNumberFormat="1" applyFont="1" applyBorder="1" applyAlignment="1" applyProtection="1">
      <alignment horizontal="left"/>
    </xf>
    <xf numFmtId="165" fontId="10" fillId="7" borderId="6" xfId="5" applyNumberFormat="1" applyFont="1" applyBorder="1" applyAlignment="1" applyProtection="1">
      <alignment horizontal="left"/>
    </xf>
    <xf numFmtId="165" fontId="10" fillId="7" borderId="2" xfId="5" applyNumberFormat="1" applyFont="1" applyBorder="1" applyAlignment="1" applyProtection="1">
      <alignment horizontal="center"/>
    </xf>
    <xf numFmtId="164" fontId="10" fillId="15" borderId="2" xfId="8" applyNumberFormat="1" applyFont="1" applyBorder="1" applyAlignment="1" applyProtection="1">
      <alignment horizontal="center" vertical="center" wrapText="1"/>
    </xf>
    <xf numFmtId="0" fontId="19" fillId="13" borderId="1" xfId="2" quotePrefix="1" applyFont="1" applyAlignment="1" applyProtection="1">
      <alignment horizontal="center"/>
      <protection locked="0"/>
    </xf>
    <xf numFmtId="0" fontId="19" fillId="13" borderId="1" xfId="2" applyFont="1" applyAlignment="1" applyProtection="1">
      <alignment horizontal="center"/>
      <protection locked="0"/>
    </xf>
    <xf numFmtId="49" fontId="19" fillId="13" borderId="18" xfId="2" quotePrefix="1" applyNumberFormat="1" applyFont="1" applyBorder="1" applyAlignment="1" applyProtection="1">
      <alignment horizontal="center"/>
      <protection locked="0"/>
    </xf>
    <xf numFmtId="49" fontId="19" fillId="13" borderId="13" xfId="2" applyNumberFormat="1" applyFont="1" applyBorder="1" applyAlignment="1" applyProtection="1">
      <alignment horizontal="center"/>
      <protection locked="0"/>
    </xf>
    <xf numFmtId="165" fontId="10" fillId="15" borderId="7" xfId="8" applyNumberFormat="1" applyFont="1" applyBorder="1" applyAlignment="1" applyProtection="1">
      <alignment horizontal="center" wrapText="1"/>
    </xf>
    <xf numFmtId="165" fontId="10" fillId="15" borderId="8" xfId="8" applyNumberFormat="1" applyFont="1" applyBorder="1" applyAlignment="1" applyProtection="1">
      <alignment horizontal="center" wrapText="1"/>
    </xf>
    <xf numFmtId="165" fontId="10" fillId="15" borderId="9" xfId="8" applyNumberFormat="1" applyFont="1" applyBorder="1" applyAlignment="1" applyProtection="1">
      <alignment horizontal="center" wrapText="1"/>
    </xf>
    <xf numFmtId="165" fontId="10" fillId="15" borderId="10" xfId="8" applyNumberFormat="1" applyFont="1" applyBorder="1" applyAlignment="1" applyProtection="1">
      <alignment horizontal="center" wrapText="1"/>
    </xf>
    <xf numFmtId="165" fontId="10" fillId="15" borderId="11" xfId="8" applyNumberFormat="1" applyFont="1" applyBorder="1" applyAlignment="1" applyProtection="1">
      <alignment horizontal="center" wrapText="1"/>
    </xf>
    <xf numFmtId="165" fontId="10" fillId="15" borderId="12" xfId="8" applyNumberFormat="1" applyFont="1" applyBorder="1" applyAlignment="1" applyProtection="1">
      <alignment horizontal="center" wrapText="1"/>
    </xf>
    <xf numFmtId="165" fontId="27" fillId="17" borderId="0" xfId="0" applyNumberFormat="1" applyFont="1" applyFill="1" applyAlignment="1">
      <alignment horizontal="center" vertical="center"/>
    </xf>
    <xf numFmtId="165" fontId="10" fillId="15" borderId="10" xfId="8" applyNumberFormat="1" applyFont="1" applyBorder="1" applyAlignment="1" applyProtection="1">
      <alignment horizontal="center"/>
    </xf>
    <xf numFmtId="165" fontId="10" fillId="15" borderId="12" xfId="8" applyNumberFormat="1" applyFont="1" applyBorder="1" applyAlignment="1" applyProtection="1">
      <alignment horizontal="center"/>
    </xf>
    <xf numFmtId="165" fontId="10" fillId="15" borderId="7" xfId="8" applyNumberFormat="1" applyFont="1" applyBorder="1" applyAlignment="1" applyProtection="1">
      <alignment horizontal="center" vertical="center"/>
    </xf>
    <xf numFmtId="165" fontId="10" fillId="15" borderId="9" xfId="8" applyNumberFormat="1" applyFont="1" applyBorder="1" applyAlignment="1" applyProtection="1">
      <alignment horizontal="center" vertical="center"/>
    </xf>
    <xf numFmtId="165" fontId="10" fillId="15" borderId="45" xfId="8" applyNumberFormat="1" applyFont="1" applyBorder="1" applyAlignment="1" applyProtection="1">
      <alignment horizontal="center" vertical="center"/>
    </xf>
    <xf numFmtId="165" fontId="10" fillId="15" borderId="4" xfId="8" applyNumberFormat="1" applyFont="1" applyBorder="1" applyAlignment="1" applyProtection="1">
      <alignment horizontal="center" vertical="center"/>
    </xf>
    <xf numFmtId="165" fontId="10" fillId="15" borderId="10" xfId="8" applyNumberFormat="1" applyFont="1" applyBorder="1" applyAlignment="1" applyProtection="1">
      <alignment horizontal="center" vertical="center"/>
    </xf>
    <xf numFmtId="165" fontId="10" fillId="15" borderId="12" xfId="8" applyNumberFormat="1" applyFont="1" applyBorder="1" applyAlignment="1" applyProtection="1">
      <alignment horizontal="center" vertical="center"/>
    </xf>
    <xf numFmtId="165" fontId="15" fillId="2" borderId="20" xfId="1" applyNumberFormat="1" applyFont="1" applyBorder="1" applyAlignment="1" applyProtection="1">
      <alignment horizontal="center" vertical="center"/>
    </xf>
    <xf numFmtId="0" fontId="19" fillId="13" borderId="20" xfId="2" quotePrefix="1" applyFont="1" applyBorder="1" applyAlignment="1" applyProtection="1">
      <alignment horizontal="center" vertical="center"/>
    </xf>
    <xf numFmtId="0" fontId="19" fillId="13" borderId="0" xfId="2" quotePrefix="1" applyFont="1" applyBorder="1" applyAlignment="1" applyProtection="1">
      <alignment horizontal="center" vertical="center"/>
    </xf>
    <xf numFmtId="165" fontId="26" fillId="17" borderId="0" xfId="0" applyNumberFormat="1" applyFont="1" applyFill="1" applyAlignment="1">
      <alignment horizontal="center" vertical="center"/>
    </xf>
    <xf numFmtId="165" fontId="30" fillId="9" borderId="15" xfId="0" applyNumberFormat="1" applyFont="1" applyFill="1" applyBorder="1" applyAlignment="1">
      <alignment horizontal="center"/>
    </xf>
    <xf numFmtId="0" fontId="10" fillId="15" borderId="2" xfId="8" applyFont="1" applyBorder="1" applyAlignment="1" applyProtection="1">
      <alignment horizontal="right" vertical="center"/>
    </xf>
    <xf numFmtId="165" fontId="10" fillId="15" borderId="8" xfId="8" applyNumberFormat="1" applyFont="1" applyBorder="1" applyAlignment="1" applyProtection="1">
      <alignment horizontal="center" vertical="center"/>
    </xf>
    <xf numFmtId="165" fontId="10" fillId="15" borderId="11" xfId="8" applyNumberFormat="1" applyFont="1" applyBorder="1" applyAlignment="1" applyProtection="1">
      <alignment horizontal="center" vertical="center"/>
    </xf>
    <xf numFmtId="0" fontId="19" fillId="13" borderId="37" xfId="2" applyFont="1" applyBorder="1" applyAlignment="1" applyProtection="1">
      <alignment horizontal="center" vertical="center"/>
      <protection locked="0"/>
    </xf>
    <xf numFmtId="0" fontId="19" fillId="13" borderId="102" xfId="2" applyFont="1" applyBorder="1" applyAlignment="1" applyProtection="1">
      <alignment horizontal="center" vertical="center"/>
      <protection locked="0"/>
    </xf>
    <xf numFmtId="0" fontId="19" fillId="13" borderId="13" xfId="2" applyFont="1" applyBorder="1" applyAlignment="1" applyProtection="1">
      <alignment horizontal="center" vertical="center"/>
      <protection locked="0"/>
    </xf>
    <xf numFmtId="0" fontId="19" fillId="7" borderId="25" xfId="5" quotePrefix="1" applyFont="1" applyAlignment="1" applyProtection="1">
      <alignment horizontal="center"/>
      <protection locked="0"/>
    </xf>
    <xf numFmtId="165" fontId="19" fillId="13" borderId="1" xfId="2" quotePrefix="1" applyNumberFormat="1" applyFont="1" applyAlignment="1" applyProtection="1">
      <alignment horizontal="center" vertical="center"/>
      <protection locked="0"/>
    </xf>
    <xf numFmtId="165" fontId="29" fillId="14" borderId="39" xfId="4" applyNumberFormat="1" applyFont="1" applyFill="1" applyBorder="1" applyAlignment="1" applyProtection="1">
      <alignment horizontal="center"/>
    </xf>
    <xf numFmtId="165" fontId="29" fillId="14" borderId="40" xfId="4" applyNumberFormat="1" applyFont="1" applyFill="1" applyBorder="1" applyAlignment="1" applyProtection="1">
      <alignment horizontal="center"/>
    </xf>
    <xf numFmtId="165" fontId="10" fillId="27" borderId="2" xfId="0" applyNumberFormat="1" applyFont="1" applyFill="1" applyBorder="1" applyAlignment="1">
      <alignment horizontal="center" vertical="center"/>
    </xf>
    <xf numFmtId="0" fontId="10" fillId="15" borderId="7" xfId="8" applyFont="1" applyBorder="1" applyAlignment="1" applyProtection="1">
      <alignment horizontal="center" vertical="center" wrapText="1"/>
    </xf>
    <xf numFmtId="0" fontId="10" fillId="15" borderId="8" xfId="8" applyFont="1" applyBorder="1" applyAlignment="1" applyProtection="1">
      <alignment horizontal="center" vertical="center" wrapText="1"/>
    </xf>
    <xf numFmtId="0" fontId="10" fillId="15" borderId="45" xfId="8" applyFont="1" applyBorder="1" applyAlignment="1" applyProtection="1">
      <alignment horizontal="center" vertical="center" wrapText="1"/>
    </xf>
    <xf numFmtId="0" fontId="10" fillId="15" borderId="0" xfId="8" applyFont="1" applyBorder="1" applyAlignment="1" applyProtection="1">
      <alignment horizontal="center" vertical="center" wrapText="1"/>
    </xf>
    <xf numFmtId="0" fontId="10" fillId="15" borderId="10" xfId="8" applyFont="1" applyBorder="1" applyAlignment="1" applyProtection="1">
      <alignment horizontal="center" vertical="center" wrapText="1"/>
    </xf>
    <xf numFmtId="0" fontId="10" fillId="15" borderId="11" xfId="8" applyFont="1" applyBorder="1" applyAlignment="1" applyProtection="1">
      <alignment horizontal="center" vertical="center" wrapText="1"/>
    </xf>
    <xf numFmtId="0" fontId="10" fillId="15" borderId="2" xfId="8" applyFont="1" applyBorder="1" applyAlignment="1" applyProtection="1">
      <alignment horizontal="right"/>
    </xf>
    <xf numFmtId="165" fontId="19" fillId="13" borderId="133" xfId="2" quotePrefix="1" applyNumberFormat="1" applyFont="1" applyBorder="1" applyAlignment="1" applyProtection="1">
      <alignment horizontal="center" vertical="center"/>
      <protection locked="0"/>
    </xf>
    <xf numFmtId="165" fontId="19" fillId="13" borderId="20" xfId="2" quotePrefix="1" applyNumberFormat="1" applyFont="1" applyBorder="1" applyAlignment="1" applyProtection="1">
      <alignment horizontal="center" vertical="center"/>
      <protection locked="0"/>
    </xf>
    <xf numFmtId="165" fontId="19" fillId="13" borderId="21" xfId="2" quotePrefix="1" applyNumberFormat="1" applyFont="1" applyBorder="1" applyAlignment="1" applyProtection="1">
      <alignment horizontal="center" vertical="center"/>
      <protection locked="0"/>
    </xf>
    <xf numFmtId="0" fontId="15" fillId="2" borderId="27" xfId="1" applyFont="1" applyBorder="1" applyAlignment="1" applyProtection="1">
      <alignment horizontal="center"/>
    </xf>
    <xf numFmtId="165" fontId="15" fillId="2" borderId="1" xfId="1" applyNumberFormat="1" applyFont="1" applyAlignment="1" applyProtection="1">
      <alignment horizontal="center" vertical="center"/>
    </xf>
    <xf numFmtId="0" fontId="15" fillId="2" borderId="1" xfId="1" applyFont="1" applyAlignment="1" applyProtection="1">
      <alignment horizontal="center" vertical="center"/>
    </xf>
    <xf numFmtId="165" fontId="20" fillId="11" borderId="6" xfId="6" applyNumberFormat="1" applyFont="1" applyBorder="1" applyAlignment="1" applyProtection="1">
      <alignment horizontal="center"/>
    </xf>
    <xf numFmtId="165" fontId="30" fillId="7" borderId="22" xfId="5" applyNumberFormat="1" applyFont="1" applyBorder="1" applyAlignment="1" applyProtection="1">
      <alignment horizontal="center"/>
    </xf>
    <xf numFmtId="165" fontId="13" fillId="3" borderId="9" xfId="0" applyNumberFormat="1" applyFont="1" applyFill="1" applyBorder="1" applyAlignment="1">
      <alignment horizontal="center"/>
    </xf>
    <xf numFmtId="165" fontId="6" fillId="6" borderId="24" xfId="4" applyNumberFormat="1" applyAlignment="1" applyProtection="1">
      <alignment horizontal="center" vertical="center"/>
    </xf>
    <xf numFmtId="165" fontId="20" fillId="11" borderId="2" xfId="6" applyNumberFormat="1" applyFont="1" applyBorder="1" applyAlignment="1" applyProtection="1">
      <alignment horizontal="center" vertical="center"/>
    </xf>
    <xf numFmtId="49" fontId="19" fillId="13" borderId="20" xfId="2" quotePrefix="1" applyNumberFormat="1" applyFont="1" applyBorder="1" applyAlignment="1" applyProtection="1">
      <alignment horizontal="center" vertical="center"/>
      <protection locked="0"/>
    </xf>
    <xf numFmtId="49" fontId="19" fillId="13" borderId="85" xfId="2" quotePrefix="1" applyNumberFormat="1" applyFont="1" applyBorder="1" applyAlignment="1" applyProtection="1">
      <alignment horizontal="center" vertical="center"/>
      <protection locked="0"/>
    </xf>
    <xf numFmtId="49" fontId="19" fillId="13" borderId="43" xfId="2" quotePrefix="1" applyNumberFormat="1" applyFont="1" applyBorder="1" applyAlignment="1" applyProtection="1">
      <alignment horizontal="center" vertical="center"/>
      <protection locked="0"/>
    </xf>
    <xf numFmtId="49" fontId="19" fillId="13" borderId="86" xfId="2" quotePrefix="1" applyNumberFormat="1" applyFont="1" applyBorder="1" applyAlignment="1" applyProtection="1">
      <alignment horizontal="center" vertical="center"/>
      <protection locked="0"/>
    </xf>
    <xf numFmtId="165" fontId="15" fillId="2" borderId="2" xfId="1" applyNumberFormat="1" applyFont="1" applyBorder="1" applyAlignment="1" applyProtection="1">
      <alignment horizontal="center" vertical="center"/>
    </xf>
    <xf numFmtId="165" fontId="10" fillId="15" borderId="2" xfId="8" applyNumberFormat="1" applyFont="1" applyBorder="1" applyAlignment="1" applyProtection="1">
      <alignment horizontal="center" vertical="center"/>
    </xf>
    <xf numFmtId="0" fontId="28" fillId="5" borderId="150" xfId="3" applyFont="1" applyBorder="1" applyAlignment="1" applyProtection="1">
      <alignment horizontal="center" vertical="center"/>
    </xf>
    <xf numFmtId="0" fontId="28" fillId="5" borderId="151" xfId="3" applyFont="1" applyBorder="1" applyAlignment="1" applyProtection="1">
      <alignment horizontal="center" vertical="center"/>
    </xf>
    <xf numFmtId="0" fontId="28" fillId="5" borderId="152" xfId="3" applyFont="1" applyBorder="1" applyAlignment="1" applyProtection="1">
      <alignment horizontal="center" vertical="center"/>
    </xf>
    <xf numFmtId="0" fontId="10" fillId="15" borderId="8" xfId="8" applyFont="1" applyBorder="1" applyAlignment="1" applyProtection="1">
      <alignment horizontal="left" vertical="center" wrapText="1"/>
    </xf>
    <xf numFmtId="0" fontId="10" fillId="15" borderId="9" xfId="8" applyFont="1" applyBorder="1" applyAlignment="1" applyProtection="1">
      <alignment horizontal="left" vertical="center" wrapText="1"/>
    </xf>
    <xf numFmtId="0" fontId="10" fillId="15" borderId="0" xfId="8" applyFont="1" applyBorder="1" applyAlignment="1" applyProtection="1">
      <alignment horizontal="left" vertical="center" wrapText="1"/>
    </xf>
    <xf numFmtId="0" fontId="10" fillId="15" borderId="4" xfId="8" applyFont="1" applyBorder="1" applyAlignment="1" applyProtection="1">
      <alignment horizontal="left" vertical="center" wrapText="1"/>
    </xf>
    <xf numFmtId="0" fontId="10" fillId="15" borderId="11" xfId="8" applyFont="1" applyBorder="1" applyAlignment="1" applyProtection="1">
      <alignment horizontal="left" vertical="center" wrapText="1"/>
    </xf>
    <xf numFmtId="0" fontId="10" fillId="15" borderId="12" xfId="8" applyFont="1" applyBorder="1" applyAlignment="1" applyProtection="1">
      <alignment horizontal="left" vertical="center" wrapText="1"/>
    </xf>
    <xf numFmtId="0" fontId="19" fillId="13" borderId="43" xfId="2" applyFont="1" applyBorder="1" applyAlignment="1" applyProtection="1">
      <alignment horizontal="center" vertical="center"/>
      <protection locked="0"/>
    </xf>
    <xf numFmtId="0" fontId="19" fillId="13" borderId="18" xfId="2" applyFont="1" applyBorder="1" applyAlignment="1" applyProtection="1">
      <alignment horizontal="center" vertical="center"/>
      <protection locked="0"/>
    </xf>
    <xf numFmtId="165" fontId="19" fillId="13" borderId="2" xfId="2" quotePrefix="1" applyNumberFormat="1" applyFont="1" applyBorder="1" applyAlignment="1" applyProtection="1">
      <alignment horizontal="center" vertical="center"/>
      <protection locked="0"/>
    </xf>
    <xf numFmtId="165" fontId="10" fillId="15" borderId="1" xfId="8" applyNumberFormat="1" applyFont="1" applyBorder="1" applyAlignment="1" applyProtection="1">
      <alignment horizontal="center" vertical="center"/>
    </xf>
    <xf numFmtId="0" fontId="21" fillId="5" borderId="2" xfId="3" applyFont="1" applyBorder="1" applyAlignment="1" applyProtection="1">
      <alignment horizontal="center"/>
    </xf>
    <xf numFmtId="0" fontId="10" fillId="15" borderId="2" xfId="8" applyFont="1" applyBorder="1" applyAlignment="1" applyProtection="1">
      <alignment horizontal="left"/>
    </xf>
    <xf numFmtId="0" fontId="19" fillId="13" borderId="2" xfId="2" applyFont="1" applyBorder="1" applyAlignment="1" applyProtection="1">
      <alignment horizontal="center"/>
      <protection locked="0"/>
    </xf>
    <xf numFmtId="165" fontId="15" fillId="2" borderId="2" xfId="1" applyNumberFormat="1" applyFont="1" applyBorder="1" applyAlignment="1" applyProtection="1">
      <alignment horizontal="center"/>
    </xf>
    <xf numFmtId="165" fontId="6" fillId="6" borderId="39" xfId="4" applyNumberFormat="1" applyBorder="1" applyAlignment="1" applyProtection="1">
      <alignment horizontal="center"/>
    </xf>
    <xf numFmtId="165" fontId="6" fillId="6" borderId="40" xfId="4" applyNumberFormat="1" applyBorder="1" applyAlignment="1" applyProtection="1">
      <alignment horizontal="center"/>
    </xf>
    <xf numFmtId="165" fontId="71" fillId="4" borderId="2" xfId="0" applyNumberFormat="1" applyFont="1" applyFill="1" applyBorder="1" applyAlignment="1">
      <alignment horizontal="center" textRotation="255"/>
    </xf>
    <xf numFmtId="165" fontId="15" fillId="2" borderId="117" xfId="1" applyNumberFormat="1" applyFont="1" applyBorder="1" applyAlignment="1" applyProtection="1">
      <alignment horizontal="center" vertical="center"/>
    </xf>
    <xf numFmtId="165" fontId="15" fillId="2" borderId="53" xfId="1" applyNumberFormat="1" applyFont="1" applyBorder="1" applyAlignment="1" applyProtection="1">
      <alignment horizontal="center" vertical="center"/>
    </xf>
    <xf numFmtId="165" fontId="10" fillId="7" borderId="63" xfId="5" applyNumberFormat="1" applyFont="1" applyBorder="1" applyAlignment="1" applyProtection="1">
      <alignment horizontal="left"/>
    </xf>
    <xf numFmtId="165" fontId="10" fillId="7" borderId="74" xfId="5" applyNumberFormat="1" applyFont="1" applyBorder="1" applyAlignment="1" applyProtection="1">
      <alignment horizontal="left"/>
    </xf>
    <xf numFmtId="165" fontId="10" fillId="7" borderId="62" xfId="5" applyNumberFormat="1" applyFont="1" applyBorder="1" applyAlignment="1" applyProtection="1">
      <alignment horizontal="left"/>
    </xf>
    <xf numFmtId="165" fontId="10" fillId="7" borderId="64" xfId="5" applyNumberFormat="1" applyFont="1" applyBorder="1" applyAlignment="1" applyProtection="1">
      <alignment horizontal="left"/>
    </xf>
    <xf numFmtId="165" fontId="10" fillId="7" borderId="72" xfId="5" applyNumberFormat="1" applyFont="1" applyBorder="1" applyAlignment="1" applyProtection="1">
      <alignment horizontal="left"/>
    </xf>
    <xf numFmtId="165" fontId="10" fillId="7" borderId="73" xfId="5" applyNumberFormat="1" applyFont="1" applyBorder="1" applyAlignment="1" applyProtection="1">
      <alignment horizontal="left"/>
    </xf>
    <xf numFmtId="165" fontId="10" fillId="7" borderId="70" xfId="5" applyNumberFormat="1" applyFont="1" applyBorder="1" applyAlignment="1" applyProtection="1">
      <alignment horizontal="center"/>
    </xf>
    <xf numFmtId="165" fontId="10" fillId="7" borderId="71" xfId="5" applyNumberFormat="1" applyFont="1" applyBorder="1" applyAlignment="1" applyProtection="1">
      <alignment horizontal="center"/>
    </xf>
    <xf numFmtId="165" fontId="10" fillId="7" borderId="68" xfId="5" applyNumberFormat="1" applyFont="1" applyBorder="1" applyAlignment="1" applyProtection="1">
      <alignment horizontal="center"/>
    </xf>
    <xf numFmtId="165" fontId="10" fillId="7" borderId="69" xfId="5" applyNumberFormat="1" applyFont="1" applyBorder="1" applyAlignment="1" applyProtection="1">
      <alignment horizontal="center"/>
    </xf>
    <xf numFmtId="165" fontId="30" fillId="7" borderId="61" xfId="5" applyNumberFormat="1" applyFont="1" applyBorder="1" applyAlignment="1" applyProtection="1">
      <alignment horizontal="center"/>
    </xf>
    <xf numFmtId="165" fontId="30" fillId="7" borderId="0" xfId="5" applyNumberFormat="1" applyFont="1" applyBorder="1" applyAlignment="1" applyProtection="1">
      <alignment horizontal="center"/>
    </xf>
    <xf numFmtId="0" fontId="15" fillId="2" borderId="42" xfId="1" applyFont="1" applyBorder="1" applyAlignment="1" applyProtection="1">
      <alignment horizontal="center"/>
    </xf>
    <xf numFmtId="0" fontId="15" fillId="2" borderId="36" xfId="1" applyFont="1" applyBorder="1" applyAlignment="1" applyProtection="1">
      <alignment horizontal="center"/>
    </xf>
    <xf numFmtId="0" fontId="15" fillId="2" borderId="3" xfId="1" applyFont="1" applyBorder="1" applyAlignment="1" applyProtection="1">
      <alignment horizontal="center"/>
    </xf>
    <xf numFmtId="0" fontId="13" fillId="16" borderId="28" xfId="8" applyFont="1" applyFill="1" applyBorder="1" applyAlignment="1" applyProtection="1">
      <alignment horizontal="right" vertical="center" wrapText="1"/>
    </xf>
    <xf numFmtId="0" fontId="13" fillId="16" borderId="28" xfId="8" applyFont="1" applyFill="1" applyBorder="1" applyAlignment="1" applyProtection="1">
      <alignment horizontal="right" vertical="center"/>
    </xf>
    <xf numFmtId="165" fontId="15" fillId="2" borderId="36" xfId="1" applyNumberFormat="1" applyFont="1" applyBorder="1" applyAlignment="1" applyProtection="1">
      <alignment horizontal="center"/>
    </xf>
    <xf numFmtId="0" fontId="13" fillId="16" borderId="98" xfId="8" applyFont="1" applyFill="1" applyBorder="1" applyAlignment="1" applyProtection="1">
      <alignment horizontal="right"/>
    </xf>
    <xf numFmtId="0" fontId="13" fillId="16" borderId="99" xfId="8" applyFont="1" applyFill="1" applyBorder="1" applyAlignment="1" applyProtection="1">
      <alignment horizontal="right"/>
    </xf>
    <xf numFmtId="0" fontId="13" fillId="16" borderId="100" xfId="8" applyFont="1" applyFill="1" applyBorder="1" applyAlignment="1" applyProtection="1">
      <alignment horizontal="right"/>
    </xf>
    <xf numFmtId="0" fontId="3" fillId="13" borderId="122" xfId="2" applyBorder="1" applyAlignment="1" applyProtection="1">
      <alignment horizontal="center"/>
      <protection locked="0"/>
    </xf>
    <xf numFmtId="0" fontId="3" fillId="13" borderId="15" xfId="2" applyBorder="1" applyAlignment="1" applyProtection="1">
      <alignment horizontal="center"/>
      <protection locked="0"/>
    </xf>
    <xf numFmtId="0" fontId="3" fillId="13" borderId="87" xfId="2" applyBorder="1" applyAlignment="1" applyProtection="1">
      <alignment horizontal="center"/>
      <protection locked="0"/>
    </xf>
    <xf numFmtId="165" fontId="15" fillId="7" borderId="25" xfId="5" applyNumberFormat="1" applyFont="1" applyAlignment="1" applyProtection="1">
      <alignment horizontal="center"/>
    </xf>
    <xf numFmtId="0" fontId="10" fillId="24" borderId="2" xfId="8" applyFont="1" applyFill="1" applyBorder="1" applyAlignment="1" applyProtection="1">
      <alignment horizontal="right"/>
    </xf>
    <xf numFmtId="49" fontId="19" fillId="13" borderId="29" xfId="2" quotePrefix="1" applyNumberFormat="1" applyFont="1" applyBorder="1" applyAlignment="1" applyProtection="1">
      <alignment horizontal="center" vertical="center"/>
      <protection locked="0"/>
    </xf>
    <xf numFmtId="1" fontId="19" fillId="13" borderId="13" xfId="2" applyNumberFormat="1" applyFont="1" applyBorder="1" applyAlignment="1" applyProtection="1">
      <alignment horizontal="center" vertical="center"/>
      <protection locked="0"/>
    </xf>
    <xf numFmtId="1" fontId="19" fillId="13" borderId="17" xfId="2" applyNumberFormat="1" applyFont="1" applyBorder="1" applyAlignment="1" applyProtection="1">
      <alignment horizontal="center" vertical="center"/>
      <protection locked="0"/>
    </xf>
    <xf numFmtId="164" fontId="10" fillId="15" borderId="76" xfId="8" applyNumberFormat="1" applyFont="1" applyBorder="1" applyAlignment="1" applyProtection="1">
      <alignment horizontal="center" vertical="center" wrapText="1"/>
    </xf>
    <xf numFmtId="164" fontId="10" fillId="15" borderId="77" xfId="8" applyNumberFormat="1" applyFont="1" applyBorder="1" applyAlignment="1" applyProtection="1">
      <alignment horizontal="center" vertical="center" wrapText="1"/>
    </xf>
    <xf numFmtId="164" fontId="10" fillId="15" borderId="78" xfId="8" applyNumberFormat="1" applyFont="1" applyBorder="1" applyAlignment="1" applyProtection="1">
      <alignment horizontal="center" vertical="center" wrapText="1"/>
    </xf>
    <xf numFmtId="164" fontId="10" fillId="15" borderId="10" xfId="8" applyNumberFormat="1" applyFont="1" applyBorder="1" applyAlignment="1" applyProtection="1">
      <alignment horizontal="center" vertical="center" wrapText="1"/>
    </xf>
    <xf numFmtId="164" fontId="10" fillId="15" borderId="11" xfId="8" applyNumberFormat="1" applyFont="1" applyBorder="1" applyAlignment="1" applyProtection="1">
      <alignment horizontal="center" vertical="center" wrapText="1"/>
    </xf>
    <xf numFmtId="164" fontId="10" fillId="15" borderId="12" xfId="8" applyNumberFormat="1" applyFont="1" applyBorder="1" applyAlignment="1" applyProtection="1">
      <alignment horizontal="center" vertical="center" wrapText="1"/>
    </xf>
    <xf numFmtId="0" fontId="6" fillId="6" borderId="79" xfId="4" applyBorder="1" applyAlignment="1" applyProtection="1">
      <alignment horizontal="center"/>
    </xf>
    <xf numFmtId="0" fontId="6" fillId="6" borderId="39" xfId="4" applyBorder="1" applyAlignment="1" applyProtection="1">
      <alignment horizontal="center"/>
    </xf>
    <xf numFmtId="0" fontId="6" fillId="6" borderId="40" xfId="4" applyBorder="1" applyAlignment="1" applyProtection="1">
      <alignment horizontal="center"/>
    </xf>
    <xf numFmtId="0" fontId="10" fillId="24" borderId="10" xfId="8" applyFont="1" applyFill="1" applyBorder="1" applyAlignment="1" applyProtection="1">
      <alignment horizontal="right"/>
    </xf>
    <xf numFmtId="0" fontId="10" fillId="24" borderId="11" xfId="8" applyFont="1" applyFill="1" applyBorder="1" applyAlignment="1" applyProtection="1">
      <alignment horizontal="right"/>
    </xf>
    <xf numFmtId="0" fontId="10" fillId="24" borderId="12" xfId="8" applyFont="1" applyFill="1" applyBorder="1" applyAlignment="1" applyProtection="1">
      <alignment horizontal="right"/>
    </xf>
    <xf numFmtId="167" fontId="15" fillId="2" borderId="5" xfId="1" applyNumberFormat="1" applyFont="1" applyBorder="1" applyAlignment="1" applyProtection="1">
      <alignment horizontal="center" vertical="center"/>
    </xf>
    <xf numFmtId="167" fontId="15" fillId="2" borderId="23" xfId="1" applyNumberFormat="1" applyFont="1" applyBorder="1" applyAlignment="1" applyProtection="1">
      <alignment horizontal="center" vertical="center"/>
    </xf>
    <xf numFmtId="167" fontId="15" fillId="2" borderId="6" xfId="1" applyNumberFormat="1" applyFont="1" applyBorder="1" applyAlignment="1" applyProtection="1">
      <alignment horizontal="center" vertical="center"/>
    </xf>
    <xf numFmtId="0" fontId="1" fillId="2" borderId="1" xfId="1" applyAlignment="1" applyProtection="1">
      <alignment horizontal="center"/>
    </xf>
    <xf numFmtId="165" fontId="10" fillId="9" borderId="15" xfId="0" applyNumberFormat="1" applyFont="1" applyFill="1" applyBorder="1" applyAlignment="1">
      <alignment horizontal="center"/>
    </xf>
    <xf numFmtId="165" fontId="10" fillId="9" borderId="87" xfId="0" applyNumberFormat="1" applyFont="1" applyFill="1" applyBorder="1" applyAlignment="1">
      <alignment horizontal="center"/>
    </xf>
    <xf numFmtId="0" fontId="32" fillId="5" borderId="5" xfId="3" applyFont="1" applyBorder="1" applyAlignment="1" applyProtection="1">
      <alignment horizontal="center" vertical="center"/>
    </xf>
    <xf numFmtId="0" fontId="32" fillId="5" borderId="23" xfId="3" applyFont="1" applyBorder="1" applyAlignment="1" applyProtection="1">
      <alignment horizontal="center" vertical="center"/>
    </xf>
    <xf numFmtId="0" fontId="32" fillId="5" borderId="6" xfId="3" applyFont="1" applyBorder="1" applyAlignment="1" applyProtection="1">
      <alignment horizontal="center" vertical="center"/>
    </xf>
    <xf numFmtId="0" fontId="23" fillId="7" borderId="146" xfId="5" applyFont="1" applyBorder="1" applyAlignment="1" applyProtection="1">
      <alignment horizontal="center"/>
    </xf>
    <xf numFmtId="0" fontId="23" fillId="7" borderId="8" xfId="5" applyFont="1" applyBorder="1" applyAlignment="1" applyProtection="1">
      <alignment horizontal="center"/>
    </xf>
    <xf numFmtId="0" fontId="23" fillId="7" borderId="147" xfId="5" applyFont="1" applyBorder="1" applyAlignment="1" applyProtection="1">
      <alignment horizontal="center"/>
    </xf>
    <xf numFmtId="1" fontId="19" fillId="13" borderId="1" xfId="2" quotePrefix="1" applyNumberFormat="1" applyFont="1" applyAlignment="1" applyProtection="1">
      <alignment horizontal="center"/>
      <protection locked="0"/>
    </xf>
    <xf numFmtId="1" fontId="19" fillId="13" borderId="1" xfId="2" applyNumberFormat="1" applyFont="1" applyAlignment="1" applyProtection="1">
      <alignment horizontal="center"/>
      <protection locked="0"/>
    </xf>
    <xf numFmtId="165" fontId="21" fillId="5" borderId="41" xfId="3" applyNumberFormat="1" applyFont="1" applyBorder="1" applyAlignment="1" applyProtection="1">
      <alignment horizontal="right"/>
    </xf>
    <xf numFmtId="0" fontId="0" fillId="12" borderId="2" xfId="0" applyFill="1" applyBorder="1" applyAlignment="1">
      <alignment horizontal="center" vertical="center"/>
    </xf>
    <xf numFmtId="165" fontId="10" fillId="15" borderId="2" xfId="8" applyNumberFormat="1" applyFont="1" applyBorder="1" applyAlignment="1" applyProtection="1">
      <alignment horizontal="center"/>
    </xf>
    <xf numFmtId="165" fontId="19" fillId="13" borderId="81" xfId="2" applyNumberFormat="1" applyFont="1" applyBorder="1" applyAlignment="1" applyProtection="1">
      <alignment horizontal="center" vertical="center"/>
      <protection locked="0"/>
    </xf>
    <xf numFmtId="165" fontId="19" fillId="13" borderId="18" xfId="2" applyNumberFormat="1" applyFont="1" applyBorder="1" applyAlignment="1" applyProtection="1">
      <alignment horizontal="center" vertical="center"/>
      <protection locked="0"/>
    </xf>
    <xf numFmtId="165" fontId="19" fillId="13" borderId="53" xfId="2" quotePrefix="1" applyNumberFormat="1" applyFont="1" applyBorder="1" applyAlignment="1" applyProtection="1">
      <alignment horizontal="center" vertical="center"/>
      <protection locked="0"/>
    </xf>
    <xf numFmtId="165" fontId="19" fillId="13" borderId="13" xfId="2" quotePrefix="1" applyNumberFormat="1" applyFont="1" applyBorder="1" applyAlignment="1" applyProtection="1">
      <alignment horizontal="center" vertical="center"/>
      <protection locked="0"/>
    </xf>
    <xf numFmtId="165" fontId="19" fillId="13" borderId="13" xfId="2" applyNumberFormat="1" applyFont="1" applyBorder="1" applyAlignment="1" applyProtection="1">
      <alignment horizontal="center" vertical="center"/>
      <protection locked="0"/>
    </xf>
    <xf numFmtId="0" fontId="22" fillId="6" borderId="24" xfId="4" applyFont="1" applyAlignment="1" applyProtection="1">
      <alignment horizontal="center"/>
    </xf>
    <xf numFmtId="0" fontId="22" fillId="6" borderId="47" xfId="4" applyFont="1" applyBorder="1" applyAlignment="1" applyProtection="1">
      <alignment horizontal="center"/>
    </xf>
    <xf numFmtId="165" fontId="15" fillId="2" borderId="27" xfId="1" applyNumberFormat="1" applyFont="1" applyBorder="1" applyAlignment="1" applyProtection="1">
      <alignment horizontal="center"/>
    </xf>
    <xf numFmtId="165" fontId="15" fillId="2" borderId="103" xfId="1" applyNumberFormat="1" applyFont="1" applyBorder="1" applyAlignment="1" applyProtection="1">
      <alignment horizontal="center"/>
    </xf>
    <xf numFmtId="165" fontId="15" fillId="2" borderId="15" xfId="1" applyNumberFormat="1" applyFont="1" applyBorder="1" applyAlignment="1" applyProtection="1">
      <alignment horizontal="center"/>
    </xf>
    <xf numFmtId="165" fontId="15" fillId="2" borderId="87" xfId="1" applyNumberFormat="1" applyFont="1" applyBorder="1" applyAlignment="1" applyProtection="1">
      <alignment horizontal="center"/>
    </xf>
    <xf numFmtId="165" fontId="22" fillId="6" borderId="104" xfId="4" applyNumberFormat="1" applyFont="1" applyBorder="1" applyAlignment="1" applyProtection="1">
      <alignment horizontal="left"/>
    </xf>
    <xf numFmtId="165" fontId="19" fillId="13" borderId="133" xfId="2" applyNumberFormat="1" applyFont="1" applyBorder="1" applyAlignment="1" applyProtection="1">
      <alignment horizontal="center" vertical="center"/>
      <protection locked="0"/>
    </xf>
    <xf numFmtId="165" fontId="19" fillId="13" borderId="20" xfId="2" applyNumberFormat="1" applyFont="1" applyBorder="1" applyAlignment="1" applyProtection="1">
      <alignment horizontal="center" vertical="center"/>
      <protection locked="0"/>
    </xf>
    <xf numFmtId="165" fontId="19" fillId="13" borderId="148" xfId="2" applyNumberFormat="1" applyFont="1" applyBorder="1" applyAlignment="1" applyProtection="1">
      <alignment horizontal="center" vertical="center"/>
      <protection locked="0"/>
    </xf>
    <xf numFmtId="49" fontId="19" fillId="13" borderId="8" xfId="2" quotePrefix="1" applyNumberFormat="1" applyFont="1" applyBorder="1" applyAlignment="1" applyProtection="1">
      <alignment horizontal="center" vertical="center"/>
      <protection locked="0"/>
    </xf>
    <xf numFmtId="49" fontId="19" fillId="13" borderId="26" xfId="2" quotePrefix="1" applyNumberFormat="1" applyFont="1" applyBorder="1" applyAlignment="1" applyProtection="1">
      <alignment horizontal="center" vertical="center"/>
      <protection locked="0"/>
    </xf>
    <xf numFmtId="165" fontId="21" fillId="5" borderId="15" xfId="3" applyNumberFormat="1" applyFont="1" applyBorder="1" applyAlignment="1" applyProtection="1">
      <alignment horizontal="center"/>
    </xf>
    <xf numFmtId="165" fontId="6" fillId="6" borderId="79" xfId="4" applyNumberFormat="1" applyBorder="1" applyAlignment="1" applyProtection="1">
      <alignment horizontal="center"/>
    </xf>
    <xf numFmtId="165" fontId="56" fillId="27" borderId="2" xfId="0" applyNumberFormat="1" applyFont="1" applyFill="1" applyBorder="1" applyAlignment="1">
      <alignment horizontal="left"/>
    </xf>
    <xf numFmtId="0" fontId="56" fillId="27" borderId="2" xfId="0" applyFont="1" applyFill="1" applyBorder="1" applyAlignment="1">
      <alignment horizontal="left"/>
    </xf>
    <xf numFmtId="0" fontId="0" fillId="7" borderId="111" xfId="5" quotePrefix="1" applyFont="1" applyBorder="1" applyAlignment="1" applyProtection="1">
      <alignment horizontal="center"/>
    </xf>
    <xf numFmtId="0" fontId="0" fillId="7" borderId="112" xfId="5" quotePrefix="1" applyFont="1" applyBorder="1" applyAlignment="1" applyProtection="1">
      <alignment horizontal="center"/>
    </xf>
    <xf numFmtId="0" fontId="23" fillId="7" borderId="25" xfId="5" applyFont="1" applyProtection="1"/>
    <xf numFmtId="0" fontId="15" fillId="2" borderId="9" xfId="1" quotePrefix="1" applyFont="1" applyBorder="1" applyAlignment="1" applyProtection="1">
      <alignment horizontal="left" vertical="center"/>
    </xf>
    <xf numFmtId="0" fontId="15" fillId="2" borderId="12" xfId="1" quotePrefix="1" applyFont="1" applyBorder="1" applyAlignment="1" applyProtection="1">
      <alignment horizontal="left" vertical="center"/>
    </xf>
    <xf numFmtId="165" fontId="20" fillId="11" borderId="2" xfId="6" quotePrefix="1" applyNumberFormat="1" applyFont="1" applyBorder="1" applyAlignment="1" applyProtection="1">
      <alignment horizontal="center"/>
    </xf>
    <xf numFmtId="165" fontId="20" fillId="11" borderId="7" xfId="6" applyNumberFormat="1" applyFont="1" applyBorder="1" applyAlignment="1" applyProtection="1">
      <alignment horizontal="center" vertical="center"/>
    </xf>
    <xf numFmtId="165" fontId="20" fillId="11" borderId="9" xfId="6" applyNumberFormat="1" applyFont="1" applyBorder="1" applyAlignment="1" applyProtection="1">
      <alignment horizontal="center" vertical="center"/>
    </xf>
    <xf numFmtId="165" fontId="20" fillId="11" borderId="10" xfId="6" applyNumberFormat="1" applyFont="1" applyBorder="1" applyAlignment="1" applyProtection="1">
      <alignment horizontal="center" vertical="center"/>
    </xf>
    <xf numFmtId="165" fontId="20" fillId="11" borderId="12" xfId="6" applyNumberFormat="1" applyFont="1" applyBorder="1" applyAlignment="1" applyProtection="1">
      <alignment horizontal="center" vertical="center"/>
    </xf>
    <xf numFmtId="165" fontId="24" fillId="5" borderId="7" xfId="3" applyNumberFormat="1" applyFont="1" applyBorder="1" applyAlignment="1" applyProtection="1">
      <alignment horizontal="center" vertical="center"/>
    </xf>
    <xf numFmtId="165" fontId="24" fillId="5" borderId="8" xfId="3" applyNumberFormat="1" applyFont="1" applyBorder="1" applyAlignment="1" applyProtection="1">
      <alignment horizontal="center" vertical="center"/>
    </xf>
    <xf numFmtId="165" fontId="24" fillId="5" borderId="45" xfId="3" applyNumberFormat="1" applyFont="1" applyBorder="1" applyAlignment="1" applyProtection="1">
      <alignment horizontal="center" vertical="center"/>
    </xf>
    <xf numFmtId="165" fontId="24" fillId="5" borderId="0" xfId="3" applyNumberFormat="1" applyFont="1" applyBorder="1" applyAlignment="1" applyProtection="1">
      <alignment horizontal="center" vertical="center"/>
    </xf>
    <xf numFmtId="165" fontId="24" fillId="5" borderId="10" xfId="3" applyNumberFormat="1" applyFont="1" applyBorder="1" applyAlignment="1" applyProtection="1">
      <alignment horizontal="center" vertical="center"/>
    </xf>
    <xf numFmtId="165" fontId="24" fillId="5" borderId="11" xfId="3" applyNumberFormat="1" applyFont="1" applyBorder="1" applyAlignment="1" applyProtection="1">
      <alignment horizontal="center" vertical="center"/>
    </xf>
    <xf numFmtId="165" fontId="57" fillId="27" borderId="2" xfId="0" applyNumberFormat="1" applyFont="1" applyFill="1" applyBorder="1" applyAlignment="1">
      <alignment horizontal="center" vertical="center"/>
    </xf>
    <xf numFmtId="165" fontId="56" fillId="27" borderId="2" xfId="0" applyNumberFormat="1" applyFon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5" fontId="69" fillId="4" borderId="29" xfId="0" applyNumberFormat="1" applyFont="1" applyFill="1" applyBorder="1" applyAlignment="1">
      <alignment horizontal="center" vertical="center"/>
    </xf>
    <xf numFmtId="165" fontId="20" fillId="11" borderId="2" xfId="6" quotePrefix="1" applyNumberFormat="1" applyFont="1" applyBorder="1" applyAlignment="1" applyProtection="1">
      <alignment horizontal="center" vertical="center"/>
    </xf>
    <xf numFmtId="165" fontId="10" fillId="15" borderId="45" xfId="8" applyNumberFormat="1" applyFont="1" applyBorder="1" applyAlignment="1" applyProtection="1">
      <alignment horizontal="center" wrapText="1"/>
    </xf>
    <xf numFmtId="0" fontId="10" fillId="15" borderId="1" xfId="8" applyFont="1" applyBorder="1" applyAlignment="1" applyProtection="1">
      <alignment horizontal="center" vertical="center"/>
    </xf>
    <xf numFmtId="165" fontId="10" fillId="0" borderId="0" xfId="0" applyNumberFormat="1" applyFont="1" applyAlignment="1">
      <alignment horizontal="center"/>
    </xf>
    <xf numFmtId="165" fontId="10" fillId="7" borderId="65" xfId="5" quotePrefix="1" applyNumberFormat="1" applyFont="1" applyBorder="1" applyAlignment="1" applyProtection="1">
      <alignment horizontal="left"/>
    </xf>
    <xf numFmtId="165" fontId="10" fillId="7" borderId="66" xfId="5" quotePrefix="1" applyNumberFormat="1" applyFont="1" applyBorder="1" applyAlignment="1" applyProtection="1">
      <alignment horizontal="left"/>
    </xf>
    <xf numFmtId="165" fontId="10" fillId="7" borderId="67" xfId="5" quotePrefix="1" applyNumberFormat="1" applyFont="1" applyBorder="1" applyAlignment="1" applyProtection="1">
      <alignment horizontal="left"/>
    </xf>
    <xf numFmtId="165" fontId="15" fillId="2" borderId="118" xfId="1" applyNumberFormat="1" applyFont="1" applyBorder="1" applyAlignment="1" applyProtection="1">
      <alignment horizontal="center" vertical="center"/>
    </xf>
    <xf numFmtId="165" fontId="24" fillId="36" borderId="7" xfId="3" applyNumberFormat="1" applyFont="1" applyFill="1" applyBorder="1" applyAlignment="1" applyProtection="1">
      <alignment horizontal="center" vertical="center"/>
    </xf>
    <xf numFmtId="165" fontId="24" fillId="36" borderId="8" xfId="3" applyNumberFormat="1" applyFont="1" applyFill="1" applyBorder="1" applyAlignment="1" applyProtection="1">
      <alignment horizontal="center" vertical="center"/>
    </xf>
    <xf numFmtId="165" fontId="24" fillId="36" borderId="9" xfId="3" applyNumberFormat="1" applyFont="1" applyFill="1" applyBorder="1" applyAlignment="1" applyProtection="1">
      <alignment horizontal="center" vertical="center"/>
    </xf>
    <xf numFmtId="165" fontId="24" fillId="36" borderId="45" xfId="3" applyNumberFormat="1" applyFont="1" applyFill="1" applyBorder="1" applyAlignment="1" applyProtection="1">
      <alignment horizontal="center" vertical="center"/>
    </xf>
    <xf numFmtId="165" fontId="24" fillId="36" borderId="0" xfId="3" applyNumberFormat="1" applyFont="1" applyFill="1" applyBorder="1" applyAlignment="1" applyProtection="1">
      <alignment horizontal="center" vertical="center"/>
    </xf>
    <xf numFmtId="165" fontId="24" fillId="36" borderId="4" xfId="3" applyNumberFormat="1" applyFont="1" applyFill="1" applyBorder="1" applyAlignment="1" applyProtection="1">
      <alignment horizontal="center" vertical="center"/>
    </xf>
    <xf numFmtId="165" fontId="24" fillId="36" borderId="10" xfId="3" applyNumberFormat="1" applyFont="1" applyFill="1" applyBorder="1" applyAlignment="1" applyProtection="1">
      <alignment horizontal="center" vertical="center"/>
    </xf>
    <xf numFmtId="165" fontId="24" fillId="36" borderId="11" xfId="3" applyNumberFormat="1" applyFont="1" applyFill="1" applyBorder="1" applyAlignment="1" applyProtection="1">
      <alignment horizontal="center" vertical="center"/>
    </xf>
    <xf numFmtId="165" fontId="24" fillId="36" borderId="12" xfId="3" applyNumberFormat="1" applyFont="1" applyFill="1" applyBorder="1" applyAlignment="1" applyProtection="1">
      <alignment horizontal="center" vertical="center"/>
    </xf>
    <xf numFmtId="0" fontId="56" fillId="27" borderId="2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left" vertical="center"/>
    </xf>
    <xf numFmtId="165" fontId="15" fillId="2" borderId="5" xfId="1" applyNumberFormat="1" applyFont="1" applyBorder="1" applyAlignment="1" applyProtection="1">
      <alignment horizontal="right"/>
    </xf>
    <xf numFmtId="0" fontId="15" fillId="2" borderId="23" xfId="1" applyFont="1" applyBorder="1" applyAlignment="1" applyProtection="1">
      <alignment horizontal="right"/>
    </xf>
    <xf numFmtId="2" fontId="20" fillId="11" borderId="0" xfId="6" quotePrefix="1" applyNumberFormat="1" applyFont="1" applyAlignment="1" applyProtection="1">
      <alignment horizontal="center"/>
    </xf>
    <xf numFmtId="2" fontId="20" fillId="11" borderId="37" xfId="6" quotePrefix="1" applyNumberFormat="1" applyFont="1" applyBorder="1" applyAlignment="1" applyProtection="1">
      <alignment horizontal="center"/>
    </xf>
    <xf numFmtId="0" fontId="0" fillId="7" borderId="61" xfId="5" quotePrefix="1" applyFont="1" applyBorder="1" applyAlignment="1" applyProtection="1">
      <alignment horizontal="center"/>
    </xf>
    <xf numFmtId="0" fontId="0" fillId="7" borderId="110" xfId="5" quotePrefix="1" applyFont="1" applyBorder="1" applyAlignment="1" applyProtection="1">
      <alignment horizontal="center"/>
    </xf>
    <xf numFmtId="165" fontId="19" fillId="13" borderId="35" xfId="2" quotePrefix="1" applyNumberFormat="1" applyFont="1" applyBorder="1" applyAlignment="1" applyProtection="1">
      <alignment horizontal="center"/>
      <protection locked="0"/>
    </xf>
    <xf numFmtId="165" fontId="19" fillId="13" borderId="3" xfId="2" quotePrefix="1" applyNumberFormat="1" applyFont="1" applyBorder="1" applyAlignment="1" applyProtection="1">
      <alignment horizontal="center"/>
      <protection locked="0"/>
    </xf>
    <xf numFmtId="165" fontId="15" fillId="2" borderId="8" xfId="1" applyNumberFormat="1" applyFont="1" applyBorder="1" applyAlignment="1" applyProtection="1">
      <alignment horizontal="right" vertical="center"/>
    </xf>
    <xf numFmtId="165" fontId="15" fillId="2" borderId="11" xfId="1" applyNumberFormat="1" applyFont="1" applyBorder="1" applyAlignment="1" applyProtection="1">
      <alignment horizontal="right" vertical="center"/>
    </xf>
    <xf numFmtId="0" fontId="21" fillId="5" borderId="7" xfId="3" applyFont="1" applyBorder="1" applyAlignment="1" applyProtection="1">
      <alignment horizontal="center"/>
    </xf>
    <xf numFmtId="0" fontId="21" fillId="5" borderId="8" xfId="3" applyFont="1" applyBorder="1" applyAlignment="1" applyProtection="1">
      <alignment horizontal="center"/>
    </xf>
    <xf numFmtId="0" fontId="21" fillId="5" borderId="9" xfId="3" applyFont="1" applyBorder="1" applyAlignment="1" applyProtection="1">
      <alignment horizontal="center"/>
    </xf>
    <xf numFmtId="0" fontId="20" fillId="11" borderId="5" xfId="6" applyFont="1" applyBorder="1" applyAlignment="1" applyProtection="1">
      <alignment horizontal="left"/>
    </xf>
    <xf numFmtId="0" fontId="20" fillId="11" borderId="23" xfId="6" applyFont="1" applyBorder="1" applyAlignment="1" applyProtection="1">
      <alignment horizontal="left"/>
    </xf>
    <xf numFmtId="0" fontId="20" fillId="11" borderId="6" xfId="6" applyFont="1" applyBorder="1" applyAlignment="1" applyProtection="1">
      <alignment horizontal="left"/>
    </xf>
    <xf numFmtId="165" fontId="15" fillId="2" borderId="7" xfId="1" applyNumberFormat="1" applyFont="1" applyBorder="1" applyAlignment="1" applyProtection="1">
      <alignment horizontal="right" vertical="center"/>
    </xf>
    <xf numFmtId="165" fontId="15" fillId="2" borderId="10" xfId="1" applyNumberFormat="1" applyFont="1" applyBorder="1" applyAlignment="1" applyProtection="1">
      <alignment horizontal="right" vertical="center"/>
    </xf>
    <xf numFmtId="0" fontId="18" fillId="3" borderId="5" xfId="0" applyFont="1" applyFill="1" applyBorder="1" applyAlignment="1">
      <alignment horizontal="center"/>
    </xf>
    <xf numFmtId="0" fontId="18" fillId="3" borderId="23" xfId="0" applyFont="1" applyFill="1" applyBorder="1" applyAlignment="1">
      <alignment horizontal="center"/>
    </xf>
    <xf numFmtId="0" fontId="18" fillId="3" borderId="6" xfId="0" applyFont="1" applyFill="1" applyBorder="1" applyAlignment="1">
      <alignment horizontal="center"/>
    </xf>
    <xf numFmtId="0" fontId="21" fillId="5" borderId="10" xfId="3" applyFont="1" applyBorder="1" applyAlignment="1" applyProtection="1">
      <alignment horizontal="center"/>
    </xf>
    <xf numFmtId="0" fontId="21" fillId="5" borderId="11" xfId="3" applyFont="1" applyBorder="1" applyAlignment="1" applyProtection="1">
      <alignment horizontal="center"/>
    </xf>
    <xf numFmtId="0" fontId="21" fillId="5" borderId="12" xfId="3" applyFont="1" applyBorder="1" applyAlignment="1" applyProtection="1">
      <alignment horizontal="center"/>
    </xf>
    <xf numFmtId="165" fontId="22" fillId="6" borderId="79" xfId="4" applyNumberFormat="1" applyFont="1" applyBorder="1" applyAlignment="1" applyProtection="1">
      <alignment horizontal="center"/>
    </xf>
    <xf numFmtId="165" fontId="22" fillId="6" borderId="39" xfId="4" applyNumberFormat="1" applyFont="1" applyBorder="1" applyAlignment="1" applyProtection="1">
      <alignment horizontal="center"/>
    </xf>
    <xf numFmtId="0" fontId="65" fillId="4" borderId="2" xfId="0" applyFont="1" applyFill="1" applyBorder="1" applyAlignment="1">
      <alignment horizontal="center"/>
    </xf>
    <xf numFmtId="165" fontId="0" fillId="21" borderId="2" xfId="0" applyNumberFormat="1" applyFill="1" applyBorder="1" applyAlignment="1">
      <alignment horizontal="center"/>
    </xf>
    <xf numFmtId="0" fontId="71" fillId="34" borderId="28" xfId="0" applyFont="1" applyFill="1" applyBorder="1" applyAlignment="1">
      <alignment horizontal="center"/>
    </xf>
    <xf numFmtId="165" fontId="71" fillId="34" borderId="2" xfId="0" applyNumberFormat="1" applyFont="1" applyFill="1" applyBorder="1" applyAlignment="1">
      <alignment horizontal="center"/>
    </xf>
    <xf numFmtId="0" fontId="18" fillId="12" borderId="28" xfId="0" applyFont="1" applyFill="1" applyBorder="1" applyAlignment="1">
      <alignment horizontal="left" vertical="center"/>
    </xf>
    <xf numFmtId="165" fontId="0" fillId="4" borderId="2" xfId="0" applyNumberFormat="1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165" fontId="10" fillId="15" borderId="0" xfId="8" applyNumberFormat="1" applyFont="1" applyBorder="1" applyAlignment="1" applyProtection="1">
      <alignment horizontal="center" wrapText="1"/>
    </xf>
    <xf numFmtId="165" fontId="10" fillId="15" borderId="4" xfId="8" applyNumberFormat="1" applyFont="1" applyBorder="1" applyAlignment="1" applyProtection="1">
      <alignment horizontal="center" wrapText="1"/>
    </xf>
    <xf numFmtId="165" fontId="71" fillId="46" borderId="68" xfId="5" applyNumberFormat="1" applyFont="1" applyFill="1" applyBorder="1" applyAlignment="1" applyProtection="1">
      <alignment horizontal="center"/>
    </xf>
    <xf numFmtId="165" fontId="71" fillId="46" borderId="69" xfId="5" applyNumberFormat="1" applyFont="1" applyFill="1" applyBorder="1" applyAlignment="1" applyProtection="1">
      <alignment horizontal="center"/>
    </xf>
    <xf numFmtId="165" fontId="10" fillId="25" borderId="2" xfId="0" applyNumberFormat="1" applyFont="1" applyFill="1" applyBorder="1" applyAlignment="1">
      <alignment horizontal="center" vertical="center"/>
    </xf>
    <xf numFmtId="165" fontId="10" fillId="25" borderId="28" xfId="0" applyNumberFormat="1" applyFont="1" applyFill="1" applyBorder="1" applyAlignment="1">
      <alignment horizontal="center" vertical="center"/>
    </xf>
    <xf numFmtId="165" fontId="71" fillId="34" borderId="5" xfId="0" applyNumberFormat="1" applyFont="1" applyFill="1" applyBorder="1" applyAlignment="1">
      <alignment horizontal="center"/>
    </xf>
    <xf numFmtId="165" fontId="71" fillId="34" borderId="23" xfId="0" applyNumberFormat="1" applyFont="1" applyFill="1" applyBorder="1" applyAlignment="1">
      <alignment horizontal="center"/>
    </xf>
    <xf numFmtId="165" fontId="71" fillId="34" borderId="6" xfId="0" applyNumberFormat="1" applyFont="1" applyFill="1" applyBorder="1" applyAlignment="1">
      <alignment horizontal="center"/>
    </xf>
    <xf numFmtId="165" fontId="71" fillId="46" borderId="70" xfId="5" applyNumberFormat="1" applyFont="1" applyFill="1" applyBorder="1" applyAlignment="1" applyProtection="1">
      <alignment horizontal="center"/>
    </xf>
    <xf numFmtId="165" fontId="71" fillId="46" borderId="71" xfId="5" applyNumberFormat="1" applyFont="1" applyFill="1" applyBorder="1" applyAlignment="1" applyProtection="1">
      <alignment horizontal="center"/>
    </xf>
    <xf numFmtId="165" fontId="71" fillId="34" borderId="29" xfId="0" applyNumberFormat="1" applyFont="1" applyFill="1" applyBorder="1" applyAlignment="1">
      <alignment horizontal="center"/>
    </xf>
    <xf numFmtId="165" fontId="82" fillId="44" borderId="5" xfId="0" applyNumberFormat="1" applyFont="1" applyFill="1" applyBorder="1" applyAlignment="1">
      <alignment horizontal="center"/>
    </xf>
    <xf numFmtId="165" fontId="82" fillId="44" borderId="6" xfId="0" applyNumberFormat="1" applyFont="1" applyFill="1" applyBorder="1" applyAlignment="1">
      <alignment horizontal="center"/>
    </xf>
    <xf numFmtId="165" fontId="82" fillId="44" borderId="2" xfId="0" applyNumberFormat="1" applyFont="1" applyFill="1" applyBorder="1" applyAlignment="1">
      <alignment horizontal="center"/>
    </xf>
    <xf numFmtId="165" fontId="0" fillId="25" borderId="2" xfId="0" applyNumberFormat="1" applyFill="1" applyBorder="1" applyAlignment="1">
      <alignment horizontal="center"/>
    </xf>
    <xf numFmtId="165" fontId="0" fillId="25" borderId="7" xfId="0" applyNumberFormat="1" applyFill="1" applyBorder="1" applyAlignment="1">
      <alignment horizontal="center" vertical="center"/>
    </xf>
    <xf numFmtId="165" fontId="0" fillId="25" borderId="9" xfId="0" applyNumberFormat="1" applyFill="1" applyBorder="1" applyAlignment="1">
      <alignment horizontal="center" vertical="center"/>
    </xf>
    <xf numFmtId="165" fontId="0" fillId="25" borderId="45" xfId="0" applyNumberFormat="1" applyFill="1" applyBorder="1" applyAlignment="1">
      <alignment horizontal="center" vertical="center"/>
    </xf>
    <xf numFmtId="165" fontId="0" fillId="25" borderId="4" xfId="0" applyNumberFormat="1" applyFill="1" applyBorder="1" applyAlignment="1">
      <alignment horizontal="center" vertical="center"/>
    </xf>
    <xf numFmtId="165" fontId="0" fillId="25" borderId="10" xfId="0" applyNumberFormat="1" applyFill="1" applyBorder="1" applyAlignment="1">
      <alignment horizontal="center" vertical="center"/>
    </xf>
    <xf numFmtId="165" fontId="0" fillId="25" borderId="12" xfId="0" applyNumberFormat="1" applyFill="1" applyBorder="1" applyAlignment="1">
      <alignment horizontal="center" vertical="center"/>
    </xf>
    <xf numFmtId="165" fontId="71" fillId="46" borderId="65" xfId="5" quotePrefix="1" applyNumberFormat="1" applyFont="1" applyFill="1" applyBorder="1" applyAlignment="1" applyProtection="1">
      <alignment horizontal="left"/>
    </xf>
    <xf numFmtId="165" fontId="71" fillId="46" borderId="66" xfId="5" quotePrefix="1" applyNumberFormat="1" applyFont="1" applyFill="1" applyBorder="1" applyAlignment="1" applyProtection="1">
      <alignment horizontal="left"/>
    </xf>
    <xf numFmtId="165" fontId="71" fillId="46" borderId="67" xfId="5" quotePrefix="1" applyNumberFormat="1" applyFont="1" applyFill="1" applyBorder="1" applyAlignment="1" applyProtection="1">
      <alignment horizontal="left"/>
    </xf>
    <xf numFmtId="165" fontId="71" fillId="46" borderId="90" xfId="5" applyNumberFormat="1" applyFont="1" applyFill="1" applyBorder="1" applyAlignment="1" applyProtection="1">
      <alignment horizontal="center"/>
    </xf>
    <xf numFmtId="165" fontId="71" fillId="46" borderId="29" xfId="5" applyNumberFormat="1" applyFont="1" applyFill="1" applyBorder="1" applyAlignment="1" applyProtection="1">
      <alignment horizontal="center"/>
    </xf>
    <xf numFmtId="165" fontId="71" fillId="46" borderId="63" xfId="5" applyNumberFormat="1" applyFont="1" applyFill="1" applyBorder="1" applyAlignment="1" applyProtection="1">
      <alignment horizontal="left"/>
    </xf>
    <xf numFmtId="165" fontId="71" fillId="46" borderId="74" xfId="5" applyNumberFormat="1" applyFont="1" applyFill="1" applyBorder="1" applyAlignment="1" applyProtection="1">
      <alignment horizontal="left"/>
    </xf>
    <xf numFmtId="165" fontId="71" fillId="46" borderId="62" xfId="5" applyNumberFormat="1" applyFont="1" applyFill="1" applyBorder="1" applyAlignment="1" applyProtection="1">
      <alignment horizontal="left"/>
    </xf>
    <xf numFmtId="165" fontId="71" fillId="46" borderId="64" xfId="5" applyNumberFormat="1" applyFont="1" applyFill="1" applyBorder="1" applyAlignment="1" applyProtection="1">
      <alignment horizontal="left"/>
    </xf>
    <xf numFmtId="165" fontId="71" fillId="46" borderId="72" xfId="5" applyNumberFormat="1" applyFont="1" applyFill="1" applyBorder="1" applyAlignment="1" applyProtection="1">
      <alignment horizontal="left"/>
    </xf>
    <xf numFmtId="165" fontId="71" fillId="46" borderId="73" xfId="5" applyNumberFormat="1" applyFont="1" applyFill="1" applyBorder="1" applyAlignment="1" applyProtection="1">
      <alignment horizontal="left"/>
    </xf>
    <xf numFmtId="165" fontId="0" fillId="25" borderId="2" xfId="0" applyNumberFormat="1" applyFill="1" applyBorder="1" applyAlignment="1">
      <alignment horizontal="center" vertical="center"/>
    </xf>
    <xf numFmtId="165" fontId="82" fillId="44" borderId="23" xfId="0" applyNumberFormat="1" applyFont="1" applyFill="1" applyBorder="1" applyAlignment="1">
      <alignment horizontal="center"/>
    </xf>
    <xf numFmtId="165" fontId="61" fillId="44" borderId="5" xfId="0" applyNumberFormat="1" applyFont="1" applyFill="1" applyBorder="1" applyAlignment="1">
      <alignment horizontal="center"/>
    </xf>
    <xf numFmtId="165" fontId="61" fillId="44" borderId="6" xfId="0" applyNumberFormat="1" applyFont="1" applyFill="1" applyBorder="1" applyAlignment="1">
      <alignment horizontal="center"/>
    </xf>
    <xf numFmtId="165" fontId="71" fillId="34" borderId="2" xfId="0" applyNumberFormat="1" applyFont="1" applyFill="1" applyBorder="1" applyAlignment="1">
      <alignment horizontal="center" vertical="center"/>
    </xf>
    <xf numFmtId="165" fontId="30" fillId="44" borderId="0" xfId="0" applyNumberFormat="1" applyFont="1" applyFill="1" applyAlignment="1">
      <alignment horizontal="left" vertical="center"/>
    </xf>
    <xf numFmtId="165" fontId="30" fillId="44" borderId="4" xfId="0" applyNumberFormat="1" applyFont="1" applyFill="1" applyBorder="1" applyAlignment="1">
      <alignment horizontal="left" vertical="center"/>
    </xf>
    <xf numFmtId="165" fontId="71" fillId="34" borderId="28" xfId="0" applyNumberFormat="1" applyFont="1" applyFill="1" applyBorder="1" applyAlignment="1">
      <alignment horizontal="center"/>
    </xf>
    <xf numFmtId="165" fontId="71" fillId="46" borderId="5" xfId="0" applyNumberFormat="1" applyFont="1" applyFill="1" applyBorder="1" applyAlignment="1">
      <alignment horizontal="center"/>
    </xf>
    <xf numFmtId="165" fontId="71" fillId="46" borderId="23" xfId="0" applyNumberFormat="1" applyFont="1" applyFill="1" applyBorder="1" applyAlignment="1">
      <alignment horizontal="center"/>
    </xf>
    <xf numFmtId="165" fontId="71" fillId="46" borderId="6" xfId="0" applyNumberFormat="1" applyFont="1" applyFill="1" applyBorder="1" applyAlignment="1">
      <alignment horizontal="center"/>
    </xf>
    <xf numFmtId="165" fontId="10" fillId="7" borderId="5" xfId="5" applyNumberFormat="1" applyFont="1" applyBorder="1" applyAlignment="1" applyProtection="1">
      <alignment horizontal="center"/>
    </xf>
    <xf numFmtId="165" fontId="10" fillId="7" borderId="6" xfId="5" applyNumberFormat="1" applyFont="1" applyBorder="1" applyAlignment="1" applyProtection="1">
      <alignment horizontal="center"/>
    </xf>
    <xf numFmtId="165" fontId="0" fillId="0" borderId="2" xfId="0" applyNumberFormat="1" applyBorder="1" applyAlignment="1">
      <alignment horizontal="center"/>
    </xf>
    <xf numFmtId="165" fontId="10" fillId="7" borderId="90" xfId="5" applyNumberFormat="1" applyFont="1" applyBorder="1" applyAlignment="1" applyProtection="1">
      <alignment horizontal="center"/>
    </xf>
    <xf numFmtId="165" fontId="10" fillId="7" borderId="29" xfId="5" applyNumberFormat="1" applyFont="1" applyBorder="1" applyAlignment="1" applyProtection="1">
      <alignment horizontal="center"/>
    </xf>
    <xf numFmtId="0" fontId="22" fillId="6" borderId="39" xfId="4" applyFont="1" applyBorder="1" applyAlignment="1" applyProtection="1">
      <alignment horizontal="center"/>
    </xf>
    <xf numFmtId="0" fontId="22" fillId="6" borderId="40" xfId="4" applyFont="1" applyBorder="1" applyAlignment="1" applyProtection="1">
      <alignment horizontal="center"/>
    </xf>
    <xf numFmtId="165" fontId="0" fillId="25" borderId="28" xfId="0" applyNumberFormat="1" applyFill="1" applyBorder="1" applyAlignment="1">
      <alignment horizontal="center"/>
    </xf>
    <xf numFmtId="165" fontId="15" fillId="2" borderId="43" xfId="1" applyNumberFormat="1" applyFont="1" applyBorder="1" applyAlignment="1" applyProtection="1">
      <alignment horizontal="center"/>
    </xf>
    <xf numFmtId="165" fontId="15" fillId="2" borderId="18" xfId="1" applyNumberFormat="1" applyFont="1" applyBorder="1" applyAlignment="1" applyProtection="1">
      <alignment horizontal="center"/>
    </xf>
    <xf numFmtId="0" fontId="0" fillId="4" borderId="2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5" fontId="22" fillId="6" borderId="145" xfId="4" applyNumberFormat="1" applyFont="1" applyBorder="1" applyAlignment="1" applyProtection="1">
      <alignment horizontal="center" vertical="center"/>
    </xf>
    <xf numFmtId="165" fontId="22" fillId="6" borderId="39" xfId="4" applyNumberFormat="1" applyFont="1" applyBorder="1" applyAlignment="1" applyProtection="1">
      <alignment horizontal="center" vertical="center"/>
    </xf>
    <xf numFmtId="165" fontId="22" fillId="6" borderId="40" xfId="4" applyNumberFormat="1" applyFont="1" applyBorder="1" applyAlignment="1" applyProtection="1">
      <alignment horizontal="center" vertical="center"/>
    </xf>
    <xf numFmtId="165" fontId="0" fillId="4" borderId="29" xfId="0" applyNumberFormat="1" applyFill="1" applyBorder="1" applyAlignment="1">
      <alignment horizontal="center"/>
    </xf>
    <xf numFmtId="0" fontId="18" fillId="0" borderId="0" xfId="0" applyFont="1" applyAlignment="1">
      <alignment horizontal="center" vertical="center"/>
    </xf>
    <xf numFmtId="165" fontId="56" fillId="4" borderId="2" xfId="0" applyNumberFormat="1" applyFont="1" applyFill="1" applyBorder="1" applyAlignment="1">
      <alignment horizontal="center" textRotation="255"/>
    </xf>
    <xf numFmtId="165" fontId="20" fillId="11" borderId="4" xfId="6" applyNumberFormat="1" applyFont="1" applyBorder="1" applyAlignment="1" applyProtection="1">
      <alignment horizontal="center" vertical="center"/>
    </xf>
    <xf numFmtId="165" fontId="10" fillId="15" borderId="6" xfId="8" applyNumberFormat="1" applyFont="1" applyBorder="1" applyAlignment="1" applyProtection="1">
      <alignment horizontal="center" vertical="center"/>
    </xf>
    <xf numFmtId="165" fontId="10" fillId="15" borderId="0" xfId="8" applyNumberFormat="1" applyFont="1" applyBorder="1" applyAlignment="1" applyProtection="1">
      <alignment horizontal="center" vertical="center"/>
    </xf>
    <xf numFmtId="165" fontId="71" fillId="4" borderId="5" xfId="0" applyNumberFormat="1" applyFont="1" applyFill="1" applyBorder="1" applyAlignment="1">
      <alignment horizontal="center" textRotation="255"/>
    </xf>
    <xf numFmtId="165" fontId="10" fillId="15" borderId="2" xfId="8" applyNumberFormat="1" applyFont="1" applyBorder="1" applyAlignment="1" applyProtection="1">
      <alignment horizontal="center" vertical="center" wrapText="1"/>
    </xf>
    <xf numFmtId="0" fontId="88" fillId="39" borderId="45" xfId="0" applyFont="1" applyFill="1" applyBorder="1" applyAlignment="1">
      <alignment horizontal="center" vertical="center"/>
    </xf>
    <xf numFmtId="0" fontId="88" fillId="39" borderId="0" xfId="0" applyFont="1" applyFill="1" applyAlignment="1">
      <alignment horizontal="center" vertical="center"/>
    </xf>
    <xf numFmtId="168" fontId="48" fillId="6" borderId="5" xfId="4" applyNumberFormat="1" applyFont="1" applyBorder="1" applyAlignment="1" applyProtection="1">
      <alignment horizontal="right"/>
    </xf>
    <xf numFmtId="168" fontId="48" fillId="6" borderId="23" xfId="4" applyNumberFormat="1" applyFont="1" applyBorder="1" applyAlignment="1" applyProtection="1">
      <alignment horizontal="right"/>
    </xf>
    <xf numFmtId="165" fontId="48" fillId="6" borderId="23" xfId="4" applyNumberFormat="1" applyFont="1" applyBorder="1" applyAlignment="1" applyProtection="1">
      <alignment horizontal="center"/>
    </xf>
    <xf numFmtId="165" fontId="48" fillId="6" borderId="6" xfId="4" applyNumberFormat="1" applyFont="1" applyBorder="1" applyAlignment="1" applyProtection="1">
      <alignment horizontal="center"/>
    </xf>
    <xf numFmtId="0" fontId="0" fillId="0" borderId="0" xfId="0" applyAlignment="1">
      <alignment horizontal="center" wrapText="1"/>
    </xf>
    <xf numFmtId="168" fontId="20" fillId="11" borderId="2" xfId="6" applyNumberFormat="1" applyFont="1" applyBorder="1" applyAlignment="1" applyProtection="1">
      <alignment horizontal="center"/>
    </xf>
    <xf numFmtId="165" fontId="15" fillId="2" borderId="2" xfId="1" applyNumberFormat="1" applyFont="1" applyBorder="1" applyAlignment="1" applyProtection="1">
      <alignment horizontal="left"/>
    </xf>
    <xf numFmtId="165" fontId="0" fillId="47" borderId="2" xfId="0" applyNumberFormat="1" applyFill="1" applyBorder="1" applyAlignment="1">
      <alignment horizontal="center"/>
    </xf>
    <xf numFmtId="0" fontId="51" fillId="25" borderId="2" xfId="1" applyFont="1" applyFill="1" applyBorder="1" applyAlignment="1" applyProtection="1">
      <alignment horizontal="center" vertical="center"/>
    </xf>
    <xf numFmtId="0" fontId="51" fillId="25" borderId="133" xfId="1" applyFont="1" applyFill="1" applyBorder="1" applyAlignment="1" applyProtection="1">
      <alignment horizontal="center" vertical="center"/>
    </xf>
    <xf numFmtId="0" fontId="51" fillId="25" borderId="20" xfId="1" applyFont="1" applyFill="1" applyBorder="1" applyAlignment="1" applyProtection="1">
      <alignment horizontal="center" vertical="center"/>
    </xf>
    <xf numFmtId="0" fontId="51" fillId="25" borderId="44" xfId="1" applyFont="1" applyFill="1" applyBorder="1" applyAlignment="1" applyProtection="1">
      <alignment horizontal="center" vertical="center"/>
    </xf>
    <xf numFmtId="0" fontId="51" fillId="25" borderId="43" xfId="1" applyFont="1" applyFill="1" applyBorder="1" applyAlignment="1" applyProtection="1">
      <alignment horizontal="center" vertical="center"/>
    </xf>
    <xf numFmtId="165" fontId="78" fillId="25" borderId="2" xfId="4" applyNumberFormat="1" applyFont="1" applyFill="1" applyBorder="1" applyAlignment="1" applyProtection="1">
      <alignment horizontal="center" vertical="center"/>
    </xf>
    <xf numFmtId="168" fontId="15" fillId="2" borderId="7" xfId="1" applyNumberFormat="1" applyFont="1" applyBorder="1" applyAlignment="1" applyProtection="1">
      <alignment horizontal="center"/>
    </xf>
    <xf numFmtId="168" fontId="15" fillId="2" borderId="8" xfId="1" applyNumberFormat="1" applyFont="1" applyBorder="1" applyAlignment="1" applyProtection="1">
      <alignment horizontal="center"/>
    </xf>
    <xf numFmtId="165" fontId="22" fillId="6" borderId="52" xfId="4" applyNumberFormat="1" applyFont="1" applyBorder="1" applyAlignment="1" applyProtection="1">
      <alignment horizontal="center"/>
    </xf>
    <xf numFmtId="165" fontId="22" fillId="6" borderId="149" xfId="4" applyNumberFormat="1" applyFont="1" applyBorder="1" applyAlignment="1" applyProtection="1">
      <alignment horizontal="center"/>
    </xf>
    <xf numFmtId="165" fontId="20" fillId="11" borderId="29" xfId="6" applyNumberFormat="1" applyFont="1" applyBorder="1" applyAlignment="1" applyProtection="1">
      <alignment horizontal="center"/>
    </xf>
    <xf numFmtId="165" fontId="20" fillId="11" borderId="10" xfId="6" applyNumberFormat="1" applyFont="1" applyBorder="1" applyAlignment="1" applyProtection="1">
      <alignment horizontal="center"/>
    </xf>
    <xf numFmtId="165" fontId="0" fillId="25" borderId="5" xfId="0" applyNumberFormat="1" applyFill="1" applyBorder="1" applyAlignment="1">
      <alignment horizontal="center"/>
    </xf>
    <xf numFmtId="165" fontId="0" fillId="25" borderId="23" xfId="0" applyNumberFormat="1" applyFill="1" applyBorder="1" applyAlignment="1">
      <alignment horizontal="center"/>
    </xf>
    <xf numFmtId="165" fontId="0" fillId="25" borderId="6" xfId="0" applyNumberFormat="1" applyFill="1" applyBorder="1" applyAlignment="1">
      <alignment horizontal="center"/>
    </xf>
    <xf numFmtId="165" fontId="10" fillId="7" borderId="2" xfId="5" applyNumberFormat="1" applyFont="1" applyBorder="1" applyAlignment="1" applyProtection="1">
      <alignment horizontal="left"/>
    </xf>
    <xf numFmtId="165" fontId="13" fillId="3" borderId="6" xfId="0" applyNumberFormat="1" applyFont="1" applyFill="1" applyBorder="1" applyAlignment="1">
      <alignment horizontal="center"/>
    </xf>
    <xf numFmtId="165" fontId="10" fillId="9" borderId="14" xfId="0" applyNumberFormat="1" applyFont="1" applyFill="1" applyBorder="1" applyAlignment="1">
      <alignment horizontal="left"/>
    </xf>
    <xf numFmtId="165" fontId="10" fillId="9" borderId="15" xfId="0" applyNumberFormat="1" applyFont="1" applyFill="1" applyBorder="1" applyAlignment="1">
      <alignment horizontal="left"/>
    </xf>
    <xf numFmtId="165" fontId="13" fillId="7" borderId="5" xfId="5" quotePrefix="1" applyNumberFormat="1" applyFont="1" applyBorder="1" applyAlignment="1" applyProtection="1">
      <alignment horizontal="left"/>
    </xf>
    <xf numFmtId="165" fontId="13" fillId="7" borderId="23" xfId="5" quotePrefix="1" applyNumberFormat="1" applyFont="1" applyBorder="1" applyAlignment="1" applyProtection="1">
      <alignment horizontal="left"/>
    </xf>
    <xf numFmtId="165" fontId="13" fillId="7" borderId="6" xfId="5" quotePrefix="1" applyNumberFormat="1" applyFont="1" applyBorder="1" applyAlignment="1" applyProtection="1">
      <alignment horizontal="left"/>
    </xf>
    <xf numFmtId="165" fontId="10" fillId="7" borderId="23" xfId="5" applyNumberFormat="1" applyFont="1" applyBorder="1" applyAlignment="1" applyProtection="1">
      <alignment horizontal="center"/>
    </xf>
    <xf numFmtId="165" fontId="30" fillId="7" borderId="5" xfId="5" applyNumberFormat="1" applyFont="1" applyBorder="1" applyAlignment="1" applyProtection="1">
      <alignment horizontal="center"/>
    </xf>
    <xf numFmtId="165" fontId="30" fillId="7" borderId="23" xfId="5" applyNumberFormat="1" applyFont="1" applyBorder="1" applyAlignment="1" applyProtection="1">
      <alignment horizontal="center"/>
    </xf>
    <xf numFmtId="165" fontId="30" fillId="7" borderId="8" xfId="5" applyNumberFormat="1" applyFont="1" applyBorder="1" applyAlignment="1" applyProtection="1">
      <alignment horizontal="center"/>
    </xf>
    <xf numFmtId="165" fontId="30" fillId="7" borderId="9" xfId="5" applyNumberFormat="1" applyFont="1" applyBorder="1" applyAlignment="1" applyProtection="1">
      <alignment horizontal="center"/>
    </xf>
    <xf numFmtId="165" fontId="13" fillId="7" borderId="2" xfId="5" quotePrefix="1" applyNumberFormat="1" applyFont="1" applyBorder="1" applyAlignment="1" applyProtection="1">
      <alignment horizontal="left"/>
    </xf>
    <xf numFmtId="0" fontId="23" fillId="7" borderId="58" xfId="5" applyFont="1" applyBorder="1" applyAlignment="1" applyProtection="1">
      <alignment horizontal="center"/>
    </xf>
    <xf numFmtId="0" fontId="28" fillId="5" borderId="2" xfId="3" applyFont="1" applyBorder="1" applyAlignment="1" applyProtection="1">
      <alignment horizontal="center" vertical="center"/>
    </xf>
    <xf numFmtId="165" fontId="15" fillId="2" borderId="10" xfId="1" applyNumberFormat="1" applyFont="1" applyBorder="1" applyAlignment="1" applyProtection="1">
      <alignment horizontal="center" vertical="center"/>
    </xf>
    <xf numFmtId="165" fontId="15" fillId="2" borderId="11" xfId="1" applyNumberFormat="1" applyFont="1" applyBorder="1" applyAlignment="1" applyProtection="1">
      <alignment horizontal="center" vertical="center"/>
    </xf>
    <xf numFmtId="165" fontId="15" fillId="2" borderId="12" xfId="1" applyNumberFormat="1" applyFont="1" applyBorder="1" applyAlignment="1" applyProtection="1">
      <alignment horizontal="center" vertical="center"/>
    </xf>
    <xf numFmtId="165" fontId="15" fillId="2" borderId="119" xfId="1" applyNumberFormat="1" applyFont="1" applyBorder="1" applyAlignment="1" applyProtection="1">
      <alignment horizontal="center"/>
    </xf>
    <xf numFmtId="165" fontId="15" fillId="2" borderId="120" xfId="1" applyNumberFormat="1" applyFont="1" applyBorder="1" applyAlignment="1" applyProtection="1">
      <alignment horizontal="center"/>
    </xf>
    <xf numFmtId="165" fontId="15" fillId="2" borderId="121" xfId="1" applyNumberFormat="1" applyFont="1" applyBorder="1" applyAlignment="1" applyProtection="1">
      <alignment horizontal="center"/>
    </xf>
    <xf numFmtId="165" fontId="22" fillId="6" borderId="107" xfId="4" applyNumberFormat="1" applyFont="1" applyBorder="1" applyAlignment="1" applyProtection="1">
      <alignment horizontal="left"/>
    </xf>
    <xf numFmtId="165" fontId="22" fillId="6" borderId="15" xfId="4" applyNumberFormat="1" applyFont="1" applyBorder="1" applyAlignment="1" applyProtection="1">
      <alignment horizontal="left"/>
    </xf>
    <xf numFmtId="165" fontId="22" fillId="6" borderId="108" xfId="4" applyNumberFormat="1" applyFont="1" applyBorder="1" applyAlignment="1" applyProtection="1">
      <alignment horizontal="left"/>
    </xf>
    <xf numFmtId="0" fontId="19" fillId="49" borderId="5" xfId="2" applyFont="1" applyFill="1" applyBorder="1" applyAlignment="1" applyProtection="1">
      <alignment horizontal="center"/>
      <protection locked="0"/>
    </xf>
    <xf numFmtId="0" fontId="19" fillId="49" borderId="23" xfId="2" applyFont="1" applyFill="1" applyBorder="1" applyAlignment="1" applyProtection="1">
      <alignment horizontal="center"/>
      <protection locked="0"/>
    </xf>
    <xf numFmtId="0" fontId="19" fillId="49" borderId="6" xfId="2" applyFont="1" applyFill="1" applyBorder="1" applyAlignment="1" applyProtection="1">
      <alignment horizontal="center"/>
      <protection locked="0"/>
    </xf>
    <xf numFmtId="0" fontId="10" fillId="15" borderId="0" xfId="8" applyFont="1" applyBorder="1" applyAlignment="1" applyProtection="1">
      <alignment horizontal="right" vertical="center" wrapText="1"/>
    </xf>
    <xf numFmtId="0" fontId="10" fillId="15" borderId="4" xfId="8" applyFont="1" applyBorder="1" applyAlignment="1" applyProtection="1">
      <alignment horizontal="right" vertical="center" wrapText="1"/>
    </xf>
    <xf numFmtId="0" fontId="10" fillId="15" borderId="11" xfId="8" applyFont="1" applyBorder="1" applyAlignment="1" applyProtection="1">
      <alignment horizontal="right" vertical="center" wrapText="1"/>
    </xf>
    <xf numFmtId="0" fontId="10" fillId="15" borderId="12" xfId="8" applyFont="1" applyBorder="1" applyAlignment="1" applyProtection="1">
      <alignment horizontal="right" vertical="center" wrapText="1"/>
    </xf>
    <xf numFmtId="165" fontId="51" fillId="25" borderId="1" xfId="1" applyNumberFormat="1" applyFont="1" applyFill="1" applyAlignment="1" applyProtection="1">
      <alignment horizontal="center" vertical="center"/>
    </xf>
    <xf numFmtId="0" fontId="51" fillId="25" borderId="1" xfId="1" applyFont="1" applyFill="1" applyAlignment="1" applyProtection="1">
      <alignment horizontal="center" vertical="center"/>
    </xf>
    <xf numFmtId="0" fontId="12" fillId="2" borderId="2" xfId="1" applyFont="1" applyBorder="1" applyAlignment="1" applyProtection="1">
      <alignment horizontal="center" vertical="center"/>
    </xf>
    <xf numFmtId="0" fontId="1" fillId="2" borderId="7" xfId="1" applyBorder="1" applyAlignment="1" applyProtection="1">
      <alignment horizontal="center" vertical="center"/>
    </xf>
    <xf numFmtId="0" fontId="1" fillId="2" borderId="8" xfId="1" applyBorder="1" applyAlignment="1" applyProtection="1">
      <alignment horizontal="center" vertical="center"/>
    </xf>
    <xf numFmtId="0" fontId="1" fillId="2" borderId="10" xfId="1" applyBorder="1" applyAlignment="1" applyProtection="1">
      <alignment horizontal="center" vertical="center"/>
    </xf>
    <xf numFmtId="0" fontId="1" fillId="2" borderId="11" xfId="1" applyBorder="1" applyAlignment="1" applyProtection="1">
      <alignment horizontal="center" vertical="center"/>
    </xf>
    <xf numFmtId="0" fontId="8" fillId="11" borderId="29" xfId="6" applyBorder="1" applyAlignment="1" applyProtection="1">
      <alignment horizontal="center" vertical="center"/>
    </xf>
    <xf numFmtId="0" fontId="8" fillId="11" borderId="2" xfId="6" applyBorder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165" fontId="44" fillId="7" borderId="5" xfId="5" applyNumberFormat="1" applyFont="1" applyBorder="1" applyAlignment="1" applyProtection="1">
      <alignment horizontal="left" vertical="center"/>
    </xf>
    <xf numFmtId="165" fontId="44" fillId="7" borderId="23" xfId="5" applyNumberFormat="1" applyFont="1" applyBorder="1" applyAlignment="1" applyProtection="1">
      <alignment horizontal="left" vertical="center"/>
    </xf>
    <xf numFmtId="165" fontId="44" fillId="7" borderId="8" xfId="5" applyNumberFormat="1" applyFont="1" applyBorder="1" applyAlignment="1" applyProtection="1">
      <alignment horizontal="left" vertical="center"/>
    </xf>
    <xf numFmtId="165" fontId="44" fillId="7" borderId="9" xfId="5" applyNumberFormat="1" applyFont="1" applyBorder="1" applyAlignment="1" applyProtection="1">
      <alignment horizontal="left" vertical="center"/>
    </xf>
    <xf numFmtId="165" fontId="15" fillId="2" borderId="3" xfId="1" applyNumberFormat="1" applyFont="1" applyBorder="1" applyAlignment="1" applyProtection="1">
      <alignment horizontal="center" vertical="center"/>
    </xf>
    <xf numFmtId="0" fontId="15" fillId="2" borderId="3" xfId="1" applyFont="1" applyBorder="1" applyAlignment="1" applyProtection="1">
      <alignment horizontal="center" vertical="center"/>
    </xf>
    <xf numFmtId="165" fontId="19" fillId="13" borderId="19" xfId="2" quotePrefix="1" applyNumberFormat="1" applyFont="1" applyBorder="1" applyAlignment="1" applyProtection="1">
      <alignment horizontal="center" vertical="center"/>
      <protection locked="0"/>
    </xf>
    <xf numFmtId="165" fontId="19" fillId="13" borderId="85" xfId="2" applyNumberFormat="1" applyFont="1" applyBorder="1" applyAlignment="1" applyProtection="1">
      <alignment horizontal="center" vertical="center"/>
      <protection locked="0"/>
    </xf>
    <xf numFmtId="165" fontId="19" fillId="13" borderId="17" xfId="2" applyNumberFormat="1" applyFont="1" applyBorder="1" applyAlignment="1" applyProtection="1">
      <alignment horizontal="center" vertical="center"/>
      <protection locked="0"/>
    </xf>
    <xf numFmtId="165" fontId="19" fillId="13" borderId="86" xfId="2" applyNumberFormat="1" applyFont="1" applyBorder="1" applyAlignment="1" applyProtection="1">
      <alignment horizontal="center" vertical="center"/>
      <protection locked="0"/>
    </xf>
    <xf numFmtId="165" fontId="12" fillId="2" borderId="13" xfId="1" applyNumberFormat="1" applyFont="1" applyBorder="1" applyAlignment="1" applyProtection="1">
      <alignment horizontal="center" vertical="center"/>
    </xf>
    <xf numFmtId="0" fontId="12" fillId="2" borderId="13" xfId="1" applyFont="1" applyBorder="1" applyAlignment="1" applyProtection="1">
      <alignment horizontal="center" vertical="center"/>
    </xf>
    <xf numFmtId="0" fontId="12" fillId="2" borderId="21" xfId="1" applyFont="1" applyBorder="1" applyAlignment="1" applyProtection="1">
      <alignment horizontal="center" vertical="center"/>
    </xf>
    <xf numFmtId="0" fontId="12" fillId="2" borderId="27" xfId="1" applyFont="1" applyBorder="1" applyAlignment="1" applyProtection="1">
      <alignment horizontal="center" vertical="center"/>
    </xf>
    <xf numFmtId="165" fontId="48" fillId="6" borderId="24" xfId="4" applyNumberFormat="1" applyFont="1" applyAlignment="1" applyProtection="1">
      <alignment horizontal="center" vertical="center"/>
    </xf>
    <xf numFmtId="165" fontId="47" fillId="13" borderId="2" xfId="2" quotePrefix="1" applyNumberFormat="1" applyFont="1" applyBorder="1" applyAlignment="1" applyProtection="1">
      <alignment horizontal="center" vertical="center"/>
      <protection locked="0"/>
    </xf>
    <xf numFmtId="165" fontId="47" fillId="13" borderId="5" xfId="2" quotePrefix="1" applyNumberFormat="1" applyFont="1" applyBorder="1" applyAlignment="1" applyProtection="1">
      <alignment horizontal="center" vertical="center"/>
      <protection locked="0"/>
    </xf>
    <xf numFmtId="165" fontId="12" fillId="2" borderId="2" xfId="1" applyNumberFormat="1" applyFont="1" applyBorder="1" applyAlignment="1" applyProtection="1">
      <alignment horizontal="center" vertical="center"/>
    </xf>
    <xf numFmtId="0" fontId="19" fillId="7" borderId="25" xfId="5" quotePrefix="1" applyFont="1" applyAlignment="1" applyProtection="1">
      <alignment horizontal="center"/>
    </xf>
    <xf numFmtId="0" fontId="19" fillId="7" borderId="25" xfId="5" applyFont="1" applyAlignment="1" applyProtection="1">
      <alignment horizontal="center"/>
    </xf>
    <xf numFmtId="165" fontId="51" fillId="25" borderId="27" xfId="1" applyNumberFormat="1" applyFont="1" applyFill="1" applyBorder="1" applyAlignment="1" applyProtection="1">
      <alignment horizontal="center" vertical="center"/>
    </xf>
    <xf numFmtId="165" fontId="51" fillId="25" borderId="102" xfId="1" applyNumberFormat="1" applyFont="1" applyFill="1" applyBorder="1" applyAlignment="1" applyProtection="1">
      <alignment horizontal="center" vertical="center"/>
    </xf>
    <xf numFmtId="0" fontId="51" fillId="25" borderId="35" xfId="1" applyFont="1" applyFill="1" applyBorder="1" applyAlignment="1" applyProtection="1">
      <alignment horizontal="center" vertical="center"/>
    </xf>
    <xf numFmtId="165" fontId="51" fillId="25" borderId="28" xfId="1" applyNumberFormat="1" applyFont="1" applyFill="1" applyBorder="1" applyAlignment="1" applyProtection="1">
      <alignment horizontal="center" vertical="center"/>
    </xf>
    <xf numFmtId="165" fontId="51" fillId="25" borderId="29" xfId="1" applyNumberFormat="1" applyFont="1" applyFill="1" applyBorder="1" applyAlignment="1" applyProtection="1">
      <alignment horizontal="center" vertical="center"/>
    </xf>
    <xf numFmtId="0" fontId="1" fillId="2" borderId="27" xfId="1" applyBorder="1" applyAlignment="1" applyProtection="1">
      <alignment horizontal="center" vertical="center"/>
    </xf>
    <xf numFmtId="165" fontId="51" fillId="3" borderId="1" xfId="1" applyNumberFormat="1" applyFont="1" applyFill="1" applyAlignment="1" applyProtection="1">
      <alignment horizontal="center" vertical="center"/>
    </xf>
    <xf numFmtId="0" fontId="51" fillId="3" borderId="35" xfId="1" applyFont="1" applyFill="1" applyBorder="1" applyAlignment="1" applyProtection="1">
      <alignment horizontal="center" vertical="center"/>
    </xf>
    <xf numFmtId="0" fontId="51" fillId="3" borderId="1" xfId="1" applyFont="1" applyFill="1" applyAlignment="1" applyProtection="1">
      <alignment horizontal="center" vertical="center"/>
    </xf>
    <xf numFmtId="165" fontId="30" fillId="7" borderId="2" xfId="5" applyNumberFormat="1" applyFont="1" applyBorder="1" applyAlignment="1" applyProtection="1">
      <alignment horizontal="center" vertical="center" wrapText="1"/>
    </xf>
    <xf numFmtId="165" fontId="49" fillId="7" borderId="113" xfId="11" applyNumberFormat="1" applyFill="1" applyAlignment="1" applyProtection="1">
      <alignment horizontal="center" vertical="center"/>
    </xf>
    <xf numFmtId="0" fontId="8" fillId="11" borderId="13" xfId="6" applyBorder="1" applyAlignment="1" applyProtection="1">
      <alignment horizontal="center" vertical="center"/>
    </xf>
    <xf numFmtId="0" fontId="8" fillId="11" borderId="1" xfId="6" applyBorder="1" applyAlignment="1" applyProtection="1">
      <alignment horizontal="center" vertical="center"/>
    </xf>
    <xf numFmtId="165" fontId="13" fillId="4" borderId="14" xfId="0" applyNumberFormat="1" applyFont="1" applyFill="1" applyBorder="1" applyAlignment="1">
      <alignment horizontal="left"/>
    </xf>
    <xf numFmtId="165" fontId="13" fillId="4" borderId="15" xfId="0" applyNumberFormat="1" applyFont="1" applyFill="1" applyBorder="1" applyAlignment="1">
      <alignment horizontal="left"/>
    </xf>
    <xf numFmtId="165" fontId="44" fillId="7" borderId="2" xfId="5" applyNumberFormat="1" applyFont="1" applyBorder="1" applyAlignment="1" applyProtection="1">
      <alignment horizontal="left" vertical="center"/>
    </xf>
    <xf numFmtId="165" fontId="1" fillId="2" borderId="8" xfId="1" applyNumberFormat="1" applyBorder="1" applyAlignment="1" applyProtection="1">
      <alignment horizontal="center" vertical="center"/>
    </xf>
    <xf numFmtId="165" fontId="1" fillId="2" borderId="11" xfId="1" applyNumberFormat="1" applyBorder="1" applyAlignment="1" applyProtection="1">
      <alignment horizontal="center" vertical="center"/>
    </xf>
    <xf numFmtId="170" fontId="0" fillId="0" borderId="84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65" fontId="10" fillId="15" borderId="84" xfId="8" applyNumberFormat="1" applyFont="1" applyBorder="1" applyAlignment="1" applyProtection="1">
      <alignment horizontal="center" vertical="center"/>
    </xf>
    <xf numFmtId="165" fontId="10" fillId="15" borderId="37" xfId="8" applyNumberFormat="1" applyFont="1" applyBorder="1" applyAlignment="1" applyProtection="1">
      <alignment horizontal="center" vertical="center"/>
    </xf>
    <xf numFmtId="165" fontId="10" fillId="15" borderId="17" xfId="8" applyNumberFormat="1" applyFont="1" applyBorder="1" applyAlignment="1" applyProtection="1">
      <alignment horizontal="center" vertical="center"/>
    </xf>
    <xf numFmtId="165" fontId="10" fillId="15" borderId="43" xfId="8" applyNumberFormat="1" applyFont="1" applyBorder="1" applyAlignment="1" applyProtection="1">
      <alignment horizontal="center" vertical="center"/>
    </xf>
    <xf numFmtId="165" fontId="10" fillId="15" borderId="18" xfId="8" applyNumberFormat="1" applyFont="1" applyBorder="1" applyAlignment="1" applyProtection="1">
      <alignment horizontal="center" vertical="center"/>
    </xf>
    <xf numFmtId="0" fontId="10" fillId="15" borderId="19" xfId="8" applyFont="1" applyBorder="1" applyAlignment="1" applyProtection="1">
      <alignment horizontal="center" vertical="center"/>
    </xf>
    <xf numFmtId="0" fontId="10" fillId="15" borderId="20" xfId="8" applyFont="1" applyBorder="1" applyAlignment="1" applyProtection="1">
      <alignment horizontal="center" vertical="center"/>
    </xf>
    <xf numFmtId="0" fontId="10" fillId="15" borderId="21" xfId="8" applyFont="1" applyBorder="1" applyAlignment="1" applyProtection="1">
      <alignment horizontal="center" vertical="center"/>
    </xf>
    <xf numFmtId="0" fontId="10" fillId="15" borderId="17" xfId="8" applyFont="1" applyBorder="1" applyAlignment="1" applyProtection="1">
      <alignment horizontal="center" vertical="center"/>
    </xf>
    <xf numFmtId="0" fontId="10" fillId="15" borderId="43" xfId="8" applyFont="1" applyBorder="1" applyAlignment="1" applyProtection="1">
      <alignment horizontal="center" vertical="center"/>
    </xf>
    <xf numFmtId="0" fontId="10" fillId="15" borderId="18" xfId="8" applyFont="1" applyBorder="1" applyAlignment="1" applyProtection="1">
      <alignment horizontal="center" vertical="center"/>
    </xf>
    <xf numFmtId="165" fontId="10" fillId="15" borderId="29" xfId="8" applyNumberFormat="1" applyFont="1" applyBorder="1" applyAlignment="1" applyProtection="1">
      <alignment horizontal="center" vertical="center" wrapText="1"/>
    </xf>
    <xf numFmtId="165" fontId="10" fillId="15" borderId="29" xfId="8" applyNumberFormat="1" applyFont="1" applyBorder="1" applyAlignment="1" applyProtection="1">
      <alignment horizontal="center" vertical="center"/>
    </xf>
    <xf numFmtId="165" fontId="10" fillId="15" borderId="105" xfId="8" applyNumberFormat="1" applyFont="1" applyBorder="1" applyAlignment="1" applyProtection="1">
      <alignment horizontal="center"/>
    </xf>
    <xf numFmtId="165" fontId="10" fillId="15" borderId="22" xfId="8" applyNumberFormat="1" applyFont="1" applyBorder="1" applyAlignment="1" applyProtection="1">
      <alignment horizontal="center"/>
    </xf>
    <xf numFmtId="165" fontId="15" fillId="2" borderId="29" xfId="1" applyNumberFormat="1" applyFont="1" applyBorder="1" applyAlignment="1" applyProtection="1">
      <alignment horizontal="center" vertical="center"/>
    </xf>
    <xf numFmtId="0" fontId="15" fillId="2" borderId="29" xfId="1" applyFont="1" applyBorder="1" applyAlignment="1" applyProtection="1">
      <alignment horizontal="center" vertical="center"/>
    </xf>
    <xf numFmtId="0" fontId="15" fillId="2" borderId="2" xfId="1" applyFont="1" applyBorder="1" applyAlignment="1" applyProtection="1">
      <alignment horizontal="center" vertical="center"/>
    </xf>
    <xf numFmtId="165" fontId="6" fillId="6" borderId="47" xfId="4" applyNumberFormat="1" applyBorder="1" applyAlignment="1" applyProtection="1">
      <alignment horizontal="center" vertical="center"/>
    </xf>
    <xf numFmtId="165" fontId="19" fillId="13" borderId="29" xfId="2" quotePrefix="1" applyNumberFormat="1" applyFont="1" applyBorder="1" applyAlignment="1" applyProtection="1">
      <alignment horizontal="center" vertical="center"/>
      <protection locked="0"/>
    </xf>
    <xf numFmtId="165" fontId="19" fillId="13" borderId="29" xfId="2" applyNumberFormat="1" applyFont="1" applyBorder="1" applyAlignment="1" applyProtection="1">
      <alignment horizontal="center" vertical="center"/>
      <protection locked="0"/>
    </xf>
    <xf numFmtId="165" fontId="19" fillId="13" borderId="27" xfId="2" applyNumberFormat="1" applyFont="1" applyBorder="1" applyAlignment="1" applyProtection="1">
      <alignment horizontal="center" vertical="center"/>
      <protection locked="0"/>
    </xf>
    <xf numFmtId="170" fontId="1" fillId="2" borderId="1" xfId="1" quotePrefix="1" applyNumberFormat="1" applyAlignment="1" applyProtection="1">
      <alignment horizontal="center" vertical="center"/>
    </xf>
    <xf numFmtId="165" fontId="44" fillId="7" borderId="5" xfId="5" applyNumberFormat="1" applyFont="1" applyBorder="1" applyAlignment="1" applyProtection="1">
      <alignment horizontal="center" vertical="center"/>
    </xf>
    <xf numFmtId="165" fontId="44" fillId="7" borderId="23" xfId="5" applyNumberFormat="1" applyFont="1" applyBorder="1" applyAlignment="1" applyProtection="1">
      <alignment horizontal="center" vertical="center"/>
    </xf>
    <xf numFmtId="165" fontId="44" fillId="7" borderId="6" xfId="5" applyNumberFormat="1" applyFont="1" applyBorder="1" applyAlignment="1" applyProtection="1">
      <alignment horizontal="center" vertical="center"/>
    </xf>
    <xf numFmtId="0" fontId="1" fillId="2" borderId="5" xfId="1" quotePrefix="1" applyBorder="1" applyAlignment="1" applyProtection="1">
      <alignment horizontal="center" vertical="center"/>
    </xf>
    <xf numFmtId="0" fontId="1" fillId="2" borderId="23" xfId="1" applyBorder="1" applyAlignment="1" applyProtection="1">
      <alignment horizontal="center" vertical="center"/>
    </xf>
    <xf numFmtId="165" fontId="1" fillId="2" borderId="6" xfId="1" applyNumberFormat="1" applyBorder="1" applyAlignment="1" applyProtection="1">
      <alignment horizontal="center" vertical="center"/>
    </xf>
    <xf numFmtId="0" fontId="42" fillId="26" borderId="2" xfId="0" applyFont="1" applyFill="1" applyBorder="1" applyAlignment="1">
      <alignment horizontal="center" vertical="center"/>
    </xf>
    <xf numFmtId="0" fontId="0" fillId="26" borderId="2" xfId="0" applyFill="1" applyBorder="1" applyAlignment="1">
      <alignment horizontal="center" vertical="center"/>
    </xf>
    <xf numFmtId="0" fontId="0" fillId="26" borderId="7" xfId="0" applyFill="1" applyBorder="1" applyAlignment="1">
      <alignment horizontal="center" vertical="center"/>
    </xf>
    <xf numFmtId="0" fontId="0" fillId="26" borderId="8" xfId="0" applyFill="1" applyBorder="1" applyAlignment="1">
      <alignment horizontal="center" vertical="center"/>
    </xf>
    <xf numFmtId="0" fontId="0" fillId="26" borderId="9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0" fillId="26" borderId="11" xfId="0" applyFill="1" applyBorder="1" applyAlignment="1">
      <alignment horizontal="center" vertical="center"/>
    </xf>
    <xf numFmtId="0" fontId="0" fillId="26" borderId="12" xfId="0" applyFill="1" applyBorder="1" applyAlignment="1">
      <alignment horizontal="center" vertical="center"/>
    </xf>
    <xf numFmtId="0" fontId="42" fillId="26" borderId="5" xfId="0" applyFont="1" applyFill="1" applyBorder="1" applyAlignment="1">
      <alignment horizontal="center" vertical="center"/>
    </xf>
    <xf numFmtId="0" fontId="42" fillId="26" borderId="23" xfId="0" applyFont="1" applyFill="1" applyBorder="1" applyAlignment="1">
      <alignment horizontal="center" vertical="center"/>
    </xf>
    <xf numFmtId="0" fontId="10" fillId="15" borderId="2" xfId="8" applyFont="1" applyBorder="1" applyAlignment="1" applyProtection="1">
      <alignment horizontal="center" vertical="center" wrapText="1"/>
    </xf>
    <xf numFmtId="0" fontId="10" fillId="15" borderId="2" xfId="8" applyFont="1" applyBorder="1" applyAlignment="1" applyProtection="1">
      <alignment horizontal="center" vertical="center"/>
    </xf>
    <xf numFmtId="165" fontId="30" fillId="29" borderId="7" xfId="8" applyNumberFormat="1" applyFont="1" applyFill="1" applyBorder="1" applyAlignment="1" applyProtection="1">
      <alignment horizontal="center" vertical="center" wrapText="1"/>
    </xf>
    <xf numFmtId="165" fontId="30" fillId="29" borderId="8" xfId="8" applyNumberFormat="1" applyFont="1" applyFill="1" applyBorder="1" applyAlignment="1" applyProtection="1">
      <alignment horizontal="center" vertical="center" wrapText="1"/>
    </xf>
    <xf numFmtId="165" fontId="30" fillId="29" borderId="9" xfId="8" applyNumberFormat="1" applyFont="1" applyFill="1" applyBorder="1" applyAlignment="1" applyProtection="1">
      <alignment horizontal="center" vertical="center" wrapText="1"/>
    </xf>
    <xf numFmtId="165" fontId="30" fillId="29" borderId="10" xfId="8" applyNumberFormat="1" applyFont="1" applyFill="1" applyBorder="1" applyAlignment="1" applyProtection="1">
      <alignment horizontal="center" vertical="center" wrapText="1"/>
    </xf>
    <xf numFmtId="165" fontId="30" fillId="29" borderId="11" xfId="8" applyNumberFormat="1" applyFont="1" applyFill="1" applyBorder="1" applyAlignment="1" applyProtection="1">
      <alignment horizontal="center" vertical="center" wrapText="1"/>
    </xf>
    <xf numFmtId="165" fontId="30" fillId="29" borderId="12" xfId="8" applyNumberFormat="1" applyFont="1" applyFill="1" applyBorder="1" applyAlignment="1" applyProtection="1">
      <alignment horizontal="center" vertical="center" wrapText="1"/>
    </xf>
    <xf numFmtId="165" fontId="15" fillId="2" borderId="96" xfId="1" applyNumberFormat="1" applyFont="1" applyBorder="1" applyAlignment="1" applyProtection="1">
      <alignment horizontal="center"/>
    </xf>
    <xf numFmtId="165" fontId="15" fillId="2" borderId="94" xfId="1" applyNumberFormat="1" applyFont="1" applyBorder="1" applyAlignment="1" applyProtection="1">
      <alignment horizontal="center"/>
    </xf>
    <xf numFmtId="165" fontId="15" fillId="2" borderId="97" xfId="1" applyNumberFormat="1" applyFont="1" applyBorder="1" applyAlignment="1" applyProtection="1">
      <alignment horizontal="center"/>
    </xf>
    <xf numFmtId="0" fontId="19" fillId="13" borderId="93" xfId="2" quotePrefix="1" applyFont="1" applyBorder="1" applyAlignment="1" applyProtection="1">
      <alignment horizontal="center"/>
      <protection locked="0"/>
    </xf>
    <xf numFmtId="0" fontId="19" fillId="13" borderId="94" xfId="2" quotePrefix="1" applyFont="1" applyBorder="1" applyAlignment="1" applyProtection="1">
      <alignment horizontal="center"/>
      <protection locked="0"/>
    </xf>
    <xf numFmtId="0" fontId="19" fillId="13" borderId="95" xfId="2" quotePrefix="1" applyFont="1" applyBorder="1" applyAlignment="1" applyProtection="1">
      <alignment horizontal="center"/>
      <protection locked="0"/>
    </xf>
    <xf numFmtId="49" fontId="89" fillId="7" borderId="2" xfId="5" quotePrefix="1" applyNumberFormat="1" applyFont="1" applyBorder="1" applyAlignment="1" applyProtection="1">
      <alignment horizontal="center"/>
    </xf>
    <xf numFmtId="49" fontId="89" fillId="7" borderId="2" xfId="5" applyNumberFormat="1" applyFont="1" applyBorder="1" applyAlignment="1" applyProtection="1">
      <alignment horizontal="center"/>
    </xf>
    <xf numFmtId="0" fontId="19" fillId="13" borderId="19" xfId="2" quotePrefix="1" applyFont="1" applyBorder="1" applyAlignment="1" applyProtection="1">
      <alignment horizontal="center"/>
      <protection locked="0"/>
    </xf>
    <xf numFmtId="0" fontId="19" fillId="13" borderId="20" xfId="2" applyFont="1" applyBorder="1" applyAlignment="1" applyProtection="1">
      <alignment horizontal="center"/>
      <protection locked="0"/>
    </xf>
    <xf numFmtId="0" fontId="19" fillId="13" borderId="21" xfId="2" applyFont="1" applyBorder="1" applyAlignment="1" applyProtection="1">
      <alignment horizontal="center"/>
      <protection locked="0"/>
    </xf>
    <xf numFmtId="167" fontId="78" fillId="7" borderId="2" xfId="5" applyNumberFormat="1" applyFont="1" applyBorder="1" applyAlignment="1" applyProtection="1">
      <alignment horizontal="center" vertical="center"/>
    </xf>
    <xf numFmtId="165" fontId="78" fillId="7" borderId="2" xfId="5" applyNumberFormat="1" applyFont="1" applyBorder="1" applyAlignment="1" applyProtection="1">
      <alignment horizontal="center" vertical="center"/>
    </xf>
    <xf numFmtId="0" fontId="6" fillId="6" borderId="24" xfId="4" applyAlignment="1" applyProtection="1">
      <alignment horizontal="center"/>
    </xf>
    <xf numFmtId="165" fontId="69" fillId="4" borderId="2" xfId="0" applyNumberFormat="1" applyFont="1" applyFill="1" applyBorder="1" applyAlignment="1">
      <alignment horizontal="center" vertical="center"/>
    </xf>
    <xf numFmtId="0" fontId="71" fillId="34" borderId="5" xfId="0" applyFont="1" applyFill="1" applyBorder="1" applyAlignment="1">
      <alignment horizontal="center"/>
    </xf>
    <xf numFmtId="0" fontId="71" fillId="34" borderId="23" xfId="0" applyFont="1" applyFill="1" applyBorder="1" applyAlignment="1">
      <alignment horizontal="center"/>
    </xf>
    <xf numFmtId="165" fontId="56" fillId="34" borderId="23" xfId="0" applyNumberFormat="1" applyFont="1" applyFill="1" applyBorder="1" applyAlignment="1">
      <alignment horizontal="center"/>
    </xf>
    <xf numFmtId="0" fontId="0" fillId="34" borderId="2" xfId="0" applyFill="1" applyBorder="1" applyAlignment="1">
      <alignment horizontal="center" vertical="center" wrapText="1"/>
    </xf>
    <xf numFmtId="0" fontId="0" fillId="34" borderId="2" xfId="0" applyFill="1" applyBorder="1" applyAlignment="1">
      <alignment horizontal="center" vertical="center"/>
    </xf>
    <xf numFmtId="165" fontId="56" fillId="34" borderId="5" xfId="0" applyNumberFormat="1" applyFont="1" applyFill="1" applyBorder="1" applyAlignment="1">
      <alignment horizontal="center"/>
    </xf>
    <xf numFmtId="165" fontId="56" fillId="34" borderId="6" xfId="0" applyNumberFormat="1" applyFont="1" applyFill="1" applyBorder="1" applyAlignment="1">
      <alignment horizontal="center"/>
    </xf>
    <xf numFmtId="165" fontId="0" fillId="4" borderId="57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23" xfId="0" applyNumberFormat="1" applyFill="1" applyBorder="1" applyAlignment="1">
      <alignment horizontal="center"/>
    </xf>
    <xf numFmtId="165" fontId="85" fillId="34" borderId="2" xfId="0" applyNumberFormat="1" applyFont="1" applyFill="1" applyBorder="1" applyAlignment="1">
      <alignment horizontal="center"/>
    </xf>
    <xf numFmtId="165" fontId="18" fillId="34" borderId="2" xfId="0" applyNumberFormat="1" applyFont="1" applyFill="1" applyBorder="1" applyAlignment="1">
      <alignment horizontal="center"/>
    </xf>
    <xf numFmtId="165" fontId="71" fillId="34" borderId="7" xfId="0" applyNumberFormat="1" applyFont="1" applyFill="1" applyBorder="1" applyAlignment="1">
      <alignment horizontal="center" vertical="center"/>
    </xf>
    <xf numFmtId="165" fontId="71" fillId="34" borderId="8" xfId="0" applyNumberFormat="1" applyFont="1" applyFill="1" applyBorder="1" applyAlignment="1">
      <alignment horizontal="center" vertical="center"/>
    </xf>
    <xf numFmtId="165" fontId="71" fillId="34" borderId="10" xfId="0" applyNumberFormat="1" applyFont="1" applyFill="1" applyBorder="1" applyAlignment="1">
      <alignment horizontal="center" vertical="center"/>
    </xf>
    <xf numFmtId="165" fontId="71" fillId="34" borderId="11" xfId="0" applyNumberFormat="1" applyFont="1" applyFill="1" applyBorder="1" applyAlignment="1">
      <alignment horizontal="center" vertical="center"/>
    </xf>
    <xf numFmtId="165" fontId="10" fillId="46" borderId="5" xfId="5" quotePrefix="1" applyNumberFormat="1" applyFont="1" applyFill="1" applyBorder="1" applyAlignment="1" applyProtection="1">
      <alignment horizontal="left"/>
    </xf>
    <xf numFmtId="165" fontId="10" fillId="46" borderId="23" xfId="5" quotePrefix="1" applyNumberFormat="1" applyFont="1" applyFill="1" applyBorder="1" applyAlignment="1" applyProtection="1">
      <alignment horizontal="left"/>
    </xf>
    <xf numFmtId="165" fontId="10" fillId="46" borderId="6" xfId="5" quotePrefix="1" applyNumberFormat="1" applyFont="1" applyFill="1" applyBorder="1" applyAlignment="1" applyProtection="1">
      <alignment horizontal="left"/>
    </xf>
    <xf numFmtId="165" fontId="10" fillId="46" borderId="2" xfId="5" applyNumberFormat="1" applyFont="1" applyFill="1" applyBorder="1" applyAlignment="1" applyProtection="1">
      <alignment horizontal="center"/>
    </xf>
    <xf numFmtId="165" fontId="71" fillId="33" borderId="8" xfId="0" applyNumberFormat="1" applyFont="1" applyFill="1" applyBorder="1" applyAlignment="1">
      <alignment horizontal="center"/>
    </xf>
    <xf numFmtId="165" fontId="71" fillId="33" borderId="9" xfId="0" applyNumberFormat="1" applyFont="1" applyFill="1" applyBorder="1" applyAlignment="1">
      <alignment horizontal="center"/>
    </xf>
    <xf numFmtId="165" fontId="71" fillId="33" borderId="6" xfId="0" applyNumberFormat="1" applyFont="1" applyFill="1" applyBorder="1" applyAlignment="1">
      <alignment horizontal="center"/>
    </xf>
    <xf numFmtId="165" fontId="71" fillId="33" borderId="2" xfId="0" applyNumberFormat="1" applyFont="1" applyFill="1" applyBorder="1" applyAlignment="1">
      <alignment horizontal="center"/>
    </xf>
    <xf numFmtId="165" fontId="71" fillId="33" borderId="29" xfId="0" applyNumberFormat="1" applyFont="1" applyFill="1" applyBorder="1" applyAlignment="1">
      <alignment horizontal="center"/>
    </xf>
    <xf numFmtId="165" fontId="30" fillId="45" borderId="0" xfId="0" applyNumberFormat="1" applyFont="1" applyFill="1" applyAlignment="1">
      <alignment horizontal="left" vertical="center"/>
    </xf>
    <xf numFmtId="165" fontId="30" fillId="45" borderId="4" xfId="0" applyNumberFormat="1" applyFont="1" applyFill="1" applyBorder="1" applyAlignment="1">
      <alignment horizontal="left" vertical="center"/>
    </xf>
    <xf numFmtId="165" fontId="82" fillId="45" borderId="2" xfId="0" applyNumberFormat="1" applyFont="1" applyFill="1" applyBorder="1" applyAlignment="1">
      <alignment horizontal="center"/>
    </xf>
    <xf numFmtId="165" fontId="82" fillId="45" borderId="5" xfId="0" applyNumberFormat="1" applyFont="1" applyFill="1" applyBorder="1" applyAlignment="1">
      <alignment horizontal="center"/>
    </xf>
    <xf numFmtId="165" fontId="82" fillId="45" borderId="23" xfId="0" applyNumberFormat="1" applyFont="1" applyFill="1" applyBorder="1" applyAlignment="1">
      <alignment horizontal="center"/>
    </xf>
    <xf numFmtId="165" fontId="82" fillId="45" borderId="6" xfId="0" applyNumberFormat="1" applyFont="1" applyFill="1" applyBorder="1" applyAlignment="1">
      <alignment horizontal="center"/>
    </xf>
    <xf numFmtId="165" fontId="71" fillId="45" borderId="7" xfId="0" applyNumberFormat="1" applyFont="1" applyFill="1" applyBorder="1" applyAlignment="1">
      <alignment horizontal="center"/>
    </xf>
    <xf numFmtId="165" fontId="71" fillId="45" borderId="8" xfId="0" applyNumberFormat="1" applyFont="1" applyFill="1" applyBorder="1" applyAlignment="1">
      <alignment horizontal="center"/>
    </xf>
    <xf numFmtId="165" fontId="10" fillId="46" borderId="5" xfId="5" applyNumberFormat="1" applyFont="1" applyFill="1" applyBorder="1" applyAlignment="1" applyProtection="1">
      <alignment horizontal="center"/>
    </xf>
    <xf numFmtId="165" fontId="10" fillId="46" borderId="23" xfId="5" applyNumberFormat="1" applyFont="1" applyFill="1" applyBorder="1" applyAlignment="1" applyProtection="1">
      <alignment horizontal="center"/>
    </xf>
    <xf numFmtId="165" fontId="10" fillId="46" borderId="6" xfId="5" applyNumberFormat="1" applyFont="1" applyFill="1" applyBorder="1" applyAlignment="1" applyProtection="1">
      <alignment horizontal="center"/>
    </xf>
    <xf numFmtId="165" fontId="10" fillId="46" borderId="2" xfId="5" quotePrefix="1" applyNumberFormat="1" applyFont="1" applyFill="1" applyBorder="1" applyAlignment="1" applyProtection="1">
      <alignment horizontal="left"/>
    </xf>
    <xf numFmtId="165" fontId="44" fillId="7" borderId="6" xfId="5" applyNumberFormat="1" applyFont="1" applyBorder="1" applyAlignment="1" applyProtection="1">
      <alignment horizontal="left" vertical="center"/>
    </xf>
    <xf numFmtId="0" fontId="0" fillId="26" borderId="29" xfId="0" applyFill="1" applyBorder="1" applyAlignment="1">
      <alignment horizontal="center" vertical="center"/>
    </xf>
    <xf numFmtId="0" fontId="1" fillId="2" borderId="114" xfId="1" applyBorder="1" applyAlignment="1" applyProtection="1">
      <alignment horizontal="center" vertical="center"/>
    </xf>
    <xf numFmtId="0" fontId="1" fillId="2" borderId="115" xfId="1" applyBorder="1" applyAlignment="1" applyProtection="1">
      <alignment horizontal="center" vertical="center"/>
    </xf>
    <xf numFmtId="0" fontId="1" fillId="2" borderId="42" xfId="1" applyBorder="1" applyAlignment="1" applyProtection="1">
      <alignment horizontal="center" vertical="center"/>
    </xf>
    <xf numFmtId="0" fontId="1" fillId="2" borderId="36" xfId="1" applyBorder="1" applyAlignment="1" applyProtection="1">
      <alignment horizontal="center" vertical="center"/>
    </xf>
    <xf numFmtId="165" fontId="1" fillId="2" borderId="116" xfId="1" applyNumberFormat="1" applyBorder="1" applyAlignment="1" applyProtection="1">
      <alignment horizontal="center" vertical="center"/>
    </xf>
    <xf numFmtId="165" fontId="1" fillId="2" borderId="3" xfId="1" applyNumberFormat="1" applyBorder="1" applyAlignment="1" applyProtection="1">
      <alignment horizontal="center" vertical="center"/>
    </xf>
    <xf numFmtId="165" fontId="48" fillId="6" borderId="5" xfId="4" applyNumberFormat="1" applyFont="1" applyBorder="1" applyAlignment="1" applyProtection="1">
      <alignment horizontal="center"/>
    </xf>
    <xf numFmtId="165" fontId="0" fillId="4" borderId="2" xfId="0" applyNumberFormat="1" applyFill="1" applyBorder="1" applyAlignment="1">
      <alignment horizontal="center" vertical="center" textRotation="255"/>
    </xf>
    <xf numFmtId="0" fontId="51" fillId="3" borderId="2" xfId="1" applyFont="1" applyFill="1" applyBorder="1" applyAlignment="1" applyProtection="1">
      <alignment horizontal="center" vertical="center"/>
    </xf>
    <xf numFmtId="165" fontId="22" fillId="6" borderId="2" xfId="4" applyNumberFormat="1" applyFont="1" applyBorder="1" applyAlignment="1" applyProtection="1">
      <alignment horizontal="center" vertical="center"/>
    </xf>
    <xf numFmtId="0" fontId="10" fillId="15" borderId="7" xfId="8" applyFont="1" applyBorder="1" applyAlignment="1" applyProtection="1">
      <alignment horizontal="right" vertical="center"/>
    </xf>
    <xf numFmtId="0" fontId="10" fillId="15" borderId="8" xfId="8" applyFont="1" applyBorder="1" applyAlignment="1" applyProtection="1">
      <alignment horizontal="right" vertical="center"/>
    </xf>
    <xf numFmtId="0" fontId="10" fillId="15" borderId="9" xfId="8" applyFont="1" applyBorder="1" applyAlignment="1" applyProtection="1">
      <alignment horizontal="right" vertical="center"/>
    </xf>
    <xf numFmtId="0" fontId="10" fillId="15" borderId="45" xfId="8" applyFont="1" applyBorder="1" applyAlignment="1" applyProtection="1">
      <alignment horizontal="right" vertical="center"/>
    </xf>
    <xf numFmtId="0" fontId="10" fillId="15" borderId="4" xfId="8" applyFont="1" applyBorder="1" applyAlignment="1" applyProtection="1">
      <alignment horizontal="right" vertical="center"/>
    </xf>
    <xf numFmtId="0" fontId="10" fillId="15" borderId="10" xfId="8" applyFont="1" applyBorder="1" applyAlignment="1" applyProtection="1">
      <alignment horizontal="right" vertical="center"/>
    </xf>
    <xf numFmtId="0" fontId="10" fillId="15" borderId="11" xfId="8" applyFont="1" applyBorder="1" applyAlignment="1" applyProtection="1">
      <alignment horizontal="right" vertical="center"/>
    </xf>
    <xf numFmtId="0" fontId="10" fillId="15" borderId="12" xfId="8" applyFont="1" applyBorder="1" applyAlignment="1" applyProtection="1">
      <alignment horizontal="right" vertical="center"/>
    </xf>
    <xf numFmtId="0" fontId="0" fillId="0" borderId="2" xfId="0" applyBorder="1" applyAlignment="1">
      <alignment horizontal="center"/>
    </xf>
    <xf numFmtId="165" fontId="1" fillId="2" borderId="2" xfId="1" applyNumberFormat="1" applyBorder="1" applyAlignment="1" applyProtection="1">
      <alignment horizontal="center"/>
    </xf>
    <xf numFmtId="0" fontId="18" fillId="0" borderId="5" xfId="0" applyFont="1" applyBorder="1" applyAlignment="1">
      <alignment horizontal="center"/>
    </xf>
    <xf numFmtId="0" fontId="18" fillId="0" borderId="23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165" fontId="11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center" vertical="center"/>
    </xf>
    <xf numFmtId="167" fontId="3" fillId="13" borderId="1" xfId="2" applyNumberFormat="1" applyAlignment="1" applyProtection="1">
      <alignment horizontal="center" vertical="center"/>
    </xf>
    <xf numFmtId="49" fontId="3" fillId="13" borderId="1" xfId="2" quotePrefix="1" applyNumberFormat="1" applyAlignment="1" applyProtection="1">
      <alignment horizontal="center" vertical="center"/>
      <protection locked="0"/>
    </xf>
    <xf numFmtId="49" fontId="3" fillId="13" borderId="1" xfId="2" applyNumberFormat="1" applyAlignment="1" applyProtection="1">
      <alignment horizontal="center" vertical="center"/>
      <protection locked="0"/>
    </xf>
    <xf numFmtId="0" fontId="18" fillId="0" borderId="2" xfId="0" applyFont="1" applyBorder="1" applyAlignment="1">
      <alignment horizontal="center"/>
    </xf>
    <xf numFmtId="168" fontId="83" fillId="6" borderId="5" xfId="4" applyNumberFormat="1" applyFont="1" applyBorder="1" applyAlignment="1" applyProtection="1">
      <alignment horizontal="right"/>
    </xf>
    <xf numFmtId="168" fontId="83" fillId="6" borderId="23" xfId="4" applyNumberFormat="1" applyFont="1" applyBorder="1" applyAlignment="1" applyProtection="1">
      <alignment horizontal="right"/>
    </xf>
    <xf numFmtId="165" fontId="83" fillId="6" borderId="6" xfId="4" applyNumberFormat="1" applyFont="1" applyBorder="1" applyAlignment="1" applyProtection="1">
      <alignment horizontal="center"/>
    </xf>
    <xf numFmtId="165" fontId="83" fillId="6" borderId="2" xfId="4" applyNumberFormat="1" applyFont="1" applyBorder="1" applyAlignment="1" applyProtection="1">
      <alignment horizontal="center"/>
    </xf>
    <xf numFmtId="0" fontId="0" fillId="0" borderId="0" xfId="0" applyAlignment="1">
      <alignment horizontal="center"/>
    </xf>
    <xf numFmtId="0" fontId="59" fillId="7" borderId="2" xfId="5" applyFont="1" applyBorder="1" applyAlignment="1" applyProtection="1">
      <alignment horizontal="center"/>
    </xf>
    <xf numFmtId="49" fontId="40" fillId="13" borderId="114" xfId="2" applyNumberFormat="1" applyFont="1" applyBorder="1" applyAlignment="1" applyProtection="1">
      <alignment horizontal="center" vertical="center"/>
    </xf>
    <xf numFmtId="49" fontId="40" fillId="13" borderId="123" xfId="2" applyNumberFormat="1" applyFont="1" applyBorder="1" applyAlignment="1" applyProtection="1">
      <alignment horizontal="center" vertical="center"/>
    </xf>
    <xf numFmtId="164" fontId="56" fillId="15" borderId="105" xfId="8" applyNumberFormat="1" applyFont="1" applyBorder="1" applyAlignment="1" applyProtection="1">
      <alignment horizontal="center" vertical="center" wrapText="1"/>
    </xf>
    <xf numFmtId="164" fontId="56" fillId="15" borderId="22" xfId="8" applyNumberFormat="1" applyFont="1" applyBorder="1" applyAlignment="1" applyProtection="1">
      <alignment horizontal="center" vertical="center" wrapText="1"/>
    </xf>
    <xf numFmtId="164" fontId="56" fillId="15" borderId="106" xfId="8" applyNumberFormat="1" applyFont="1" applyBorder="1" applyAlignment="1" applyProtection="1">
      <alignment horizontal="center" vertical="center" wrapText="1"/>
    </xf>
    <xf numFmtId="164" fontId="56" fillId="15" borderId="10" xfId="8" applyNumberFormat="1" applyFont="1" applyBorder="1" applyAlignment="1" applyProtection="1">
      <alignment horizontal="center" vertical="center" wrapText="1"/>
    </xf>
    <xf numFmtId="164" fontId="56" fillId="15" borderId="11" xfId="8" applyNumberFormat="1" applyFont="1" applyBorder="1" applyAlignment="1" applyProtection="1">
      <alignment horizontal="center" vertical="center" wrapText="1"/>
    </xf>
    <xf numFmtId="164" fontId="56" fillId="15" borderId="12" xfId="8" applyNumberFormat="1" applyFont="1" applyBorder="1" applyAlignment="1" applyProtection="1">
      <alignment horizontal="center" vertical="center" wrapText="1"/>
    </xf>
    <xf numFmtId="164" fontId="56" fillId="15" borderId="2" xfId="8" applyNumberFormat="1" applyFont="1" applyBorder="1" applyAlignment="1" applyProtection="1">
      <alignment horizontal="center" vertical="center" wrapText="1"/>
    </xf>
    <xf numFmtId="167" fontId="3" fillId="13" borderId="1" xfId="2" applyNumberFormat="1" applyAlignment="1" applyProtection="1">
      <alignment horizontal="center"/>
    </xf>
    <xf numFmtId="167" fontId="3" fillId="13" borderId="1" xfId="2" quotePrefix="1" applyNumberFormat="1" applyAlignment="1" applyProtection="1">
      <alignment horizontal="center"/>
    </xf>
    <xf numFmtId="164" fontId="56" fillId="25" borderId="2" xfId="8" applyNumberFormat="1" applyFont="1" applyFill="1" applyBorder="1" applyAlignment="1" applyProtection="1">
      <alignment horizontal="center" vertical="center" wrapText="1"/>
    </xf>
    <xf numFmtId="167" fontId="3" fillId="13" borderId="13" xfId="2" applyNumberFormat="1" applyBorder="1" applyAlignment="1" applyProtection="1">
      <alignment horizontal="center" vertical="center"/>
    </xf>
    <xf numFmtId="49" fontId="5" fillId="7" borderId="2" xfId="5" applyNumberFormat="1" applyFont="1" applyBorder="1" applyAlignment="1">
      <alignment horizontal="center"/>
    </xf>
    <xf numFmtId="0" fontId="5" fillId="7" borderId="2" xfId="5" applyFont="1" applyBorder="1" applyAlignment="1">
      <alignment horizontal="center"/>
    </xf>
    <xf numFmtId="0" fontId="39" fillId="6" borderId="39" xfId="4" applyFont="1" applyBorder="1" applyAlignment="1" applyProtection="1">
      <alignment horizontal="center"/>
    </xf>
    <xf numFmtId="0" fontId="39" fillId="6" borderId="40" xfId="4" applyFont="1" applyBorder="1" applyAlignment="1" applyProtection="1">
      <alignment horizontal="center"/>
    </xf>
    <xf numFmtId="49" fontId="3" fillId="13" borderId="13" xfId="2" quotePrefix="1" applyNumberFormat="1" applyBorder="1" applyAlignment="1" applyProtection="1">
      <alignment horizontal="center" vertical="center"/>
      <protection locked="0"/>
    </xf>
    <xf numFmtId="49" fontId="3" fillId="13" borderId="13" xfId="2" applyNumberFormat="1" applyBorder="1" applyAlignment="1" applyProtection="1">
      <alignment horizontal="center" vertical="center"/>
      <protection locked="0"/>
    </xf>
    <xf numFmtId="0" fontId="39" fillId="6" borderId="53" xfId="4" applyFont="1" applyBorder="1" applyAlignment="1" applyProtection="1">
      <alignment horizontal="center"/>
    </xf>
    <xf numFmtId="0" fontId="39" fillId="6" borderId="54" xfId="4" applyFont="1" applyBorder="1" applyAlignment="1" applyProtection="1">
      <alignment horizontal="center"/>
    </xf>
    <xf numFmtId="167" fontId="3" fillId="13" borderId="13" xfId="2" quotePrefix="1" applyNumberFormat="1" applyBorder="1" applyAlignment="1" applyProtection="1">
      <alignment horizontal="center"/>
    </xf>
    <xf numFmtId="167" fontId="3" fillId="13" borderId="13" xfId="2" applyNumberFormat="1" applyBorder="1" applyAlignment="1" applyProtection="1">
      <alignment horizontal="center"/>
    </xf>
    <xf numFmtId="0" fontId="18" fillId="25" borderId="0" xfId="0" applyFont="1" applyFill="1" applyAlignment="1">
      <alignment horizontal="center" vertical="center"/>
    </xf>
    <xf numFmtId="165" fontId="10" fillId="15" borderId="105" xfId="8" applyNumberFormat="1" applyFont="1" applyBorder="1" applyAlignment="1" applyProtection="1">
      <alignment horizontal="center" vertical="center" wrapText="1"/>
    </xf>
    <xf numFmtId="165" fontId="10" fillId="15" borderId="106" xfId="8" applyNumberFormat="1" applyFont="1" applyBorder="1" applyAlignment="1" applyProtection="1">
      <alignment horizontal="center" vertical="center" wrapText="1"/>
    </xf>
    <xf numFmtId="165" fontId="0" fillId="3" borderId="25" xfId="5" applyNumberFormat="1" applyFont="1" applyFill="1" applyAlignment="1">
      <alignment horizontal="center"/>
    </xf>
    <xf numFmtId="165" fontId="10" fillId="7" borderId="29" xfId="5" applyNumberFormat="1" applyFont="1" applyBorder="1" applyAlignment="1" applyProtection="1">
      <alignment horizontal="center" vertical="center"/>
    </xf>
    <xf numFmtId="165" fontId="10" fillId="7" borderId="2" xfId="5" applyNumberFormat="1" applyFont="1" applyBorder="1" applyAlignment="1" applyProtection="1">
      <alignment horizontal="center" vertical="center"/>
    </xf>
    <xf numFmtId="168" fontId="15" fillId="2" borderId="10" xfId="1" applyNumberFormat="1" applyFont="1" applyBorder="1" applyAlignment="1" applyProtection="1">
      <alignment horizontal="center"/>
    </xf>
    <xf numFmtId="168" fontId="15" fillId="2" borderId="11" xfId="1" applyNumberFormat="1" applyFont="1" applyBorder="1" applyAlignment="1" applyProtection="1">
      <alignment horizontal="center"/>
    </xf>
    <xf numFmtId="165" fontId="22" fillId="6" borderId="54" xfId="4" applyNumberFormat="1" applyFont="1" applyBorder="1" applyAlignment="1" applyProtection="1">
      <alignment horizontal="center"/>
    </xf>
    <xf numFmtId="0" fontId="18" fillId="12" borderId="6" xfId="0" applyFont="1" applyFill="1" applyBorder="1" applyAlignment="1">
      <alignment horizontal="center" vertical="center"/>
    </xf>
    <xf numFmtId="165" fontId="10" fillId="25" borderId="2" xfId="8" applyNumberFormat="1" applyFont="1" applyFill="1" applyBorder="1" applyAlignment="1" applyProtection="1">
      <alignment horizontal="center" vertical="center"/>
    </xf>
    <xf numFmtId="0" fontId="19" fillId="13" borderId="5" xfId="2" applyFont="1" applyBorder="1" applyAlignment="1" applyProtection="1">
      <alignment horizontal="center"/>
      <protection locked="0"/>
    </xf>
    <xf numFmtId="0" fontId="19" fillId="13" borderId="23" xfId="2" applyFont="1" applyBorder="1" applyAlignment="1" applyProtection="1">
      <alignment horizontal="center"/>
      <protection locked="0"/>
    </xf>
    <xf numFmtId="0" fontId="19" fillId="13" borderId="6" xfId="2" applyFont="1" applyBorder="1" applyAlignment="1" applyProtection="1">
      <alignment horizontal="center"/>
      <protection locked="0"/>
    </xf>
    <xf numFmtId="167" fontId="3" fillId="13" borderId="27" xfId="2" applyNumberFormat="1" applyBorder="1" applyAlignment="1" applyProtection="1">
      <alignment horizontal="center" vertical="center"/>
    </xf>
    <xf numFmtId="164" fontId="56" fillId="15" borderId="57" xfId="8" applyNumberFormat="1" applyFont="1" applyBorder="1" applyAlignment="1" applyProtection="1">
      <alignment horizontal="center" vertical="center" wrapText="1"/>
    </xf>
    <xf numFmtId="164" fontId="56" fillId="15" borderId="29" xfId="8" applyNumberFormat="1" applyFont="1" applyBorder="1" applyAlignment="1" applyProtection="1">
      <alignment horizontal="center" vertical="center" wrapText="1"/>
    </xf>
    <xf numFmtId="49" fontId="3" fillId="13" borderId="27" xfId="2" quotePrefix="1" applyNumberFormat="1" applyBorder="1" applyAlignment="1" applyProtection="1">
      <alignment horizontal="center" vertical="center"/>
      <protection locked="0"/>
    </xf>
    <xf numFmtId="49" fontId="3" fillId="13" borderId="27" xfId="2" applyNumberFormat="1" applyBorder="1" applyAlignment="1" applyProtection="1">
      <alignment horizontal="center" vertical="center"/>
      <protection locked="0"/>
    </xf>
    <xf numFmtId="165" fontId="0" fillId="3" borderId="60" xfId="5" applyNumberFormat="1" applyFont="1" applyFill="1" applyBorder="1" applyAlignment="1">
      <alignment horizontal="center"/>
    </xf>
    <xf numFmtId="164" fontId="10" fillId="25" borderId="2" xfId="8" applyNumberFormat="1" applyFont="1" applyFill="1" applyBorder="1" applyAlignment="1" applyProtection="1">
      <alignment horizontal="center" vertical="center" wrapText="1"/>
    </xf>
    <xf numFmtId="165" fontId="10" fillId="25" borderId="45" xfId="8" applyNumberFormat="1" applyFont="1" applyFill="1" applyBorder="1" applyAlignment="1" applyProtection="1">
      <alignment horizontal="center" vertical="center"/>
    </xf>
    <xf numFmtId="165" fontId="10" fillId="25" borderId="0" xfId="8" applyNumberFormat="1" applyFont="1" applyFill="1" applyBorder="1" applyAlignment="1" applyProtection="1">
      <alignment horizontal="center" vertical="center"/>
    </xf>
    <xf numFmtId="165" fontId="10" fillId="25" borderId="4" xfId="8" applyNumberFormat="1" applyFont="1" applyFill="1" applyBorder="1" applyAlignment="1" applyProtection="1">
      <alignment horizontal="center" vertical="center"/>
    </xf>
    <xf numFmtId="165" fontId="10" fillId="7" borderId="29" xfId="5" applyNumberFormat="1" applyFont="1" applyBorder="1" applyAlignment="1" applyProtection="1">
      <alignment horizontal="center" vertical="center" wrapText="1"/>
    </xf>
    <xf numFmtId="165" fontId="10" fillId="7" borderId="2" xfId="5" applyNumberFormat="1" applyFont="1" applyBorder="1" applyAlignment="1" applyProtection="1">
      <alignment horizontal="center" vertical="center" wrapText="1"/>
    </xf>
    <xf numFmtId="0" fontId="39" fillId="6" borderId="79" xfId="4" applyFont="1" applyBorder="1" applyAlignment="1" applyProtection="1">
      <alignment horizontal="center"/>
    </xf>
    <xf numFmtId="165" fontId="10" fillId="15" borderId="5" xfId="8" applyNumberFormat="1" applyFont="1" applyBorder="1" applyAlignment="1" applyProtection="1">
      <alignment horizontal="center"/>
    </xf>
    <xf numFmtId="165" fontId="10" fillId="15" borderId="6" xfId="8" applyNumberFormat="1" applyFont="1" applyBorder="1" applyAlignment="1" applyProtection="1">
      <alignment horizontal="center"/>
    </xf>
    <xf numFmtId="49" fontId="89" fillId="7" borderId="5" xfId="5" quotePrefix="1" applyNumberFormat="1" applyFont="1" applyBorder="1" applyAlignment="1" applyProtection="1">
      <alignment horizontal="center"/>
    </xf>
    <xf numFmtId="49" fontId="89" fillId="7" borderId="23" xfId="5" quotePrefix="1" applyNumberFormat="1" applyFont="1" applyBorder="1" applyAlignment="1" applyProtection="1">
      <alignment horizontal="center"/>
    </xf>
    <xf numFmtId="49" fontId="89" fillId="7" borderId="6" xfId="5" quotePrefix="1" applyNumberFormat="1" applyFont="1" applyBorder="1" applyAlignment="1" applyProtection="1">
      <alignment horizontal="center"/>
    </xf>
    <xf numFmtId="167" fontId="78" fillId="7" borderId="5" xfId="5" applyNumberFormat="1" applyFont="1" applyBorder="1" applyAlignment="1" applyProtection="1">
      <alignment horizontal="center" vertical="center"/>
    </xf>
    <xf numFmtId="167" fontId="78" fillId="7" borderId="23" xfId="5" applyNumberFormat="1" applyFont="1" applyBorder="1" applyAlignment="1" applyProtection="1">
      <alignment horizontal="center" vertical="center"/>
    </xf>
    <xf numFmtId="167" fontId="78" fillId="7" borderId="154" xfId="5" applyNumberFormat="1" applyFont="1" applyBorder="1" applyAlignment="1" applyProtection="1">
      <alignment horizontal="center" vertical="center"/>
    </xf>
    <xf numFmtId="165" fontId="78" fillId="7" borderId="5" xfId="5" applyNumberFormat="1" applyFont="1" applyBorder="1" applyAlignment="1" applyProtection="1">
      <alignment horizontal="center" vertical="center"/>
    </xf>
    <xf numFmtId="165" fontId="78" fillId="7" borderId="23" xfId="5" applyNumberFormat="1" applyFont="1" applyBorder="1" applyAlignment="1" applyProtection="1">
      <alignment horizontal="center" vertical="center"/>
    </xf>
    <xf numFmtId="165" fontId="78" fillId="7" borderId="154" xfId="5" applyNumberFormat="1" applyFont="1" applyBorder="1" applyAlignment="1" applyProtection="1">
      <alignment horizontal="center" vertical="center"/>
    </xf>
    <xf numFmtId="165" fontId="58" fillId="29" borderId="7" xfId="9" applyNumberFormat="1" applyFont="1" applyFill="1" applyBorder="1" applyAlignment="1" applyProtection="1">
      <alignment horizontal="center" vertical="center"/>
    </xf>
    <xf numFmtId="165" fontId="58" fillId="29" borderId="8" xfId="9" applyNumberFormat="1" applyFont="1" applyFill="1" applyBorder="1" applyAlignment="1" applyProtection="1">
      <alignment horizontal="center" vertical="center"/>
    </xf>
    <xf numFmtId="165" fontId="58" fillId="29" borderId="9" xfId="9" applyNumberFormat="1" applyFont="1" applyFill="1" applyBorder="1" applyAlignment="1" applyProtection="1">
      <alignment horizontal="center" vertical="center"/>
    </xf>
    <xf numFmtId="165" fontId="58" fillId="29" borderId="10" xfId="9" applyNumberFormat="1" applyFont="1" applyFill="1" applyBorder="1" applyAlignment="1" applyProtection="1">
      <alignment horizontal="center" vertical="center"/>
    </xf>
    <xf numFmtId="165" fontId="58" fillId="29" borderId="11" xfId="9" applyNumberFormat="1" applyFont="1" applyFill="1" applyBorder="1" applyAlignment="1" applyProtection="1">
      <alignment horizontal="center" vertical="center"/>
    </xf>
    <xf numFmtId="165" fontId="58" fillId="29" borderId="12" xfId="9" applyNumberFormat="1" applyFont="1" applyFill="1" applyBorder="1" applyAlignment="1" applyProtection="1">
      <alignment horizontal="center" vertical="center"/>
    </xf>
    <xf numFmtId="165" fontId="0" fillId="25" borderId="29" xfId="0" applyNumberFormat="1" applyFill="1" applyBorder="1" applyAlignment="1">
      <alignment horizontal="center"/>
    </xf>
    <xf numFmtId="165" fontId="71" fillId="45" borderId="5" xfId="0" applyNumberFormat="1" applyFont="1" applyFill="1" applyBorder="1" applyAlignment="1">
      <alignment horizontal="center"/>
    </xf>
    <xf numFmtId="165" fontId="71" fillId="45" borderId="23" xfId="0" applyNumberFormat="1" applyFont="1" applyFill="1" applyBorder="1" applyAlignment="1">
      <alignment horizontal="center"/>
    </xf>
    <xf numFmtId="165" fontId="71" fillId="45" borderId="6" xfId="0" applyNumberFormat="1" applyFont="1" applyFill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49" fontId="40" fillId="13" borderId="7" xfId="2" applyNumberFormat="1" applyFont="1" applyBorder="1" applyAlignment="1" applyProtection="1">
      <alignment horizontal="center" vertical="center"/>
    </xf>
    <xf numFmtId="49" fontId="40" fillId="13" borderId="26" xfId="2" applyNumberFormat="1" applyFont="1" applyBorder="1" applyAlignment="1" applyProtection="1">
      <alignment horizontal="center" vertical="center"/>
    </xf>
    <xf numFmtId="0" fontId="39" fillId="6" borderId="109" xfId="4" applyFont="1" applyBorder="1" applyAlignment="1" applyProtection="1">
      <alignment horizontal="center"/>
    </xf>
    <xf numFmtId="0" fontId="39" fillId="6" borderId="51" xfId="4" applyFont="1" applyBorder="1" applyAlignment="1" applyProtection="1">
      <alignment horizontal="center"/>
    </xf>
    <xf numFmtId="0" fontId="39" fillId="6" borderId="52" xfId="4" applyFont="1" applyBorder="1" applyAlignment="1" applyProtection="1">
      <alignment horizontal="center"/>
    </xf>
    <xf numFmtId="167" fontId="3" fillId="13" borderId="27" xfId="2" quotePrefix="1" applyNumberFormat="1" applyBorder="1" applyAlignment="1" applyProtection="1">
      <alignment horizontal="center"/>
    </xf>
    <xf numFmtId="167" fontId="3" fillId="13" borderId="27" xfId="2" applyNumberFormat="1" applyBorder="1" applyAlignment="1" applyProtection="1">
      <alignment horizontal="center"/>
    </xf>
    <xf numFmtId="164" fontId="56" fillId="15" borderId="7" xfId="8" applyNumberFormat="1" applyFont="1" applyBorder="1" applyAlignment="1" applyProtection="1">
      <alignment horizontal="center" vertical="center" wrapText="1"/>
    </xf>
    <xf numFmtId="164" fontId="56" fillId="15" borderId="8" xfId="8" applyNumberFormat="1" applyFont="1" applyBorder="1" applyAlignment="1" applyProtection="1">
      <alignment horizontal="center" vertical="center" wrapText="1"/>
    </xf>
    <xf numFmtId="164" fontId="56" fillId="15" borderId="9" xfId="8" applyNumberFormat="1" applyFont="1" applyBorder="1" applyAlignment="1" applyProtection="1">
      <alignment horizontal="center" vertical="center" wrapText="1"/>
    </xf>
    <xf numFmtId="165" fontId="10" fillId="15" borderId="105" xfId="8" applyNumberFormat="1" applyFont="1" applyBorder="1" applyAlignment="1" applyProtection="1">
      <alignment horizontal="center" vertical="center"/>
    </xf>
    <xf numFmtId="165" fontId="10" fillId="15" borderId="22" xfId="8" applyNumberFormat="1" applyFont="1" applyBorder="1" applyAlignment="1" applyProtection="1">
      <alignment horizontal="center" vertical="center"/>
    </xf>
    <xf numFmtId="165" fontId="10" fillId="15" borderId="117" xfId="8" applyNumberFormat="1" applyFont="1" applyBorder="1" applyAlignment="1" applyProtection="1">
      <alignment horizontal="center" vertical="center"/>
    </xf>
    <xf numFmtId="165" fontId="10" fillId="15" borderId="53" xfId="8" applyNumberFormat="1" applyFont="1" applyBorder="1" applyAlignment="1" applyProtection="1">
      <alignment horizontal="center" vertical="center"/>
    </xf>
    <xf numFmtId="165" fontId="65" fillId="0" borderId="2" xfId="0" applyNumberFormat="1" applyFont="1" applyBorder="1" applyAlignment="1">
      <alignment horizontal="center"/>
    </xf>
    <xf numFmtId="165" fontId="91" fillId="15" borderId="7" xfId="8" applyNumberFormat="1" applyFont="1" applyBorder="1" applyAlignment="1" applyProtection="1">
      <alignment horizontal="center" vertical="center" wrapText="1"/>
    </xf>
    <xf numFmtId="165" fontId="91" fillId="15" borderId="2" xfId="8" applyNumberFormat="1" applyFont="1" applyBorder="1" applyAlignment="1" applyProtection="1">
      <alignment horizontal="center" vertical="center" wrapText="1"/>
    </xf>
    <xf numFmtId="165" fontId="4" fillId="5" borderId="103" xfId="3" applyNumberFormat="1" applyBorder="1" applyAlignment="1" applyProtection="1">
      <alignment horizontal="center"/>
    </xf>
    <xf numFmtId="165" fontId="4" fillId="5" borderId="15" xfId="3" applyNumberFormat="1" applyBorder="1" applyAlignment="1" applyProtection="1">
      <alignment horizontal="center"/>
    </xf>
    <xf numFmtId="165" fontId="19" fillId="13" borderId="10" xfId="2" applyNumberFormat="1" applyFont="1" applyBorder="1" applyAlignment="1" applyProtection="1">
      <alignment horizontal="center" vertical="center"/>
      <protection locked="0"/>
    </xf>
    <xf numFmtId="165" fontId="19" fillId="13" borderId="11" xfId="2" applyNumberFormat="1" applyFont="1" applyBorder="1" applyAlignment="1" applyProtection="1">
      <alignment horizontal="center" vertical="center"/>
      <protection locked="0"/>
    </xf>
    <xf numFmtId="165" fontId="19" fillId="13" borderId="12" xfId="2" applyNumberFormat="1" applyFont="1" applyBorder="1" applyAlignment="1" applyProtection="1">
      <alignment horizontal="center" vertical="center"/>
      <protection locked="0"/>
    </xf>
    <xf numFmtId="0" fontId="0" fillId="7" borderId="2" xfId="5" applyFont="1" applyBorder="1" applyAlignment="1">
      <alignment horizontal="center"/>
    </xf>
    <xf numFmtId="0" fontId="1" fillId="2" borderId="84" xfId="1" applyBorder="1" applyAlignment="1">
      <alignment horizontal="center"/>
    </xf>
    <xf numFmtId="0" fontId="1" fillId="2" borderId="0" xfId="1" applyBorder="1" applyAlignment="1">
      <alignment horizontal="center"/>
    </xf>
    <xf numFmtId="0" fontId="6" fillId="6" borderId="104" xfId="4" applyBorder="1" applyAlignment="1">
      <alignment horizontal="center"/>
    </xf>
    <xf numFmtId="0" fontId="6" fillId="6" borderId="134" xfId="4" applyBorder="1" applyAlignment="1">
      <alignment horizontal="center"/>
    </xf>
    <xf numFmtId="0" fontId="8" fillId="11" borderId="14" xfId="6" applyBorder="1" applyAlignment="1">
      <alignment horizontal="center"/>
    </xf>
    <xf numFmtId="0" fontId="8" fillId="11" borderId="15" xfId="6" applyBorder="1" applyAlignment="1">
      <alignment horizontal="center"/>
    </xf>
    <xf numFmtId="0" fontId="11" fillId="7" borderId="2" xfId="5" applyFont="1" applyBorder="1" applyAlignment="1">
      <alignment horizontal="center" vertical="center"/>
    </xf>
    <xf numFmtId="169" fontId="15" fillId="2" borderId="5" xfId="1" applyNumberFormat="1" applyFont="1" applyBorder="1" applyAlignment="1" applyProtection="1">
      <alignment horizontal="center"/>
    </xf>
    <xf numFmtId="169" fontId="15" fillId="2" borderId="23" xfId="1" applyNumberFormat="1" applyFont="1" applyBorder="1" applyAlignment="1" applyProtection="1">
      <alignment horizontal="center"/>
    </xf>
    <xf numFmtId="165" fontId="71" fillId="27" borderId="2" xfId="0" applyNumberFormat="1" applyFont="1" applyFill="1" applyBorder="1" applyAlignment="1">
      <alignment horizontal="center"/>
    </xf>
    <xf numFmtId="165" fontId="71" fillId="27" borderId="2" xfId="0" applyNumberFormat="1" applyFont="1" applyFill="1" applyBorder="1" applyAlignment="1">
      <alignment horizontal="left"/>
    </xf>
    <xf numFmtId="0" fontId="71" fillId="27" borderId="2" xfId="0" applyFont="1" applyFill="1" applyBorder="1" applyAlignment="1">
      <alignment horizontal="center"/>
    </xf>
    <xf numFmtId="0" fontId="71" fillId="27" borderId="2" xfId="0" applyFont="1" applyFill="1" applyBorder="1" applyAlignment="1">
      <alignment horizontal="left"/>
    </xf>
    <xf numFmtId="165" fontId="24" fillId="5" borderId="9" xfId="3" applyNumberFormat="1" applyFont="1" applyBorder="1" applyAlignment="1" applyProtection="1">
      <alignment horizontal="center" vertical="center"/>
    </xf>
    <xf numFmtId="165" fontId="24" fillId="5" borderId="4" xfId="3" applyNumberFormat="1" applyFont="1" applyBorder="1" applyAlignment="1" applyProtection="1">
      <alignment horizontal="center" vertical="center"/>
    </xf>
    <xf numFmtId="165" fontId="24" fillId="5" borderId="12" xfId="3" applyNumberFormat="1" applyFont="1" applyBorder="1" applyAlignment="1" applyProtection="1">
      <alignment horizontal="center" vertical="center"/>
    </xf>
    <xf numFmtId="0" fontId="3" fillId="13" borderId="1" xfId="2" applyAlignment="1" applyProtection="1">
      <alignment horizontal="center"/>
      <protection locked="0"/>
    </xf>
    <xf numFmtId="0" fontId="19" fillId="13" borderId="5" xfId="2" applyFont="1" applyBorder="1" applyAlignment="1" applyProtection="1">
      <alignment horizontal="center"/>
    </xf>
    <xf numFmtId="0" fontId="19" fillId="13" borderId="23" xfId="2" applyFont="1" applyBorder="1" applyAlignment="1" applyProtection="1">
      <alignment horizontal="center"/>
    </xf>
    <xf numFmtId="0" fontId="19" fillId="13" borderId="6" xfId="2" applyFont="1" applyBorder="1" applyAlignment="1" applyProtection="1">
      <alignment horizontal="center"/>
    </xf>
    <xf numFmtId="165" fontId="29" fillId="14" borderId="53" xfId="4" applyNumberFormat="1" applyFont="1" applyFill="1" applyBorder="1" applyAlignment="1" applyProtection="1">
      <alignment horizontal="center"/>
    </xf>
    <xf numFmtId="165" fontId="29" fillId="14" borderId="54" xfId="4" applyNumberFormat="1" applyFont="1" applyFill="1" applyBorder="1" applyAlignment="1" applyProtection="1">
      <alignment horizontal="center"/>
    </xf>
    <xf numFmtId="0" fontId="10" fillId="15" borderId="9" xfId="8" applyFont="1" applyBorder="1" applyAlignment="1" applyProtection="1">
      <alignment horizontal="center" vertical="center" wrapText="1"/>
    </xf>
    <xf numFmtId="0" fontId="10" fillId="15" borderId="12" xfId="8" applyFont="1" applyBorder="1" applyAlignment="1" applyProtection="1">
      <alignment horizontal="center" vertical="center" wrapText="1"/>
    </xf>
    <xf numFmtId="0" fontId="22" fillId="6" borderId="40" xfId="4" applyFont="1" applyBorder="1" applyAlignment="1" applyProtection="1">
      <alignment horizontal="center" vertical="center"/>
    </xf>
    <xf numFmtId="165" fontId="6" fillId="6" borderId="2" xfId="4" applyNumberFormat="1" applyBorder="1" applyAlignment="1" applyProtection="1">
      <alignment horizontal="center"/>
    </xf>
    <xf numFmtId="165" fontId="21" fillId="5" borderId="29" xfId="3" applyNumberFormat="1" applyFont="1" applyBorder="1" applyAlignment="1" applyProtection="1">
      <alignment horizontal="center"/>
    </xf>
    <xf numFmtId="165" fontId="21" fillId="5" borderId="2" xfId="3" applyNumberFormat="1" applyFont="1" applyBorder="1" applyAlignment="1" applyProtection="1">
      <alignment horizontal="right"/>
    </xf>
    <xf numFmtId="165" fontId="21" fillId="5" borderId="2" xfId="3" applyNumberFormat="1" applyFont="1" applyBorder="1" applyAlignment="1" applyProtection="1">
      <alignment horizontal="center"/>
    </xf>
    <xf numFmtId="0" fontId="23" fillId="7" borderId="25" xfId="5" applyFont="1" applyAlignment="1" applyProtection="1">
      <alignment horizontal="center"/>
    </xf>
    <xf numFmtId="0" fontId="21" fillId="5" borderId="45" xfId="3" applyFont="1" applyBorder="1" applyAlignment="1" applyProtection="1">
      <alignment horizontal="center"/>
    </xf>
    <xf numFmtId="0" fontId="21" fillId="5" borderId="0" xfId="3" applyFont="1" applyBorder="1" applyAlignment="1" applyProtection="1">
      <alignment horizontal="center"/>
    </xf>
    <xf numFmtId="0" fontId="21" fillId="5" borderId="4" xfId="3" applyFont="1" applyBorder="1" applyAlignment="1" applyProtection="1">
      <alignment horizontal="center"/>
    </xf>
    <xf numFmtId="165" fontId="21" fillId="5" borderId="59" xfId="3" applyNumberFormat="1" applyFont="1" applyBorder="1" applyAlignment="1" applyProtection="1">
      <alignment horizontal="right"/>
    </xf>
    <xf numFmtId="165" fontId="21" fillId="5" borderId="11" xfId="3" applyNumberFormat="1" applyFont="1" applyBorder="1" applyAlignment="1" applyProtection="1">
      <alignment horizontal="right"/>
    </xf>
    <xf numFmtId="165" fontId="21" fillId="5" borderId="12" xfId="3" applyNumberFormat="1" applyFont="1" applyBorder="1" applyAlignment="1" applyProtection="1">
      <alignment horizontal="right"/>
    </xf>
    <xf numFmtId="0" fontId="21" fillId="5" borderId="29" xfId="3" applyFont="1" applyBorder="1" applyAlignment="1" applyProtection="1">
      <alignment horizontal="center"/>
    </xf>
    <xf numFmtId="165" fontId="71" fillId="46" borderId="2" xfId="0" applyNumberFormat="1" applyFont="1" applyFill="1" applyBorder="1" applyAlignment="1">
      <alignment horizontal="center"/>
    </xf>
    <xf numFmtId="0" fontId="71" fillId="34" borderId="6" xfId="0" applyFont="1" applyFill="1" applyBorder="1" applyAlignment="1">
      <alignment horizontal="center"/>
    </xf>
    <xf numFmtId="165" fontId="10" fillId="25" borderId="2" xfId="0" applyNumberFormat="1" applyFont="1" applyFill="1" applyBorder="1" applyAlignment="1">
      <alignment horizontal="center" vertical="center" wrapText="1"/>
    </xf>
    <xf numFmtId="165" fontId="10" fillId="15" borderId="2" xfId="8" applyNumberFormat="1" applyFont="1" applyBorder="1" applyAlignment="1" applyProtection="1">
      <alignment horizontal="right" vertical="center"/>
    </xf>
    <xf numFmtId="165" fontId="77" fillId="4" borderId="5" xfId="0" applyNumberFormat="1" applyFont="1" applyFill="1" applyBorder="1" applyAlignment="1">
      <alignment horizontal="center"/>
    </xf>
    <xf numFmtId="165" fontId="77" fillId="4" borderId="23" xfId="0" applyNumberFormat="1" applyFont="1" applyFill="1" applyBorder="1" applyAlignment="1">
      <alignment horizontal="center"/>
    </xf>
    <xf numFmtId="165" fontId="56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5" fontId="10" fillId="0" borderId="2" xfId="0" applyNumberFormat="1" applyFont="1" applyBorder="1" applyAlignment="1">
      <alignment horizontal="center" vertical="center"/>
    </xf>
    <xf numFmtId="165" fontId="56" fillId="0" borderId="2" xfId="0" applyNumberFormat="1" applyFont="1" applyBorder="1" applyAlignment="1">
      <alignment horizontal="center" vertical="center" wrapText="1"/>
    </xf>
    <xf numFmtId="2" fontId="10" fillId="7" borderId="2" xfId="5" applyNumberFormat="1" applyFont="1" applyBorder="1" applyAlignment="1">
      <alignment horizontal="center" vertical="center"/>
    </xf>
    <xf numFmtId="165" fontId="10" fillId="31" borderId="2" xfId="0" applyNumberFormat="1" applyFont="1" applyFill="1" applyBorder="1" applyAlignment="1">
      <alignment horizontal="center" textRotation="255"/>
    </xf>
    <xf numFmtId="165" fontId="10" fillId="32" borderId="2" xfId="0" applyNumberFormat="1" applyFont="1" applyFill="1" applyBorder="1" applyAlignment="1">
      <alignment horizontal="center" textRotation="255"/>
    </xf>
    <xf numFmtId="167" fontId="56" fillId="0" borderId="28" xfId="0" applyNumberFormat="1" applyFont="1" applyBorder="1" applyAlignment="1">
      <alignment horizontal="center" vertical="center"/>
    </xf>
    <xf numFmtId="167" fontId="56" fillId="0" borderId="57" xfId="0" applyNumberFormat="1" applyFont="1" applyBorder="1" applyAlignment="1">
      <alignment horizontal="center" vertical="center"/>
    </xf>
    <xf numFmtId="167" fontId="56" fillId="0" borderId="29" xfId="0" applyNumberFormat="1" applyFont="1" applyBorder="1" applyAlignment="1">
      <alignment horizontal="center" vertical="center"/>
    </xf>
    <xf numFmtId="165" fontId="10" fillId="7" borderId="2" xfId="5" quotePrefix="1" applyNumberFormat="1" applyFont="1" applyBorder="1" applyAlignment="1">
      <alignment horizontal="center" vertical="center" wrapText="1"/>
    </xf>
    <xf numFmtId="171" fontId="77" fillId="4" borderId="23" xfId="0" applyNumberFormat="1" applyFont="1" applyFill="1" applyBorder="1" applyAlignment="1">
      <alignment horizontal="center"/>
    </xf>
    <xf numFmtId="0" fontId="77" fillId="4" borderId="6" xfId="0" applyFont="1" applyFill="1" applyBorder="1" applyAlignment="1">
      <alignment horizontal="center"/>
    </xf>
    <xf numFmtId="171" fontId="3" fillId="13" borderId="28" xfId="2" quotePrefix="1" applyNumberFormat="1" applyBorder="1" applyAlignment="1">
      <alignment horizontal="center" vertical="center"/>
    </xf>
    <xf numFmtId="171" fontId="3" fillId="13" borderId="57" xfId="2" quotePrefix="1" applyNumberFormat="1" applyBorder="1" applyAlignment="1">
      <alignment horizontal="center" vertical="center"/>
    </xf>
    <xf numFmtId="165" fontId="10" fillId="0" borderId="0" xfId="0" quotePrefix="1" applyNumberFormat="1" applyFont="1" applyAlignment="1">
      <alignment horizontal="center"/>
    </xf>
    <xf numFmtId="165" fontId="10" fillId="3" borderId="2" xfId="0" applyNumberFormat="1" applyFont="1" applyFill="1" applyBorder="1" applyAlignment="1">
      <alignment horizontal="center" vertical="center"/>
    </xf>
    <xf numFmtId="165" fontId="71" fillId="34" borderId="128" xfId="0" applyNumberFormat="1" applyFont="1" applyFill="1" applyBorder="1" applyAlignment="1">
      <alignment horizontal="center"/>
    </xf>
    <xf numFmtId="165" fontId="71" fillId="34" borderId="129" xfId="0" applyNumberFormat="1" applyFont="1" applyFill="1" applyBorder="1" applyAlignment="1">
      <alignment horizontal="center"/>
    </xf>
    <xf numFmtId="0" fontId="77" fillId="4" borderId="135" xfId="0" applyFont="1" applyFill="1" applyBorder="1" applyAlignment="1">
      <alignment horizontal="center"/>
    </xf>
    <xf numFmtId="0" fontId="77" fillId="4" borderId="105" xfId="0" applyFont="1" applyFill="1" applyBorder="1" applyAlignment="1">
      <alignment horizontal="center"/>
    </xf>
    <xf numFmtId="165" fontId="0" fillId="21" borderId="5" xfId="0" applyNumberFormat="1" applyFill="1" applyBorder="1" applyAlignment="1">
      <alignment horizontal="center"/>
    </xf>
    <xf numFmtId="165" fontId="0" fillId="21" borderId="23" xfId="0" applyNumberFormat="1" applyFill="1" applyBorder="1" applyAlignment="1">
      <alignment horizontal="center"/>
    </xf>
    <xf numFmtId="165" fontId="71" fillId="34" borderId="5" xfId="0" applyNumberFormat="1" applyFont="1" applyFill="1" applyBorder="1" applyAlignment="1">
      <alignment horizontal="right"/>
    </xf>
    <xf numFmtId="165" fontId="71" fillId="34" borderId="23" xfId="0" applyNumberFormat="1" applyFont="1" applyFill="1" applyBorder="1" applyAlignment="1">
      <alignment horizontal="right"/>
    </xf>
    <xf numFmtId="0" fontId="77" fillId="4" borderId="91" xfId="0" applyFont="1" applyFill="1" applyBorder="1" applyAlignment="1">
      <alignment horizontal="center"/>
    </xf>
    <xf numFmtId="0" fontId="77" fillId="4" borderId="22" xfId="0" applyFont="1" applyFill="1" applyBorder="1" applyAlignment="1">
      <alignment horizontal="center"/>
    </xf>
    <xf numFmtId="0" fontId="77" fillId="4" borderId="55" xfId="0" applyFon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88" xfId="0" applyNumberFormat="1" applyBorder="1" applyAlignment="1">
      <alignment horizontal="center"/>
    </xf>
    <xf numFmtId="165" fontId="0" fillId="0" borderId="89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71" fontId="56" fillId="0" borderId="2" xfId="0" applyNumberFormat="1" applyFont="1" applyBorder="1" applyAlignment="1">
      <alignment horizontal="center" vertical="center"/>
    </xf>
    <xf numFmtId="165" fontId="1" fillId="2" borderId="1" xfId="1" applyNumberFormat="1" applyAlignment="1">
      <alignment horizontal="center" vertical="center" textRotation="255"/>
    </xf>
    <xf numFmtId="165" fontId="1" fillId="2" borderId="1" xfId="1" applyNumberFormat="1" applyAlignment="1">
      <alignment horizontal="center" textRotation="255"/>
    </xf>
    <xf numFmtId="2" fontId="10" fillId="0" borderId="2" xfId="0" applyNumberFormat="1" applyFont="1" applyBorder="1" applyAlignment="1">
      <alignment horizontal="center" vertical="center"/>
    </xf>
    <xf numFmtId="0" fontId="0" fillId="7" borderId="28" xfId="5" applyFont="1" applyBorder="1" applyAlignment="1">
      <alignment horizontal="center" vertical="center"/>
    </xf>
    <xf numFmtId="0" fontId="0" fillId="7" borderId="57" xfId="5" applyFont="1" applyBorder="1" applyAlignment="1">
      <alignment horizontal="center" vertical="center"/>
    </xf>
    <xf numFmtId="0" fontId="0" fillId="7" borderId="29" xfId="5" applyFont="1" applyBorder="1" applyAlignment="1">
      <alignment horizontal="center" vertical="center"/>
    </xf>
    <xf numFmtId="168" fontId="10" fillId="0" borderId="2" xfId="0" applyNumberFormat="1" applyFont="1" applyBorder="1" applyAlignment="1">
      <alignment horizontal="center" vertical="center"/>
    </xf>
    <xf numFmtId="165" fontId="15" fillId="2" borderId="10" xfId="1" applyNumberFormat="1" applyFont="1" applyBorder="1" applyAlignment="1" applyProtection="1">
      <alignment horizontal="left"/>
    </xf>
    <xf numFmtId="165" fontId="15" fillId="2" borderId="12" xfId="1" applyNumberFormat="1" applyFont="1" applyBorder="1" applyAlignment="1" applyProtection="1">
      <alignment horizontal="left"/>
    </xf>
    <xf numFmtId="165" fontId="10" fillId="0" borderId="2" xfId="0" applyNumberFormat="1" applyFont="1" applyBorder="1" applyAlignment="1">
      <alignment horizontal="center"/>
    </xf>
    <xf numFmtId="0" fontId="77" fillId="4" borderId="14" xfId="0" applyFont="1" applyFill="1" applyBorder="1" applyAlignment="1">
      <alignment horizontal="center"/>
    </xf>
    <xf numFmtId="0" fontId="77" fillId="4" borderId="15" xfId="0" applyFont="1" applyFill="1" applyBorder="1" applyAlignment="1">
      <alignment horizontal="center"/>
    </xf>
    <xf numFmtId="0" fontId="77" fillId="4" borderId="16" xfId="0" applyFont="1" applyFill="1" applyBorder="1" applyAlignment="1">
      <alignment horizontal="center"/>
    </xf>
    <xf numFmtId="0" fontId="0" fillId="4" borderId="9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31" xfId="0" applyFill="1" applyBorder="1" applyAlignment="1">
      <alignment horizontal="center"/>
    </xf>
    <xf numFmtId="165" fontId="0" fillId="21" borderId="128" xfId="0" applyNumberFormat="1" applyFill="1" applyBorder="1" applyAlignment="1">
      <alignment horizontal="center"/>
    </xf>
    <xf numFmtId="165" fontId="0" fillId="21" borderId="129" xfId="0" applyNumberFormat="1" applyFill="1" applyBorder="1" applyAlignment="1">
      <alignment horizontal="center"/>
    </xf>
    <xf numFmtId="0" fontId="71" fillId="34" borderId="128" xfId="0" applyFont="1" applyFill="1" applyBorder="1" applyAlignment="1">
      <alignment horizontal="center"/>
    </xf>
    <xf numFmtId="0" fontId="71" fillId="34" borderId="129" xfId="0" applyFont="1" applyFill="1" applyBorder="1" applyAlignment="1">
      <alignment horizontal="center"/>
    </xf>
    <xf numFmtId="0" fontId="77" fillId="4" borderId="5" xfId="0" applyFont="1" applyFill="1" applyBorder="1" applyAlignment="1">
      <alignment horizontal="center"/>
    </xf>
    <xf numFmtId="165" fontId="56" fillId="0" borderId="23" xfId="0" applyNumberFormat="1" applyFont="1" applyBorder="1" applyAlignment="1">
      <alignment horizontal="center" vertical="center"/>
    </xf>
    <xf numFmtId="0" fontId="0" fillId="4" borderId="10" xfId="0" applyFill="1" applyBorder="1" applyAlignment="1">
      <alignment horizontal="center"/>
    </xf>
    <xf numFmtId="165" fontId="71" fillId="34" borderId="9" xfId="0" applyNumberFormat="1" applyFont="1" applyFill="1" applyBorder="1" applyAlignment="1">
      <alignment horizontal="center" vertical="center"/>
    </xf>
    <xf numFmtId="165" fontId="71" fillId="34" borderId="45" xfId="0" applyNumberFormat="1" applyFont="1" applyFill="1" applyBorder="1" applyAlignment="1">
      <alignment horizontal="center" vertical="center"/>
    </xf>
    <xf numFmtId="165" fontId="71" fillId="34" borderId="4" xfId="0" applyNumberFormat="1" applyFont="1" applyFill="1" applyBorder="1" applyAlignment="1">
      <alignment horizontal="center" vertical="center"/>
    </xf>
    <xf numFmtId="165" fontId="71" fillId="34" borderId="12" xfId="0" applyNumberFormat="1" applyFont="1" applyFill="1" applyBorder="1" applyAlignment="1">
      <alignment horizontal="center" vertical="center"/>
    </xf>
    <xf numFmtId="165" fontId="71" fillId="0" borderId="2" xfId="0" applyNumberFormat="1" applyFont="1" applyBorder="1" applyAlignment="1">
      <alignment horizontal="center"/>
    </xf>
    <xf numFmtId="165" fontId="71" fillId="0" borderId="89" xfId="0" applyNumberFormat="1" applyFont="1" applyBorder="1" applyAlignment="1">
      <alignment horizontal="center"/>
    </xf>
    <xf numFmtId="165" fontId="71" fillId="0" borderId="5" xfId="0" applyNumberFormat="1" applyFont="1" applyBorder="1" applyAlignment="1">
      <alignment horizontal="center"/>
    </xf>
    <xf numFmtId="165" fontId="71" fillId="0" borderId="88" xfId="0" applyNumberFormat="1" applyFont="1" applyBorder="1" applyAlignment="1">
      <alignment horizontal="center"/>
    </xf>
    <xf numFmtId="165" fontId="0" fillId="9" borderId="88" xfId="0" applyNumberFormat="1" applyFill="1" applyBorder="1" applyAlignment="1">
      <alignment horizontal="center"/>
    </xf>
    <xf numFmtId="165" fontId="0" fillId="9" borderId="2" xfId="0" applyNumberFormat="1" applyFill="1" applyBorder="1" applyAlignment="1">
      <alignment horizontal="center"/>
    </xf>
    <xf numFmtId="165" fontId="0" fillId="9" borderId="89" xfId="0" applyNumberFormat="1" applyFill="1" applyBorder="1" applyAlignment="1">
      <alignment horizontal="center"/>
    </xf>
    <xf numFmtId="165" fontId="71" fillId="0" borderId="6" xfId="0" applyNumberFormat="1" applyFont="1" applyBorder="1" applyAlignment="1">
      <alignment horizontal="center"/>
    </xf>
    <xf numFmtId="165" fontId="0" fillId="25" borderId="88" xfId="0" applyNumberFormat="1" applyFill="1" applyBorder="1" applyAlignment="1">
      <alignment horizontal="center"/>
    </xf>
    <xf numFmtId="165" fontId="0" fillId="25" borderId="89" xfId="0" applyNumberFormat="1" applyFill="1" applyBorder="1" applyAlignment="1">
      <alignment horizontal="center"/>
    </xf>
    <xf numFmtId="165" fontId="71" fillId="0" borderId="5" xfId="0" applyNumberFormat="1" applyFont="1" applyBorder="1" applyAlignment="1">
      <alignment horizontal="center" vertical="center"/>
    </xf>
    <xf numFmtId="165" fontId="10" fillId="25" borderId="12" xfId="0" applyNumberFormat="1" applyFont="1" applyFill="1" applyBorder="1" applyAlignment="1">
      <alignment horizontal="center" vertical="center"/>
    </xf>
    <xf numFmtId="165" fontId="10" fillId="25" borderId="29" xfId="0" applyNumberFormat="1" applyFont="1" applyFill="1" applyBorder="1" applyAlignment="1">
      <alignment horizontal="center" vertical="center"/>
    </xf>
    <xf numFmtId="165" fontId="10" fillId="25" borderId="10" xfId="0" applyNumberFormat="1" applyFont="1" applyFill="1" applyBorder="1" applyAlignment="1">
      <alignment horizontal="center" vertical="center"/>
    </xf>
    <xf numFmtId="165" fontId="10" fillId="25" borderId="130" xfId="0" applyNumberFormat="1" applyFont="1" applyFill="1" applyBorder="1" applyAlignment="1">
      <alignment horizontal="center" vertical="center"/>
    </xf>
    <xf numFmtId="165" fontId="10" fillId="25" borderId="132" xfId="0" applyNumberFormat="1" applyFont="1" applyFill="1" applyBorder="1" applyAlignment="1">
      <alignment horizontal="center" vertical="center"/>
    </xf>
    <xf numFmtId="165" fontId="10" fillId="25" borderId="30" xfId="0" applyNumberFormat="1" applyFont="1" applyFill="1" applyBorder="1" applyAlignment="1">
      <alignment horizontal="center" vertical="center"/>
    </xf>
    <xf numFmtId="165" fontId="10" fillId="25" borderId="31" xfId="0" applyNumberFormat="1" applyFont="1" applyFill="1" applyBorder="1" applyAlignment="1">
      <alignment horizontal="center" vertical="center"/>
    </xf>
    <xf numFmtId="165" fontId="10" fillId="4" borderId="7" xfId="0" applyNumberFormat="1" applyFont="1" applyFill="1" applyBorder="1" applyAlignment="1">
      <alignment horizontal="center" vertical="center"/>
    </xf>
    <xf numFmtId="165" fontId="10" fillId="4" borderId="8" xfId="0" applyNumberFormat="1" applyFont="1" applyFill="1" applyBorder="1" applyAlignment="1">
      <alignment horizontal="center" vertical="center"/>
    </xf>
    <xf numFmtId="165" fontId="10" fillId="4" borderId="10" xfId="0" applyNumberFormat="1" applyFont="1" applyFill="1" applyBorder="1" applyAlignment="1">
      <alignment horizontal="center" vertical="center"/>
    </xf>
    <xf numFmtId="165" fontId="10" fillId="4" borderId="11" xfId="0" applyNumberFormat="1" applyFont="1" applyFill="1" applyBorder="1" applyAlignment="1">
      <alignment horizontal="center" vertical="center"/>
    </xf>
    <xf numFmtId="165" fontId="0" fillId="9" borderId="6" xfId="0" applyNumberFormat="1" applyFill="1" applyBorder="1" applyAlignment="1">
      <alignment horizontal="center"/>
    </xf>
    <xf numFmtId="165" fontId="0" fillId="9" borderId="5" xfId="0" applyNumberFormat="1" applyFill="1" applyBorder="1" applyAlignment="1">
      <alignment horizontal="center"/>
    </xf>
    <xf numFmtId="165" fontId="10" fillId="25" borderId="9" xfId="0" applyNumberFormat="1" applyFont="1" applyFill="1" applyBorder="1" applyAlignment="1">
      <alignment horizontal="center" vertical="center"/>
    </xf>
    <xf numFmtId="165" fontId="10" fillId="25" borderId="7" xfId="0" applyNumberFormat="1" applyFont="1" applyFill="1" applyBorder="1" applyAlignment="1">
      <alignment horizontal="center" vertical="center"/>
    </xf>
    <xf numFmtId="165" fontId="0" fillId="25" borderId="8" xfId="0" applyNumberFormat="1" applyFill="1" applyBorder="1" applyAlignment="1">
      <alignment horizontal="center" vertical="center"/>
    </xf>
    <xf numFmtId="165" fontId="0" fillId="25" borderId="0" xfId="0" applyNumberFormat="1" applyFill="1" applyAlignment="1">
      <alignment horizontal="center" vertical="center"/>
    </xf>
    <xf numFmtId="165" fontId="0" fillId="25" borderId="11" xfId="0" applyNumberFormat="1" applyFill="1" applyBorder="1" applyAlignment="1">
      <alignment horizontal="center" vertical="center"/>
    </xf>
    <xf numFmtId="165" fontId="71" fillId="0" borderId="2" xfId="0" applyNumberFormat="1" applyFont="1" applyBorder="1" applyAlignment="1">
      <alignment horizontal="center" vertical="center"/>
    </xf>
    <xf numFmtId="165" fontId="71" fillId="37" borderId="2" xfId="0" applyNumberFormat="1" applyFont="1" applyFill="1" applyBorder="1" applyAlignment="1">
      <alignment horizontal="center" vertical="center"/>
    </xf>
    <xf numFmtId="165" fontId="71" fillId="37" borderId="89" xfId="0" applyNumberFormat="1" applyFont="1" applyFill="1" applyBorder="1" applyAlignment="1">
      <alignment horizontal="center" vertical="center"/>
    </xf>
    <xf numFmtId="165" fontId="62" fillId="46" borderId="25" xfId="5" applyNumberFormat="1" applyFont="1" applyFill="1" applyAlignment="1">
      <alignment horizontal="center"/>
    </xf>
    <xf numFmtId="165" fontId="71" fillId="46" borderId="25" xfId="5" applyNumberFormat="1" applyFont="1" applyFill="1" applyAlignment="1">
      <alignment horizontal="center"/>
    </xf>
    <xf numFmtId="165" fontId="71" fillId="37" borderId="5" xfId="0" applyNumberFormat="1" applyFont="1" applyFill="1" applyBorder="1" applyAlignment="1">
      <alignment horizontal="center" vertical="center"/>
    </xf>
    <xf numFmtId="165" fontId="71" fillId="46" borderId="58" xfId="5" applyNumberFormat="1" applyFont="1" applyFill="1" applyBorder="1" applyAlignment="1" applyProtection="1">
      <alignment horizontal="center"/>
    </xf>
    <xf numFmtId="165" fontId="71" fillId="46" borderId="141" xfId="5" applyNumberFormat="1" applyFont="1" applyFill="1" applyBorder="1" applyAlignment="1" applyProtection="1">
      <alignment horizontal="center"/>
    </xf>
    <xf numFmtId="165" fontId="71" fillId="46" borderId="138" xfId="5" applyNumberFormat="1" applyFont="1" applyFill="1" applyBorder="1" applyAlignment="1" applyProtection="1">
      <alignment horizontal="center"/>
    </xf>
    <xf numFmtId="165" fontId="71" fillId="46" borderId="139" xfId="5" applyNumberFormat="1" applyFont="1" applyFill="1" applyBorder="1" applyAlignment="1" applyProtection="1">
      <alignment horizontal="center"/>
    </xf>
    <xf numFmtId="165" fontId="20" fillId="11" borderId="28" xfId="6" applyNumberFormat="1" applyFont="1" applyBorder="1" applyAlignment="1" applyProtection="1">
      <alignment horizontal="center" vertical="center"/>
    </xf>
    <xf numFmtId="165" fontId="20" fillId="11" borderId="29" xfId="6" applyNumberFormat="1" applyFont="1" applyBorder="1" applyAlignment="1" applyProtection="1">
      <alignment horizontal="center" vertical="center"/>
    </xf>
    <xf numFmtId="165" fontId="30" fillId="3" borderId="0" xfId="5" applyNumberFormat="1" applyFont="1" applyFill="1" applyBorder="1" applyAlignment="1" applyProtection="1">
      <alignment horizontal="center"/>
    </xf>
    <xf numFmtId="165" fontId="30" fillId="3" borderId="4" xfId="5" applyNumberFormat="1" applyFont="1" applyFill="1" applyBorder="1" applyAlignment="1" applyProtection="1">
      <alignment horizontal="center"/>
    </xf>
    <xf numFmtId="165" fontId="30" fillId="38" borderId="136" xfId="5" applyNumberFormat="1" applyFont="1" applyFill="1" applyBorder="1" applyAlignment="1" applyProtection="1">
      <alignment horizontal="center"/>
    </xf>
    <xf numFmtId="165" fontId="30" fillId="38" borderId="11" xfId="5" applyNumberFormat="1" applyFont="1" applyFill="1" applyBorder="1" applyAlignment="1" applyProtection="1">
      <alignment horizontal="center"/>
    </xf>
    <xf numFmtId="165" fontId="71" fillId="43" borderId="128" xfId="0" applyNumberFormat="1" applyFont="1" applyFill="1" applyBorder="1" applyAlignment="1">
      <alignment horizontal="center"/>
    </xf>
    <xf numFmtId="165" fontId="71" fillId="43" borderId="23" xfId="0" applyNumberFormat="1" applyFont="1" applyFill="1" applyBorder="1" applyAlignment="1">
      <alignment horizontal="center"/>
    </xf>
    <xf numFmtId="165" fontId="71" fillId="43" borderId="129" xfId="0" applyNumberFormat="1" applyFont="1" applyFill="1" applyBorder="1" applyAlignment="1">
      <alignment horizontal="center"/>
    </xf>
    <xf numFmtId="165" fontId="71" fillId="46" borderId="142" xfId="5" quotePrefix="1" applyNumberFormat="1" applyFont="1" applyFill="1" applyBorder="1" applyAlignment="1" applyProtection="1">
      <alignment horizontal="center"/>
    </xf>
    <xf numFmtId="165" fontId="71" fillId="46" borderId="143" xfId="5" quotePrefix="1" applyNumberFormat="1" applyFont="1" applyFill="1" applyBorder="1" applyAlignment="1" applyProtection="1">
      <alignment horizontal="center"/>
    </xf>
    <xf numFmtId="165" fontId="71" fillId="46" borderId="144" xfId="5" quotePrefix="1" applyNumberFormat="1" applyFont="1" applyFill="1" applyBorder="1" applyAlignment="1" applyProtection="1">
      <alignment horizontal="center"/>
    </xf>
    <xf numFmtId="165" fontId="36" fillId="6" borderId="24" xfId="4" applyNumberFormat="1" applyFont="1" applyAlignment="1" applyProtection="1">
      <alignment horizontal="center"/>
    </xf>
    <xf numFmtId="165" fontId="35" fillId="11" borderId="2" xfId="6" applyNumberFormat="1" applyFont="1" applyBorder="1" applyAlignment="1" applyProtection="1">
      <alignment horizontal="center"/>
    </xf>
    <xf numFmtId="165" fontId="14" fillId="5" borderId="7" xfId="3" applyNumberFormat="1" applyFont="1" applyBorder="1" applyAlignment="1" applyProtection="1">
      <alignment horizontal="center" vertical="center" wrapText="1"/>
    </xf>
    <xf numFmtId="165" fontId="14" fillId="5" borderId="8" xfId="3" applyNumberFormat="1" applyFont="1" applyBorder="1" applyAlignment="1" applyProtection="1">
      <alignment horizontal="center" vertical="center"/>
    </xf>
    <xf numFmtId="165" fontId="14" fillId="5" borderId="45" xfId="3" applyNumberFormat="1" applyFont="1" applyBorder="1" applyAlignment="1" applyProtection="1">
      <alignment horizontal="center" vertical="center"/>
    </xf>
    <xf numFmtId="165" fontId="14" fillId="5" borderId="0" xfId="3" applyNumberFormat="1" applyFont="1" applyBorder="1" applyAlignment="1" applyProtection="1">
      <alignment horizontal="center" vertical="center"/>
    </xf>
    <xf numFmtId="165" fontId="14" fillId="5" borderId="10" xfId="3" applyNumberFormat="1" applyFont="1" applyBorder="1" applyAlignment="1" applyProtection="1">
      <alignment horizontal="center" vertical="center"/>
    </xf>
    <xf numFmtId="165" fontId="14" fillId="5" borderId="11" xfId="3" applyNumberFormat="1" applyFont="1" applyBorder="1" applyAlignment="1" applyProtection="1">
      <alignment horizontal="center" vertical="center"/>
    </xf>
    <xf numFmtId="165" fontId="14" fillId="5" borderId="7" xfId="3" applyNumberFormat="1" applyFont="1" applyBorder="1" applyAlignment="1" applyProtection="1">
      <alignment horizontal="center" vertical="center"/>
    </xf>
    <xf numFmtId="0" fontId="10" fillId="0" borderId="0" xfId="0" quotePrefix="1" applyFont="1"/>
    <xf numFmtId="0" fontId="10" fillId="0" borderId="0" xfId="0" applyFont="1"/>
    <xf numFmtId="165" fontId="17" fillId="2" borderId="2" xfId="1" applyNumberFormat="1" applyFont="1" applyBorder="1" applyAlignment="1" applyProtection="1">
      <alignment horizontal="center" vertical="center"/>
    </xf>
    <xf numFmtId="165" fontId="37" fillId="6" borderId="24" xfId="4" applyNumberFormat="1" applyFont="1" applyAlignment="1" applyProtection="1">
      <alignment horizontal="center"/>
    </xf>
    <xf numFmtId="165" fontId="30" fillId="7" borderId="2" xfId="5" quotePrefix="1" applyNumberFormat="1" applyFont="1" applyBorder="1" applyAlignment="1" applyProtection="1">
      <alignment horizontal="center"/>
    </xf>
    <xf numFmtId="165" fontId="30" fillId="7" borderId="2" xfId="5" applyNumberFormat="1" applyFont="1" applyBorder="1" applyAlignment="1" applyProtection="1">
      <alignment horizontal="center"/>
    </xf>
    <xf numFmtId="165" fontId="10" fillId="15" borderId="0" xfId="8" applyNumberFormat="1" applyFont="1" applyAlignment="1" applyProtection="1">
      <alignment horizontal="center"/>
    </xf>
    <xf numFmtId="165" fontId="10" fillId="15" borderId="0" xfId="8" applyNumberFormat="1" applyFont="1" applyBorder="1" applyAlignment="1" applyProtection="1">
      <alignment horizontal="center"/>
    </xf>
    <xf numFmtId="0" fontId="0" fillId="7" borderId="2" xfId="5" applyFont="1" applyBorder="1" applyAlignment="1" applyProtection="1">
      <alignment horizontal="center" vertical="center"/>
    </xf>
    <xf numFmtId="165" fontId="22" fillId="6" borderId="51" xfId="4" applyNumberFormat="1" applyFont="1" applyBorder="1" applyAlignment="1" applyProtection="1">
      <alignment horizontal="center" vertical="center"/>
    </xf>
    <xf numFmtId="165" fontId="22" fillId="6" borderId="52" xfId="4" applyNumberFormat="1" applyFont="1" applyBorder="1" applyAlignment="1" applyProtection="1">
      <alignment horizontal="center" vertical="center"/>
    </xf>
    <xf numFmtId="165" fontId="22" fillId="6" borderId="53" xfId="4" applyNumberFormat="1" applyFont="1" applyBorder="1" applyAlignment="1" applyProtection="1">
      <alignment horizontal="center" vertical="center"/>
    </xf>
    <xf numFmtId="165" fontId="22" fillId="6" borderId="54" xfId="4" applyNumberFormat="1" applyFont="1" applyBorder="1" applyAlignment="1" applyProtection="1">
      <alignment horizontal="center" vertical="center"/>
    </xf>
    <xf numFmtId="165" fontId="21" fillId="5" borderId="22" xfId="3" applyNumberFormat="1" applyFont="1" applyBorder="1" applyAlignment="1" applyProtection="1">
      <alignment horizontal="center"/>
    </xf>
    <xf numFmtId="165" fontId="20" fillId="11" borderId="22" xfId="6" applyNumberFormat="1" applyFont="1" applyBorder="1" applyAlignment="1" applyProtection="1">
      <alignment horizontal="center"/>
    </xf>
    <xf numFmtId="0" fontId="10" fillId="15" borderId="10" xfId="8" applyFont="1" applyBorder="1" applyAlignment="1" applyProtection="1">
      <alignment horizontal="right"/>
    </xf>
    <xf numFmtId="0" fontId="10" fillId="15" borderId="11" xfId="8" applyFont="1" applyBorder="1" applyAlignment="1" applyProtection="1">
      <alignment horizontal="right"/>
    </xf>
    <xf numFmtId="0" fontId="10" fillId="15" borderId="12" xfId="8" applyFont="1" applyBorder="1" applyAlignment="1" applyProtection="1">
      <alignment horizontal="right"/>
    </xf>
    <xf numFmtId="165" fontId="34" fillId="19" borderId="1" xfId="1" applyNumberFormat="1" applyFont="1" applyFill="1" applyAlignment="1" applyProtection="1">
      <alignment horizontal="center"/>
    </xf>
    <xf numFmtId="0" fontId="34" fillId="19" borderId="1" xfId="1" applyFont="1" applyFill="1" applyAlignment="1" applyProtection="1">
      <alignment horizontal="center"/>
    </xf>
    <xf numFmtId="165" fontId="19" fillId="20" borderId="19" xfId="2" quotePrefix="1" applyNumberFormat="1" applyFont="1" applyFill="1" applyBorder="1" applyAlignment="1" applyProtection="1">
      <alignment horizontal="center"/>
      <protection locked="0"/>
    </xf>
    <xf numFmtId="0" fontId="19" fillId="20" borderId="20" xfId="2" applyFont="1" applyFill="1" applyBorder="1" applyAlignment="1" applyProtection="1">
      <alignment horizontal="center"/>
      <protection locked="0"/>
    </xf>
    <xf numFmtId="0" fontId="19" fillId="20" borderId="21" xfId="2" applyFont="1" applyFill="1" applyBorder="1" applyAlignment="1" applyProtection="1">
      <alignment horizontal="center"/>
      <protection locked="0"/>
    </xf>
    <xf numFmtId="0" fontId="19" fillId="13" borderId="20" xfId="2" quotePrefix="1" applyFont="1" applyBorder="1" applyAlignment="1" applyProtection="1">
      <alignment horizontal="center" vertical="center"/>
      <protection locked="0"/>
    </xf>
    <xf numFmtId="165" fontId="15" fillId="2" borderId="13" xfId="1" applyNumberFormat="1" applyFont="1" applyBorder="1" applyAlignment="1" applyProtection="1">
      <alignment horizontal="center" vertical="center"/>
    </xf>
    <xf numFmtId="165" fontId="1" fillId="2" borderId="1" xfId="1" applyNumberFormat="1" applyAlignment="1" applyProtection="1">
      <alignment horizontal="center" vertical="center"/>
    </xf>
    <xf numFmtId="165" fontId="19" fillId="13" borderId="80" xfId="2" applyNumberFormat="1" applyFont="1" applyBorder="1" applyAlignment="1" applyProtection="1">
      <alignment horizontal="center" vertical="center"/>
      <protection locked="0"/>
    </xf>
    <xf numFmtId="165" fontId="8" fillId="11" borderId="1" xfId="6" applyNumberFormat="1" applyBorder="1" applyAlignment="1" applyProtection="1">
      <alignment horizontal="center" vertical="center"/>
      <protection locked="0"/>
    </xf>
    <xf numFmtId="165" fontId="19" fillId="13" borderId="80" xfId="2" quotePrefix="1" applyNumberFormat="1" applyFont="1" applyBorder="1" applyAlignment="1" applyProtection="1">
      <alignment horizontal="center" vertical="center"/>
      <protection locked="0"/>
    </xf>
    <xf numFmtId="165" fontId="19" fillId="13" borderId="26" xfId="2" quotePrefix="1" applyNumberFormat="1" applyFont="1" applyBorder="1" applyAlignment="1" applyProtection="1">
      <alignment horizontal="center" vertical="center"/>
      <protection locked="0"/>
    </xf>
    <xf numFmtId="165" fontId="19" fillId="13" borderId="17" xfId="2" quotePrefix="1" applyNumberFormat="1" applyFont="1" applyBorder="1" applyAlignment="1" applyProtection="1">
      <alignment horizontal="center" vertical="center"/>
      <protection locked="0"/>
    </xf>
    <xf numFmtId="165" fontId="19" fillId="13" borderId="86" xfId="2" quotePrefix="1" applyNumberFormat="1" applyFont="1" applyBorder="1" applyAlignment="1" applyProtection="1">
      <alignment horizontal="center" vertical="center"/>
      <protection locked="0"/>
    </xf>
    <xf numFmtId="165" fontId="19" fillId="13" borderId="19" xfId="2" applyNumberFormat="1" applyFont="1" applyBorder="1" applyAlignment="1" applyProtection="1">
      <alignment horizontal="center" vertical="center"/>
      <protection locked="0"/>
    </xf>
    <xf numFmtId="165" fontId="19" fillId="13" borderId="21" xfId="2" applyNumberFormat="1" applyFont="1" applyBorder="1" applyAlignment="1" applyProtection="1">
      <alignment horizontal="center" vertical="center"/>
      <protection locked="0"/>
    </xf>
    <xf numFmtId="165" fontId="19" fillId="13" borderId="85" xfId="2" quotePrefix="1" applyNumberFormat="1" applyFont="1" applyBorder="1" applyAlignment="1" applyProtection="1">
      <alignment horizontal="center" vertical="center"/>
      <protection locked="0"/>
    </xf>
    <xf numFmtId="0" fontId="10" fillId="15" borderId="37" xfId="8" applyFont="1" applyBorder="1" applyAlignment="1" applyProtection="1">
      <alignment horizontal="right" vertical="center"/>
    </xf>
    <xf numFmtId="0" fontId="19" fillId="13" borderId="17" xfId="2" applyFont="1" applyBorder="1" applyAlignment="1" applyProtection="1">
      <alignment horizontal="center" vertical="center"/>
      <protection locked="0"/>
    </xf>
    <xf numFmtId="165" fontId="19" fillId="13" borderId="82" xfId="2" quotePrefix="1" applyNumberFormat="1" applyFont="1" applyBorder="1" applyAlignment="1" applyProtection="1">
      <alignment horizontal="center" vertical="center"/>
      <protection locked="0"/>
    </xf>
    <xf numFmtId="165" fontId="19" fillId="13" borderId="83" xfId="2" quotePrefix="1" applyNumberFormat="1" applyFont="1" applyBorder="1" applyAlignment="1" applyProtection="1">
      <alignment horizontal="center" vertical="center"/>
      <protection locked="0"/>
    </xf>
    <xf numFmtId="165" fontId="10" fillId="15" borderId="37" xfId="8" applyNumberFormat="1" applyFont="1" applyBorder="1" applyAlignment="1" applyProtection="1">
      <alignment horizontal="center"/>
    </xf>
    <xf numFmtId="165" fontId="15" fillId="2" borderId="17" xfId="1" applyNumberFormat="1" applyFont="1" applyBorder="1" applyAlignment="1" applyProtection="1">
      <alignment horizontal="center"/>
    </xf>
    <xf numFmtId="165" fontId="19" fillId="13" borderId="1" xfId="2" quotePrefix="1" applyNumberFormat="1" applyFont="1" applyAlignment="1" applyProtection="1">
      <alignment horizontal="center"/>
      <protection locked="0"/>
    </xf>
    <xf numFmtId="0" fontId="0" fillId="7" borderId="25" xfId="5" quotePrefix="1" applyFont="1" applyAlignment="1" applyProtection="1">
      <alignment horizontal="center"/>
    </xf>
    <xf numFmtId="0" fontId="23" fillId="7" borderId="60" xfId="5" applyFont="1" applyBorder="1" applyAlignment="1" applyProtection="1">
      <alignment horizontal="center"/>
    </xf>
    <xf numFmtId="165" fontId="10" fillId="9" borderId="99" xfId="0" applyNumberFormat="1" applyFont="1" applyFill="1" applyBorder="1" applyAlignment="1">
      <alignment horizontal="center"/>
    </xf>
    <xf numFmtId="165" fontId="71" fillId="39" borderId="2" xfId="0" applyNumberFormat="1" applyFont="1" applyFill="1" applyBorder="1" applyAlignment="1">
      <alignment horizontal="center"/>
    </xf>
    <xf numFmtId="165" fontId="0" fillId="25" borderId="5" xfId="0" applyNumberFormat="1" applyFill="1" applyBorder="1" applyAlignment="1">
      <alignment horizontal="center" vertical="center"/>
    </xf>
    <xf numFmtId="165" fontId="0" fillId="25" borderId="6" xfId="0" applyNumberFormat="1" applyFill="1" applyBorder="1" applyAlignment="1">
      <alignment horizontal="center" vertical="center"/>
    </xf>
    <xf numFmtId="165" fontId="71" fillId="34" borderId="28" xfId="0" applyNumberFormat="1" applyFont="1" applyFill="1" applyBorder="1" applyAlignment="1">
      <alignment horizontal="center" vertical="center"/>
    </xf>
    <xf numFmtId="165" fontId="71" fillId="34" borderId="29" xfId="0" applyNumberFormat="1" applyFont="1" applyFill="1" applyBorder="1" applyAlignment="1">
      <alignment horizontal="center" vertical="center"/>
    </xf>
    <xf numFmtId="165" fontId="56" fillId="34" borderId="28" xfId="0" applyNumberFormat="1" applyFont="1" applyFill="1" applyBorder="1" applyAlignment="1">
      <alignment horizontal="center" vertical="center"/>
    </xf>
    <xf numFmtId="165" fontId="56" fillId="34" borderId="29" xfId="0" applyNumberFormat="1" applyFont="1" applyFill="1" applyBorder="1" applyAlignment="1">
      <alignment horizontal="center" vertical="center"/>
    </xf>
    <xf numFmtId="165" fontId="6" fillId="6" borderId="24" xfId="4" applyNumberFormat="1" applyAlignment="1">
      <alignment horizontal="center"/>
    </xf>
    <xf numFmtId="0" fontId="0" fillId="0" borderId="29" xfId="0" applyBorder="1" applyAlignment="1">
      <alignment horizontal="center" vertical="center"/>
    </xf>
    <xf numFmtId="0" fontId="4" fillId="5" borderId="2" xfId="3" applyBorder="1" applyAlignment="1">
      <alignment horizontal="center"/>
    </xf>
    <xf numFmtId="0" fontId="4" fillId="5" borderId="2" xfId="3" applyBorder="1" applyAlignment="1">
      <alignment horizontal="right"/>
    </xf>
    <xf numFmtId="0" fontId="0" fillId="7" borderId="25" xfId="5" applyFont="1" applyAlignment="1">
      <alignment horizontal="center"/>
    </xf>
    <xf numFmtId="165" fontId="92" fillId="38" borderId="5" xfId="1" applyNumberFormat="1" applyFont="1" applyFill="1" applyBorder="1" applyAlignment="1" applyProtection="1">
      <alignment horizontal="right"/>
    </xf>
    <xf numFmtId="165" fontId="92" fillId="38" borderId="23" xfId="1" applyNumberFormat="1" applyFont="1" applyFill="1" applyBorder="1" applyAlignment="1" applyProtection="1">
      <alignment horizontal="right"/>
    </xf>
    <xf numFmtId="165" fontId="92" fillId="38" borderId="6" xfId="1" applyNumberFormat="1" applyFont="1" applyFill="1" applyBorder="1" applyAlignment="1" applyProtection="1">
      <alignment horizontal="right"/>
    </xf>
    <xf numFmtId="1" fontId="19" fillId="13" borderId="84" xfId="2" quotePrefix="1" applyNumberFormat="1" applyFont="1" applyBorder="1" applyAlignment="1" applyProtection="1">
      <alignment horizontal="center"/>
      <protection locked="0"/>
    </xf>
    <xf numFmtId="1" fontId="19" fillId="13" borderId="0" xfId="2" quotePrefix="1" applyNumberFormat="1" applyFont="1" applyBorder="1" applyAlignment="1" applyProtection="1">
      <alignment horizontal="center"/>
      <protection locked="0"/>
    </xf>
    <xf numFmtId="0" fontId="0" fillId="41" borderId="29" xfId="0" applyFill="1" applyBorder="1" applyAlignment="1">
      <alignment horizontal="center"/>
    </xf>
    <xf numFmtId="165" fontId="6" fillId="6" borderId="40" xfId="4" applyNumberFormat="1" applyBorder="1" applyAlignment="1">
      <alignment horizontal="center"/>
    </xf>
    <xf numFmtId="165" fontId="1" fillId="2" borderId="18" xfId="1" applyNumberFormat="1" applyBorder="1" applyAlignment="1">
      <alignment horizontal="center"/>
    </xf>
    <xf numFmtId="165" fontId="1" fillId="2" borderId="13" xfId="1" applyNumberFormat="1" applyBorder="1" applyAlignment="1">
      <alignment horizontal="center"/>
    </xf>
    <xf numFmtId="0" fontId="1" fillId="2" borderId="2" xfId="1" applyBorder="1" applyAlignment="1">
      <alignment horizontal="center" vertical="center"/>
    </xf>
    <xf numFmtId="165" fontId="13" fillId="9" borderId="14" xfId="0" applyNumberFormat="1" applyFont="1" applyFill="1" applyBorder="1" applyAlignment="1">
      <alignment horizontal="left"/>
    </xf>
    <xf numFmtId="165" fontId="13" fillId="9" borderId="15" xfId="0" applyNumberFormat="1" applyFont="1" applyFill="1" applyBorder="1" applyAlignment="1">
      <alignment horizontal="left"/>
    </xf>
    <xf numFmtId="165" fontId="13" fillId="9" borderId="16" xfId="0" applyNumberFormat="1" applyFont="1" applyFill="1" applyBorder="1" applyAlignment="1">
      <alignment horizontal="left"/>
    </xf>
    <xf numFmtId="165" fontId="13" fillId="9" borderId="22" xfId="0" applyNumberFormat="1" applyFont="1" applyFill="1" applyBorder="1" applyAlignment="1">
      <alignment horizontal="left"/>
    </xf>
    <xf numFmtId="0" fontId="87" fillId="50" borderId="0" xfId="13" quotePrefix="1" applyAlignment="1">
      <alignment horizontal="center"/>
    </xf>
    <xf numFmtId="0" fontId="8" fillId="11" borderId="70" xfId="6" applyBorder="1" applyAlignment="1">
      <alignment horizontal="center"/>
    </xf>
    <xf numFmtId="0" fontId="8" fillId="11" borderId="62" xfId="6" applyBorder="1" applyAlignment="1">
      <alignment horizontal="center"/>
    </xf>
    <xf numFmtId="0" fontId="8" fillId="11" borderId="0" xfId="6" quotePrefix="1" applyAlignment="1">
      <alignment horizontal="center"/>
    </xf>
    <xf numFmtId="0" fontId="9" fillId="3" borderId="38" xfId="7" applyFill="1" applyAlignment="1">
      <alignment horizontal="center" vertical="center"/>
    </xf>
    <xf numFmtId="0" fontId="9" fillId="3" borderId="38" xfId="7" applyFill="1" applyAlignment="1">
      <alignment horizontal="center"/>
    </xf>
    <xf numFmtId="0" fontId="6" fillId="6" borderId="24" xfId="4" applyAlignment="1">
      <alignment horizontal="center" vertical="center"/>
    </xf>
    <xf numFmtId="165" fontId="0" fillId="0" borderId="0" xfId="0" applyNumberFormat="1" applyAlignment="1">
      <alignment horizontal="center"/>
    </xf>
    <xf numFmtId="165" fontId="6" fillId="6" borderId="79" xfId="4" applyNumberFormat="1" applyBorder="1" applyAlignment="1">
      <alignment horizontal="center"/>
    </xf>
    <xf numFmtId="165" fontId="1" fillId="2" borderId="156" xfId="1" applyNumberFormat="1" applyBorder="1" applyAlignment="1">
      <alignment horizontal="center"/>
    </xf>
    <xf numFmtId="165" fontId="1" fillId="2" borderId="155" xfId="1" applyNumberFormat="1" applyBorder="1" applyAlignment="1">
      <alignment horizontal="center"/>
    </xf>
    <xf numFmtId="0" fontId="0" fillId="44" borderId="7" xfId="0" applyFill="1" applyBorder="1" applyAlignment="1">
      <alignment horizontal="right" vertical="center"/>
    </xf>
    <xf numFmtId="0" fontId="0" fillId="44" borderId="9" xfId="0" applyFill="1" applyBorder="1" applyAlignment="1">
      <alignment horizontal="right" vertical="center"/>
    </xf>
    <xf numFmtId="0" fontId="0" fillId="44" borderId="45" xfId="0" applyFill="1" applyBorder="1" applyAlignment="1">
      <alignment horizontal="right" vertical="center"/>
    </xf>
    <xf numFmtId="0" fontId="0" fillId="44" borderId="4" xfId="0" applyFill="1" applyBorder="1" applyAlignment="1">
      <alignment horizontal="right" vertical="center"/>
    </xf>
    <xf numFmtId="0" fontId="22" fillId="6" borderId="24" xfId="4" applyFont="1" applyAlignment="1">
      <alignment horizontal="left"/>
    </xf>
    <xf numFmtId="0" fontId="0" fillId="44" borderId="5" xfId="0" applyFill="1" applyBorder="1" applyAlignment="1">
      <alignment horizontal="right"/>
    </xf>
    <xf numFmtId="0" fontId="0" fillId="44" borderId="6" xfId="0" applyFill="1" applyBorder="1" applyAlignment="1">
      <alignment horizontal="right"/>
    </xf>
    <xf numFmtId="0" fontId="0" fillId="44" borderId="2" xfId="0" applyFill="1" applyBorder="1" applyAlignment="1">
      <alignment horizontal="center" vertical="center"/>
    </xf>
    <xf numFmtId="0" fontId="0" fillId="44" borderId="10" xfId="0" applyFill="1" applyBorder="1" applyAlignment="1">
      <alignment horizontal="right"/>
    </xf>
    <xf numFmtId="0" fontId="0" fillId="44" borderId="12" xfId="0" applyFill="1" applyBorder="1" applyAlignment="1">
      <alignment horizontal="right"/>
    </xf>
    <xf numFmtId="165" fontId="3" fillId="13" borderId="2" xfId="2" applyNumberFormat="1" applyBorder="1" applyAlignment="1" applyProtection="1">
      <alignment horizontal="center"/>
    </xf>
    <xf numFmtId="0" fontId="3" fillId="13" borderId="2" xfId="2" quotePrefix="1" applyBorder="1" applyAlignment="1" applyProtection="1">
      <alignment horizontal="center" vertical="center"/>
      <protection locked="0"/>
    </xf>
    <xf numFmtId="165" fontId="1" fillId="2" borderId="2" xfId="1" applyNumberFormat="1" applyBorder="1" applyAlignment="1">
      <alignment horizontal="center"/>
    </xf>
    <xf numFmtId="0" fontId="1" fillId="2" borderId="2" xfId="1" applyBorder="1" applyAlignment="1">
      <alignment horizontal="center"/>
    </xf>
    <xf numFmtId="165" fontId="1" fillId="2" borderId="2" xfId="1" applyNumberFormat="1" applyBorder="1" applyAlignment="1" applyProtection="1">
      <alignment horizontal="center" vertical="center"/>
    </xf>
    <xf numFmtId="0" fontId="6" fillId="6" borderId="24" xfId="4" applyAlignment="1">
      <alignment horizontal="center"/>
    </xf>
    <xf numFmtId="165" fontId="3" fillId="13" borderId="1" xfId="2" applyNumberFormat="1" applyAlignment="1" applyProtection="1">
      <alignment horizontal="center"/>
    </xf>
    <xf numFmtId="1" fontId="6" fillId="6" borderId="24" xfId="4" quotePrefix="1" applyNumberFormat="1" applyAlignment="1" applyProtection="1">
      <alignment horizontal="center"/>
      <protection locked="0"/>
    </xf>
    <xf numFmtId="0" fontId="3" fillId="13" borderId="2" xfId="2" quotePrefix="1" applyBorder="1" applyAlignment="1" applyProtection="1">
      <alignment horizontal="center"/>
      <protection locked="0"/>
    </xf>
    <xf numFmtId="0" fontId="0" fillId="8" borderId="0" xfId="0" applyFill="1" applyAlignment="1">
      <alignment horizontal="center"/>
    </xf>
    <xf numFmtId="0" fontId="0" fillId="0" borderId="28" xfId="0" applyBorder="1" applyAlignment="1">
      <alignment horizontal="center" vertical="center"/>
    </xf>
    <xf numFmtId="0" fontId="95" fillId="6" borderId="24" xfId="4" applyFont="1" applyAlignment="1">
      <alignment horizontal="center" vertical="center"/>
    </xf>
    <xf numFmtId="165" fontId="1" fillId="2" borderId="1" xfId="1" applyNumberFormat="1" applyAlignment="1">
      <alignment horizontal="center"/>
    </xf>
    <xf numFmtId="0" fontId="13" fillId="24" borderId="10" xfId="8" applyFont="1" applyFill="1" applyBorder="1" applyAlignment="1" applyProtection="1">
      <alignment horizontal="right"/>
    </xf>
    <xf numFmtId="0" fontId="13" fillId="24" borderId="11" xfId="8" applyFont="1" applyFill="1" applyBorder="1" applyAlignment="1" applyProtection="1">
      <alignment horizontal="right"/>
    </xf>
    <xf numFmtId="0" fontId="13" fillId="24" borderId="12" xfId="8" applyFont="1" applyFill="1" applyBorder="1" applyAlignment="1" applyProtection="1">
      <alignment horizontal="right"/>
    </xf>
    <xf numFmtId="1" fontId="19" fillId="13" borderId="19" xfId="2" quotePrefix="1" applyNumberFormat="1" applyFont="1" applyBorder="1" applyAlignment="1" applyProtection="1">
      <alignment horizontal="center"/>
      <protection locked="0"/>
    </xf>
    <xf numFmtId="1" fontId="19" fillId="13" borderId="20" xfId="2" quotePrefix="1" applyNumberFormat="1" applyFont="1" applyBorder="1" applyAlignment="1" applyProtection="1">
      <alignment horizontal="center"/>
      <protection locked="0"/>
    </xf>
    <xf numFmtId="0" fontId="65" fillId="0" borderId="5" xfId="0" applyFont="1" applyBorder="1" applyAlignment="1">
      <alignment horizontal="center"/>
    </xf>
    <xf numFmtId="0" fontId="65" fillId="0" borderId="6" xfId="0" applyFont="1" applyBorder="1" applyAlignment="1">
      <alignment horizontal="center"/>
    </xf>
    <xf numFmtId="0" fontId="13" fillId="24" borderId="2" xfId="8" applyFont="1" applyFill="1" applyBorder="1" applyAlignment="1" applyProtection="1">
      <alignment horizontal="right"/>
    </xf>
    <xf numFmtId="0" fontId="1" fillId="2" borderId="1" xfId="1" quotePrefix="1" applyAlignment="1">
      <alignment horizontal="center" vertical="center"/>
    </xf>
    <xf numFmtId="165" fontId="6" fillId="6" borderId="109" xfId="4" applyNumberFormat="1" applyBorder="1" applyAlignment="1" applyProtection="1">
      <alignment horizontal="center" vertical="center"/>
    </xf>
    <xf numFmtId="165" fontId="6" fillId="6" borderId="51" xfId="4" applyNumberFormat="1" applyBorder="1" applyAlignment="1" applyProtection="1">
      <alignment horizontal="center" vertical="center"/>
    </xf>
    <xf numFmtId="165" fontId="6" fillId="6" borderId="52" xfId="4" applyNumberFormat="1" applyBorder="1" applyAlignment="1" applyProtection="1">
      <alignment horizontal="center" vertical="center"/>
    </xf>
    <xf numFmtId="165" fontId="6" fillId="6" borderId="157" xfId="4" applyNumberFormat="1" applyBorder="1" applyAlignment="1" applyProtection="1">
      <alignment horizontal="center" vertical="center"/>
    </xf>
    <xf numFmtId="165" fontId="6" fillId="6" borderId="0" xfId="4" applyNumberFormat="1" applyBorder="1" applyAlignment="1" applyProtection="1">
      <alignment horizontal="center" vertical="center"/>
    </xf>
    <xf numFmtId="165" fontId="6" fillId="6" borderId="158" xfId="4" applyNumberFormat="1" applyBorder="1" applyAlignment="1" applyProtection="1">
      <alignment horizontal="center" vertical="center"/>
    </xf>
    <xf numFmtId="165" fontId="6" fillId="6" borderId="159" xfId="4" applyNumberFormat="1" applyBorder="1" applyAlignment="1" applyProtection="1">
      <alignment horizontal="center" vertical="center"/>
    </xf>
    <xf numFmtId="165" fontId="6" fillId="6" borderId="53" xfId="4" applyNumberFormat="1" applyBorder="1" applyAlignment="1" applyProtection="1">
      <alignment horizontal="center" vertical="center"/>
    </xf>
    <xf numFmtId="165" fontId="6" fillId="6" borderId="54" xfId="4" applyNumberFormat="1" applyBorder="1" applyAlignment="1" applyProtection="1">
      <alignment horizontal="center" vertical="center"/>
    </xf>
    <xf numFmtId="165" fontId="6" fillId="6" borderId="79" xfId="4" applyNumberFormat="1" applyBorder="1" applyAlignment="1" applyProtection="1">
      <alignment horizontal="center" vertical="center"/>
    </xf>
    <xf numFmtId="165" fontId="6" fillId="6" borderId="39" xfId="4" applyNumberFormat="1" applyBorder="1" applyAlignment="1" applyProtection="1">
      <alignment horizontal="center" vertical="center"/>
    </xf>
    <xf numFmtId="165" fontId="6" fillId="6" borderId="40" xfId="4" applyNumberFormat="1" applyBorder="1" applyAlignment="1" applyProtection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5" fontId="0" fillId="0" borderId="28" xfId="0" applyNumberFormat="1" applyBorder="1" applyAlignment="1">
      <alignment horizontal="center" vertical="center"/>
    </xf>
    <xf numFmtId="165" fontId="0" fillId="0" borderId="29" xfId="0" applyNumberFormat="1" applyBorder="1" applyAlignment="1">
      <alignment horizontal="center" vertical="center"/>
    </xf>
    <xf numFmtId="0" fontId="3" fillId="13" borderId="1" xfId="2" quotePrefix="1" applyAlignment="1" applyProtection="1">
      <alignment horizontal="center"/>
      <protection locked="0"/>
    </xf>
    <xf numFmtId="0" fontId="0" fillId="52" borderId="2" xfId="0" applyFill="1" applyBorder="1" applyAlignment="1">
      <alignment horizontal="center"/>
    </xf>
    <xf numFmtId="165" fontId="1" fillId="2" borderId="43" xfId="1" applyNumberFormat="1" applyBorder="1" applyAlignment="1">
      <alignment horizont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0" fontId="98" fillId="51" borderId="0" xfId="0" applyFont="1" applyFill="1" applyAlignment="1">
      <alignment horizontal="center"/>
    </xf>
    <xf numFmtId="0" fontId="88" fillId="0" borderId="162" xfId="0" quotePrefix="1" applyFont="1" applyBorder="1" applyAlignment="1">
      <alignment horizontal="center"/>
    </xf>
    <xf numFmtId="0" fontId="77" fillId="0" borderId="0" xfId="0" quotePrefix="1" applyFont="1" applyAlignment="1">
      <alignment horizontal="center" vertical="center"/>
    </xf>
    <xf numFmtId="0" fontId="77" fillId="0" borderId="162" xfId="0" quotePrefix="1" applyFont="1" applyBorder="1" applyAlignment="1">
      <alignment horizontal="center" vertical="center"/>
    </xf>
    <xf numFmtId="0" fontId="93" fillId="51" borderId="0" xfId="0" applyFont="1" applyFill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64" xfId="0" applyBorder="1" applyAlignment="1">
      <alignment horizontal="right" vertical="center"/>
    </xf>
    <xf numFmtId="0" fontId="0" fillId="0" borderId="167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71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7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28" xfId="0" applyBorder="1" applyAlignment="1">
      <alignment horizontal="center"/>
    </xf>
    <xf numFmtId="0" fontId="77" fillId="0" borderId="0" xfId="0" applyFont="1" applyAlignment="1">
      <alignment horizontal="center" vertical="center"/>
    </xf>
    <xf numFmtId="0" fontId="77" fillId="0" borderId="162" xfId="0" applyFont="1" applyBorder="1" applyAlignment="1">
      <alignment horizontal="center" vertical="center"/>
    </xf>
    <xf numFmtId="0" fontId="97" fillId="0" borderId="0" xfId="0" quotePrefix="1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0" fillId="0" borderId="179" xfId="0" applyBorder="1" applyAlignment="1">
      <alignment horizontal="center"/>
    </xf>
    <xf numFmtId="0" fontId="94" fillId="51" borderId="0" xfId="0" applyFont="1" applyFill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5" fontId="24" fillId="5" borderId="48" xfId="3" applyNumberFormat="1" applyFont="1" applyBorder="1" applyAlignment="1" applyProtection="1">
      <alignment horizontal="center" vertical="center"/>
    </xf>
    <xf numFmtId="165" fontId="24" fillId="5" borderId="49" xfId="3" applyNumberFormat="1" applyFont="1" applyBorder="1" applyAlignment="1" applyProtection="1">
      <alignment horizontal="center" vertical="center"/>
    </xf>
    <xf numFmtId="165" fontId="24" fillId="5" borderId="50" xfId="3" applyNumberFormat="1" applyFont="1" applyBorder="1" applyAlignment="1" applyProtection="1">
      <alignment horizontal="center" vertical="center"/>
    </xf>
    <xf numFmtId="165" fontId="24" fillId="5" borderId="14" xfId="3" applyNumberFormat="1" applyFont="1" applyBorder="1" applyAlignment="1" applyProtection="1">
      <alignment horizontal="center" vertical="center"/>
    </xf>
    <xf numFmtId="165" fontId="24" fillId="5" borderId="15" xfId="3" applyNumberFormat="1" applyFont="1" applyBorder="1" applyAlignment="1" applyProtection="1">
      <alignment horizontal="center" vertical="center"/>
    </xf>
    <xf numFmtId="165" fontId="24" fillId="5" borderId="16" xfId="3" applyNumberFormat="1" applyFont="1" applyBorder="1" applyAlignment="1" applyProtection="1">
      <alignment horizontal="center" vertical="center"/>
    </xf>
  </cellXfs>
  <cellStyles count="14">
    <cellStyle name="20 % - Accent5" xfId="10" builtinId="46"/>
    <cellStyle name="60 % - Accent5" xfId="8" builtinId="48" customBuiltin="1"/>
    <cellStyle name="Accent1" xfId="9" builtinId="29"/>
    <cellStyle name="Calcul" xfId="1" builtinId="22" customBuiltin="1"/>
    <cellStyle name="Cellule liée" xfId="11" builtinId="24"/>
    <cellStyle name="Entrée" xfId="2" builtinId="20" customBuiltin="1"/>
    <cellStyle name="Insatisfaisant" xfId="13" builtinId="27"/>
    <cellStyle name="Neutre" xfId="6" builtinId="28"/>
    <cellStyle name="Normal" xfId="0" builtinId="0"/>
    <cellStyle name="Note" xfId="5" builtinId="10"/>
    <cellStyle name="Satisfaisant" xfId="3" builtinId="26"/>
    <cellStyle name="Sortie" xfId="7" builtinId="21"/>
    <cellStyle name="Texte explicatif" xfId="12" builtinId="53"/>
    <cellStyle name="Vérification" xfId="4" builtinId="23"/>
  </cellStyles>
  <dxfs count="4">
    <dxf>
      <fill>
        <patternFill>
          <bgColor rgb="FF66FF99"/>
        </patternFill>
      </fill>
    </dxf>
    <dxf>
      <fill>
        <patternFill>
          <bgColor rgb="FF66FF99"/>
        </patternFill>
      </fill>
    </dxf>
    <dxf>
      <font>
        <strike val="0"/>
      </font>
      <fill>
        <patternFill>
          <bgColor rgb="FF7030A0"/>
        </patternFill>
      </fill>
    </dxf>
    <dxf>
      <font>
        <strike val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00FF00"/>
      <color rgb="FFD5FFDA"/>
      <color rgb="FFEBFFED"/>
      <color rgb="FFFF99FF"/>
      <color rgb="FFC5FFC5"/>
      <color rgb="FFFFFFCC"/>
      <color rgb="FFCCFFFF"/>
      <color rgb="FFFBB7FB"/>
      <color rgb="FF66FFFF"/>
      <color rgb="FFECE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9486111111111112"/>
          <c:w val="0.89019685039370078"/>
          <c:h val="0.72088764946048411"/>
        </c:manualLayout>
      </c:layout>
      <c:scatterChart>
        <c:scatterStyle val="smoothMarker"/>
        <c:varyColors val="0"/>
        <c:ser>
          <c:idx val="1"/>
          <c:order val="0"/>
          <c:tx>
            <c:v>Di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DistanceLunaire!$D$85:$D$92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</c:numCache>
            </c:numRef>
          </c:xVal>
          <c:yVal>
            <c:numRef>
              <c:f>DistanceLunaire!$F$85:$F$92</c:f>
              <c:numCache>
                <c:formatCode>General</c:formatCode>
                <c:ptCount val="8"/>
                <c:pt idx="0">
                  <c:v>74.680000000000007</c:v>
                </c:pt>
                <c:pt idx="1">
                  <c:v>76.211666666666673</c:v>
                </c:pt>
                <c:pt idx="2">
                  <c:v>77.736666666666665</c:v>
                </c:pt>
                <c:pt idx="3">
                  <c:v>79.256666666666661</c:v>
                </c:pt>
                <c:pt idx="4">
                  <c:v>80.768333333333331</c:v>
                </c:pt>
                <c:pt idx="5">
                  <c:v>82.273333333333326</c:v>
                </c:pt>
                <c:pt idx="6">
                  <c:v>83.773333333333326</c:v>
                </c:pt>
                <c:pt idx="7">
                  <c:v>85.266666666666666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74-4AAC-AC17-2B3FF7028782}"/>
            </c:ext>
          </c:extLst>
        </c:ser>
        <c:ser>
          <c:idx val="2"/>
          <c:order val="1"/>
          <c:tx>
            <c:v>Di (Estimé)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DistanceLunaire!$D$85:$D$92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</c:numCache>
            </c:numRef>
          </c:xVal>
          <c:yVal>
            <c:numRef>
              <c:f>DistanceLunaire!$G$85:$G$92</c:f>
              <c:numCache>
                <c:formatCode>General</c:formatCode>
                <c:ptCount val="8"/>
                <c:pt idx="0">
                  <c:v>74.702541982629683</c:v>
                </c:pt>
                <c:pt idx="1">
                  <c:v>76.214910939973578</c:v>
                </c:pt>
                <c:pt idx="2">
                  <c:v>77.727279897317473</c:v>
                </c:pt>
                <c:pt idx="3">
                  <c:v>79.239648854661368</c:v>
                </c:pt>
                <c:pt idx="4">
                  <c:v>80.752017812005263</c:v>
                </c:pt>
                <c:pt idx="5">
                  <c:v>82.264386769349159</c:v>
                </c:pt>
                <c:pt idx="6">
                  <c:v>83.776755726693068</c:v>
                </c:pt>
                <c:pt idx="7">
                  <c:v>85.289124684036963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474-4AAC-AC17-2B3FF7028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72223"/>
        <c:axId val="96977631"/>
      </c:scatterChart>
      <c:valAx>
        <c:axId val="96972223"/>
        <c:scaling>
          <c:orientation val="minMax"/>
          <c:max val="2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77631"/>
        <c:crosses val="autoZero"/>
        <c:crossBetween val="midCat"/>
      </c:valAx>
      <c:valAx>
        <c:axId val="96977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722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Diametre</a:t>
            </a:r>
            <a:r>
              <a:rPr lang="fr-FR" baseline="0"/>
              <a:t> Lune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Table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Outils!$L$3:$Z$3</c:f>
              <c:numCache>
                <c:formatCode>General</c:formatCode>
                <c:ptCount val="15"/>
                <c:pt idx="0">
                  <c:v>52</c:v>
                </c:pt>
                <c:pt idx="1">
                  <c:v>54</c:v>
                </c:pt>
                <c:pt idx="2">
                  <c:v>55</c:v>
                </c:pt>
                <c:pt idx="3">
                  <c:v>55.5</c:v>
                </c:pt>
                <c:pt idx="4">
                  <c:v>56</c:v>
                </c:pt>
                <c:pt idx="5">
                  <c:v>56.5</c:v>
                </c:pt>
                <c:pt idx="6">
                  <c:v>57</c:v>
                </c:pt>
                <c:pt idx="7">
                  <c:v>57.5</c:v>
                </c:pt>
                <c:pt idx="8">
                  <c:v>58</c:v>
                </c:pt>
                <c:pt idx="9">
                  <c:v>58.5</c:v>
                </c:pt>
                <c:pt idx="10">
                  <c:v>59</c:v>
                </c:pt>
                <c:pt idx="11">
                  <c:v>59.5</c:v>
                </c:pt>
                <c:pt idx="12">
                  <c:v>60</c:v>
                </c:pt>
                <c:pt idx="13">
                  <c:v>61</c:v>
                </c:pt>
                <c:pt idx="14">
                  <c:v>63</c:v>
                </c:pt>
              </c:numCache>
            </c:numRef>
          </c:xVal>
          <c:yVal>
            <c:numRef>
              <c:f>Outils!$L$4:$Z$4</c:f>
              <c:numCache>
                <c:formatCode>General</c:formatCode>
                <c:ptCount val="15"/>
                <c:pt idx="0">
                  <c:v>0.47217147409615379</c:v>
                </c:pt>
                <c:pt idx="1">
                  <c:v>0.49</c:v>
                </c:pt>
                <c:pt idx="2">
                  <c:v>0.5</c:v>
                </c:pt>
                <c:pt idx="3">
                  <c:v>0.505</c:v>
                </c:pt>
                <c:pt idx="4">
                  <c:v>0.51</c:v>
                </c:pt>
                <c:pt idx="5">
                  <c:v>0.51333333299999995</c:v>
                </c:pt>
                <c:pt idx="6">
                  <c:v>0.51833333299999995</c:v>
                </c:pt>
                <c:pt idx="7">
                  <c:v>0.52333333299999996</c:v>
                </c:pt>
                <c:pt idx="8">
                  <c:v>0.52833333299999996</c:v>
                </c:pt>
                <c:pt idx="9">
                  <c:v>0.53333333299999997</c:v>
                </c:pt>
                <c:pt idx="10">
                  <c:v>0.53666666699999999</c:v>
                </c:pt>
                <c:pt idx="11">
                  <c:v>0.54166666699999999</c:v>
                </c:pt>
                <c:pt idx="12">
                  <c:v>0.546666667</c:v>
                </c:pt>
                <c:pt idx="13">
                  <c:v>0.55500000000000005</c:v>
                </c:pt>
                <c:pt idx="14">
                  <c:v>0.57423878221153846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4C-4242-8D81-F8E6E112AF7D}"/>
            </c:ext>
          </c:extLst>
        </c:ser>
        <c:ser>
          <c:idx val="1"/>
          <c:order val="1"/>
          <c:tx>
            <c:v>Estim.</c:v>
          </c:tx>
          <c:spPr>
            <a:ln w="19050" cap="rnd">
              <a:solidFill>
                <a:srgbClr val="FF0000">
                  <a:alpha val="97000"/>
                </a:srgbClr>
              </a:solidFill>
              <a:prstDash val="sysDot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Outils!$L$3:$Z$3</c:f>
              <c:numCache>
                <c:formatCode>General</c:formatCode>
                <c:ptCount val="15"/>
                <c:pt idx="0">
                  <c:v>52</c:v>
                </c:pt>
                <c:pt idx="1">
                  <c:v>54</c:v>
                </c:pt>
                <c:pt idx="2">
                  <c:v>55</c:v>
                </c:pt>
                <c:pt idx="3">
                  <c:v>55.5</c:v>
                </c:pt>
                <c:pt idx="4">
                  <c:v>56</c:v>
                </c:pt>
                <c:pt idx="5">
                  <c:v>56.5</c:v>
                </c:pt>
                <c:pt idx="6">
                  <c:v>57</c:v>
                </c:pt>
                <c:pt idx="7">
                  <c:v>57.5</c:v>
                </c:pt>
                <c:pt idx="8">
                  <c:v>58</c:v>
                </c:pt>
                <c:pt idx="9">
                  <c:v>58.5</c:v>
                </c:pt>
                <c:pt idx="10">
                  <c:v>59</c:v>
                </c:pt>
                <c:pt idx="11">
                  <c:v>59.5</c:v>
                </c:pt>
                <c:pt idx="12">
                  <c:v>60</c:v>
                </c:pt>
                <c:pt idx="13">
                  <c:v>61</c:v>
                </c:pt>
                <c:pt idx="14">
                  <c:v>63</c:v>
                </c:pt>
              </c:numCache>
            </c:numRef>
          </c:xVal>
          <c:yVal>
            <c:numRef>
              <c:f>Outils!$L$5:$Z$5</c:f>
              <c:numCache>
                <c:formatCode>General</c:formatCode>
                <c:ptCount val="15"/>
                <c:pt idx="0">
                  <c:v>0.47217147409615379</c:v>
                </c:pt>
                <c:pt idx="1">
                  <c:v>0.49072916648076914</c:v>
                </c:pt>
                <c:pt idx="2">
                  <c:v>0.50000801267307693</c:v>
                </c:pt>
                <c:pt idx="3">
                  <c:v>0.50464743576923077</c:v>
                </c:pt>
                <c:pt idx="4">
                  <c:v>0.50928685886538461</c:v>
                </c:pt>
                <c:pt idx="5">
                  <c:v>0.51392628196153844</c:v>
                </c:pt>
                <c:pt idx="6">
                  <c:v>0.51856570505769228</c:v>
                </c:pt>
                <c:pt idx="7">
                  <c:v>0.52320512815384612</c:v>
                </c:pt>
                <c:pt idx="8">
                  <c:v>0.52784455124999996</c:v>
                </c:pt>
                <c:pt idx="9">
                  <c:v>0.5324839743461538</c:v>
                </c:pt>
                <c:pt idx="10">
                  <c:v>0.53712339744230764</c:v>
                </c:pt>
                <c:pt idx="11">
                  <c:v>0.54176282053846148</c:v>
                </c:pt>
                <c:pt idx="12">
                  <c:v>0.54640224363461531</c:v>
                </c:pt>
                <c:pt idx="13">
                  <c:v>0.5556810898269231</c:v>
                </c:pt>
                <c:pt idx="14">
                  <c:v>0.57423878221153846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4C-4242-8D81-F8E6E112A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796767"/>
        <c:axId val="270769407"/>
      </c:scatterChart>
      <c:valAx>
        <c:axId val="270796767"/>
        <c:scaling>
          <c:orientation val="minMax"/>
          <c:max val="63"/>
          <c:min val="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769407"/>
        <c:crosses val="autoZero"/>
        <c:crossBetween val="midCat"/>
        <c:majorUnit val="1"/>
        <c:minorUnit val="0.5"/>
      </c:valAx>
      <c:valAx>
        <c:axId val="270769407"/>
        <c:scaling>
          <c:orientation val="minMax"/>
          <c:max val="0.58000000000000007"/>
          <c:min val="0.470000000000000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796767"/>
        <c:crosses val="autoZero"/>
        <c:crossBetween val="midCat"/>
        <c:majorUnit val="1.0000000000000002E-2"/>
        <c:minorUnit val="5.000000000000001E-3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0.png"/><Relationship Id="rId5" Type="http://schemas.openxmlformats.org/officeDocument/2006/relationships/image" Target="../media/image6.png"/><Relationship Id="rId4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5" Type="http://schemas.openxmlformats.org/officeDocument/2006/relationships/chart" Target="../charts/chart1.xml"/><Relationship Id="rId4" Type="http://schemas.openxmlformats.org/officeDocument/2006/relationships/image" Target="../media/image19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4" Type="http://schemas.openxmlformats.org/officeDocument/2006/relationships/image" Target="../media/image2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95</xdr:row>
      <xdr:rowOff>28575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133350</xdr:colOff>
      <xdr:row>98</xdr:row>
      <xdr:rowOff>28575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24</xdr:col>
      <xdr:colOff>159544</xdr:colOff>
      <xdr:row>121</xdr:row>
      <xdr:rowOff>190499</xdr:rowOff>
    </xdr:from>
    <xdr:to>
      <xdr:col>31</xdr:col>
      <xdr:colOff>238125</xdr:colOff>
      <xdr:row>126</xdr:row>
      <xdr:rowOff>183358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10922794" y="29694187"/>
          <a:ext cx="4543425" cy="106442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30</xdr:col>
      <xdr:colOff>147637</xdr:colOff>
      <xdr:row>151</xdr:row>
      <xdr:rowOff>190500</xdr:rowOff>
    </xdr:from>
    <xdr:to>
      <xdr:col>37</xdr:col>
      <xdr:colOff>105921</xdr:colOff>
      <xdr:row>184</xdr:row>
      <xdr:rowOff>197928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32793" y="36123563"/>
          <a:ext cx="8173597" cy="1998153"/>
        </a:xfrm>
        <a:prstGeom prst="rect">
          <a:avLst/>
        </a:prstGeom>
      </xdr:spPr>
    </xdr:pic>
    <xdr:clientData/>
  </xdr:twoCellAnchor>
  <xdr:twoCellAnchor editAs="oneCell">
    <xdr:from>
      <xdr:col>20</xdr:col>
      <xdr:colOff>285750</xdr:colOff>
      <xdr:row>177</xdr:row>
      <xdr:rowOff>57150</xdr:rowOff>
    </xdr:from>
    <xdr:to>
      <xdr:col>29</xdr:col>
      <xdr:colOff>193355</xdr:colOff>
      <xdr:row>201</xdr:row>
      <xdr:rowOff>9338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77375" y="20335875"/>
          <a:ext cx="4470080" cy="5057588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218</xdr:row>
      <xdr:rowOff>9525</xdr:rowOff>
    </xdr:from>
    <xdr:to>
      <xdr:col>13</xdr:col>
      <xdr:colOff>419100</xdr:colOff>
      <xdr:row>218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4572000" y="4826317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180</xdr:row>
      <xdr:rowOff>28451</xdr:rowOff>
    </xdr:from>
    <xdr:to>
      <xdr:col>13</xdr:col>
      <xdr:colOff>401337</xdr:colOff>
      <xdr:row>183</xdr:row>
      <xdr:rowOff>190500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81650" y="40042976"/>
          <a:ext cx="763287" cy="7335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177</xdr:row>
          <xdr:rowOff>104775</xdr:rowOff>
        </xdr:from>
        <xdr:to>
          <xdr:col>7</xdr:col>
          <xdr:colOff>295275</xdr:colOff>
          <xdr:row>178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28</xdr:col>
      <xdr:colOff>194241</xdr:colOff>
      <xdr:row>117</xdr:row>
      <xdr:rowOff>86066</xdr:rowOff>
    </xdr:from>
    <xdr:to>
      <xdr:col>33</xdr:col>
      <xdr:colOff>867313</xdr:colOff>
      <xdr:row>126</xdr:row>
      <xdr:rowOff>95868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26710" y="28732504"/>
          <a:ext cx="6292822" cy="1938615"/>
        </a:xfrm>
        <a:prstGeom prst="rect">
          <a:avLst/>
        </a:prstGeom>
        <a:noFill/>
        <a:ln w="34925">
          <a:solidFill>
            <a:srgbClr val="FF0000"/>
          </a:solidFill>
        </a:ln>
        <a:effectLst/>
      </xdr:spPr>
    </xdr:pic>
    <xdr:clientData/>
  </xdr:twoCellAnchor>
  <xdr:twoCellAnchor editAs="oneCell">
    <xdr:from>
      <xdr:col>28</xdr:col>
      <xdr:colOff>273843</xdr:colOff>
      <xdr:row>126</xdr:row>
      <xdr:rowOff>178594</xdr:rowOff>
    </xdr:from>
    <xdr:to>
      <xdr:col>33</xdr:col>
      <xdr:colOff>1036734</xdr:colOff>
      <xdr:row>151</xdr:row>
      <xdr:rowOff>41211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06312" y="30753844"/>
          <a:ext cx="6382641" cy="5220429"/>
        </a:xfrm>
        <a:prstGeom prst="rect">
          <a:avLst/>
        </a:prstGeom>
        <a:ln w="25400">
          <a:solidFill>
            <a:srgbClr val="FF0000"/>
          </a:solidFill>
        </a:ln>
      </xdr:spPr>
    </xdr:pic>
    <xdr:clientData/>
  </xdr:twoCellAnchor>
  <xdr:twoCellAnchor>
    <xdr:from>
      <xdr:col>4</xdr:col>
      <xdr:colOff>247651</xdr:colOff>
      <xdr:row>220</xdr:row>
      <xdr:rowOff>57150</xdr:rowOff>
    </xdr:from>
    <xdr:to>
      <xdr:col>4</xdr:col>
      <xdr:colOff>400051</xdr:colOff>
      <xdr:row>222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47626</xdr:colOff>
      <xdr:row>230</xdr:row>
      <xdr:rowOff>104775</xdr:rowOff>
    </xdr:from>
    <xdr:to>
      <xdr:col>13</xdr:col>
      <xdr:colOff>438150</xdr:colOff>
      <xdr:row>230</xdr:row>
      <xdr:rowOff>123825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 flipH="1">
          <a:off x="4676776" y="490632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53</xdr:row>
          <xdr:rowOff>38100</xdr:rowOff>
        </xdr:from>
        <xdr:to>
          <xdr:col>16</xdr:col>
          <xdr:colOff>9525</xdr:colOff>
          <xdr:row>54</xdr:row>
          <xdr:rowOff>133350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124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78F2F9F2-E884-4BB8-9BF7-98E571F09671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142875</xdr:colOff>
      <xdr:row>121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143</xdr:row>
      <xdr:rowOff>123825</xdr:rowOff>
    </xdr:from>
    <xdr:to>
      <xdr:col>18</xdr:col>
      <xdr:colOff>361950</xdr:colOff>
      <xdr:row>144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137410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166</xdr:row>
      <xdr:rowOff>180975</xdr:rowOff>
    </xdr:from>
    <xdr:ext cx="8197409" cy="2041016"/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184</xdr:row>
      <xdr:rowOff>13709</xdr:rowOff>
    </xdr:from>
    <xdr:to>
      <xdr:col>31</xdr:col>
      <xdr:colOff>304801</xdr:colOff>
      <xdr:row>209</xdr:row>
      <xdr:rowOff>171263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19051</xdr:colOff>
      <xdr:row>189</xdr:row>
      <xdr:rowOff>0</xdr:rowOff>
    </xdr:from>
    <xdr:to>
      <xdr:col>13</xdr:col>
      <xdr:colOff>400051</xdr:colOff>
      <xdr:row>192</xdr:row>
      <xdr:rowOff>179119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2824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186</xdr:row>
          <xdr:rowOff>38100</xdr:rowOff>
        </xdr:from>
        <xdr:to>
          <xdr:col>10</xdr:col>
          <xdr:colOff>9525</xdr:colOff>
          <xdr:row>187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188</xdr:row>
      <xdr:rowOff>142874</xdr:rowOff>
    </xdr:from>
    <xdr:to>
      <xdr:col>15</xdr:col>
      <xdr:colOff>266699</xdr:colOff>
      <xdr:row>192</xdr:row>
      <xdr:rowOff>171449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2776774"/>
          <a:ext cx="790575" cy="790575"/>
        </a:xfrm>
        <a:prstGeom prst="rect">
          <a:avLst/>
        </a:prstGeom>
      </xdr:spPr>
    </xdr:pic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1" name="Flèche : droit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676525" y="133826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2" name="Flèche : droit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rot="10800000">
          <a:off x="12211050" y="1224915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247651</xdr:colOff>
      <xdr:row>239</xdr:row>
      <xdr:rowOff>57150</xdr:rowOff>
    </xdr:from>
    <xdr:to>
      <xdr:col>4</xdr:col>
      <xdr:colOff>400051</xdr:colOff>
      <xdr:row>241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3" name="Flèche : droite 10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809875" y="10887076"/>
          <a:ext cx="1724025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5" name="Flèche : droite 1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 rot="10800000">
          <a:off x="12439650" y="108966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190500</xdr:colOff>
      <xdr:row>43</xdr:row>
      <xdr:rowOff>36343</xdr:rowOff>
    </xdr:from>
    <xdr:to>
      <xdr:col>30</xdr:col>
      <xdr:colOff>934704</xdr:colOff>
      <xdr:row>67</xdr:row>
      <xdr:rowOff>43605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315825" y="7437268"/>
          <a:ext cx="2896854" cy="16342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156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6DB363D-52F5-4479-999F-6BC3ED2E2144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133350</xdr:colOff>
      <xdr:row>153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175</xdr:row>
      <xdr:rowOff>123825</xdr:rowOff>
    </xdr:from>
    <xdr:to>
      <xdr:col>18</xdr:col>
      <xdr:colOff>361950</xdr:colOff>
      <xdr:row>176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7543800" y="33413700"/>
          <a:ext cx="36195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198</xdr:row>
      <xdr:rowOff>180975</xdr:rowOff>
    </xdr:from>
    <xdr:ext cx="8197409" cy="2041016"/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29</xdr:col>
      <xdr:colOff>44771</xdr:colOff>
      <xdr:row>213</xdr:row>
      <xdr:rowOff>13709</xdr:rowOff>
    </xdr:from>
    <xdr:to>
      <xdr:col>36</xdr:col>
      <xdr:colOff>352426</xdr:colOff>
      <xdr:row>236</xdr:row>
      <xdr:rowOff>108772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46321" y="48495959"/>
          <a:ext cx="4470080" cy="49147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78</xdr:row>
          <xdr:rowOff>76200</xdr:rowOff>
        </xdr:from>
        <xdr:to>
          <xdr:col>4</xdr:col>
          <xdr:colOff>57150</xdr:colOff>
          <xdr:row>79</xdr:row>
          <xdr:rowOff>104775</xdr:rowOff>
        </xdr:to>
        <xdr:sp macro="" textlink="">
          <xdr:nvSpPr>
            <xdr:cNvPr id="3074" name="Button 2" descr="Reset Realis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Reset Realisation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19051</xdr:colOff>
      <xdr:row>223</xdr:row>
      <xdr:rowOff>0</xdr:rowOff>
    </xdr:from>
    <xdr:to>
      <xdr:col>13</xdr:col>
      <xdr:colOff>400051</xdr:colOff>
      <xdr:row>226</xdr:row>
      <xdr:rowOff>179119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3586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220</xdr:row>
          <xdr:rowOff>38100</xdr:rowOff>
        </xdr:from>
        <xdr:to>
          <xdr:col>10</xdr:col>
          <xdr:colOff>9525</xdr:colOff>
          <xdr:row>221</xdr:row>
          <xdr:rowOff>66675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222</xdr:row>
      <xdr:rowOff>142874</xdr:rowOff>
    </xdr:from>
    <xdr:to>
      <xdr:col>15</xdr:col>
      <xdr:colOff>266699</xdr:colOff>
      <xdr:row>226</xdr:row>
      <xdr:rowOff>171449</xdr:rowOff>
    </xdr:to>
    <xdr:pic>
      <xdr:nvPicPr>
        <xdr:cNvPr id="14" name="Image 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3538774"/>
          <a:ext cx="790575" cy="790575"/>
        </a:xfrm>
        <a:prstGeom prst="rect">
          <a:avLst/>
        </a:prstGeom>
      </xdr:spPr>
    </xdr:pic>
    <xdr:clientData/>
  </xdr:twoCellAnchor>
  <xdr:twoCellAnchor>
    <xdr:from>
      <xdr:col>4</xdr:col>
      <xdr:colOff>247651</xdr:colOff>
      <xdr:row>276</xdr:row>
      <xdr:rowOff>57150</xdr:rowOff>
    </xdr:from>
    <xdr:to>
      <xdr:col>4</xdr:col>
      <xdr:colOff>400051</xdr:colOff>
      <xdr:row>278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981201" y="5614987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59</xdr:row>
      <xdr:rowOff>19051</xdr:rowOff>
    </xdr:from>
    <xdr:to>
      <xdr:col>9</xdr:col>
      <xdr:colOff>361950</xdr:colOff>
      <xdr:row>62</xdr:row>
      <xdr:rowOff>171451</xdr:rowOff>
    </xdr:to>
    <xdr:sp macro="" textlink="">
      <xdr:nvSpPr>
        <xdr:cNvPr id="16" name="Flèche : droite 10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809875" y="110490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59</xdr:row>
      <xdr:rowOff>28576</xdr:rowOff>
    </xdr:from>
    <xdr:to>
      <xdr:col>29</xdr:col>
      <xdr:colOff>895350</xdr:colOff>
      <xdr:row>62</xdr:row>
      <xdr:rowOff>180976</xdr:rowOff>
    </xdr:to>
    <xdr:sp macro="" textlink="">
      <xdr:nvSpPr>
        <xdr:cNvPr id="17" name="Flèche : droite 11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 rot="10800000">
          <a:off x="12477750" y="110585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152400</xdr:colOff>
      <xdr:row>42</xdr:row>
      <xdr:rowOff>19050</xdr:rowOff>
    </xdr:from>
    <xdr:to>
      <xdr:col>31</xdr:col>
      <xdr:colOff>258429</xdr:colOff>
      <xdr:row>50</xdr:row>
      <xdr:rowOff>119805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39625" y="7639050"/>
          <a:ext cx="2896854" cy="16342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28</xdr:col>
      <xdr:colOff>228600</xdr:colOff>
      <xdr:row>135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2601575" y="205168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2601575" y="205168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144</xdr:row>
      <xdr:rowOff>123825</xdr:rowOff>
    </xdr:from>
    <xdr:to>
      <xdr:col>18</xdr:col>
      <xdr:colOff>361950</xdr:colOff>
      <xdr:row>145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169</xdr:row>
      <xdr:rowOff>200025</xdr:rowOff>
    </xdr:from>
    <xdr:to>
      <xdr:col>35</xdr:col>
      <xdr:colOff>482159</xdr:colOff>
      <xdr:row>179</xdr:row>
      <xdr:rowOff>50291</xdr:rowOff>
    </xdr:to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19</xdr:col>
      <xdr:colOff>314325</xdr:colOff>
      <xdr:row>195</xdr:row>
      <xdr:rowOff>123825</xdr:rowOff>
    </xdr:from>
    <xdr:to>
      <xdr:col>28</xdr:col>
      <xdr:colOff>1155380</xdr:colOff>
      <xdr:row>226</xdr:row>
      <xdr:rowOff>161738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058275" y="23650575"/>
          <a:ext cx="4470080" cy="4828988"/>
        </a:xfrm>
        <a:prstGeom prst="rect">
          <a:avLst/>
        </a:prstGeom>
      </xdr:spPr>
    </xdr:pic>
    <xdr:clientData/>
  </xdr:twoCellAnchor>
  <xdr:twoCellAnchor editAs="oneCell">
    <xdr:from>
      <xdr:col>30</xdr:col>
      <xdr:colOff>361950</xdr:colOff>
      <xdr:row>105</xdr:row>
      <xdr:rowOff>9525</xdr:rowOff>
    </xdr:from>
    <xdr:to>
      <xdr:col>35</xdr:col>
      <xdr:colOff>915273</xdr:colOff>
      <xdr:row>129</xdr:row>
      <xdr:rowOff>115048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192375" y="22221825"/>
          <a:ext cx="6258798" cy="5363323"/>
        </a:xfrm>
        <a:prstGeom prst="rect">
          <a:avLst/>
        </a:prstGeom>
      </xdr:spPr>
    </xdr:pic>
    <xdr:clientData/>
  </xdr:twoCellAnchor>
  <xdr:oneCellAnchor>
    <xdr:from>
      <xdr:col>28</xdr:col>
      <xdr:colOff>228600</xdr:colOff>
      <xdr:row>137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2601575" y="2104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2601575" y="2104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10</xdr:col>
      <xdr:colOff>28575</xdr:colOff>
      <xdr:row>248</xdr:row>
      <xdr:rowOff>0</xdr:rowOff>
    </xdr:from>
    <xdr:to>
      <xdr:col>14</xdr:col>
      <xdr:colOff>0</xdr:colOff>
      <xdr:row>248</xdr:row>
      <xdr:rowOff>114300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H="1">
          <a:off x="4581525" y="4851082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28575</xdr:colOff>
      <xdr:row>207</xdr:row>
      <xdr:rowOff>19051</xdr:rowOff>
    </xdr:from>
    <xdr:to>
      <xdr:col>13</xdr:col>
      <xdr:colOff>116649</xdr:colOff>
      <xdr:row>210</xdr:row>
      <xdr:rowOff>200025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43550" y="40071676"/>
          <a:ext cx="516699" cy="752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204</xdr:row>
          <xdr:rowOff>57150</xdr:rowOff>
        </xdr:from>
        <xdr:to>
          <xdr:col>7</xdr:col>
          <xdr:colOff>361950</xdr:colOff>
          <xdr:row>205</xdr:row>
          <xdr:rowOff>95250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247651</xdr:colOff>
      <xdr:row>250</xdr:row>
      <xdr:rowOff>57150</xdr:rowOff>
    </xdr:from>
    <xdr:to>
      <xdr:col>4</xdr:col>
      <xdr:colOff>400051</xdr:colOff>
      <xdr:row>252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66675</xdr:colOff>
      <xdr:row>260</xdr:row>
      <xdr:rowOff>95250</xdr:rowOff>
    </xdr:from>
    <xdr:to>
      <xdr:col>13</xdr:col>
      <xdr:colOff>457199</xdr:colOff>
      <xdr:row>260</xdr:row>
      <xdr:rowOff>114300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 flipH="1">
          <a:off x="4619625" y="556164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33</xdr:row>
      <xdr:rowOff>9525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8533F4CC-7041-472A-812C-0DBCAADCD92C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</xdr:col>
      <xdr:colOff>28575</xdr:colOff>
      <xdr:row>36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B41FF562-8464-44EE-B62E-12AD5755014D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</xdr:col>
      <xdr:colOff>163211</xdr:colOff>
      <xdr:row>23</xdr:row>
      <xdr:rowOff>48875</xdr:rowOff>
    </xdr:from>
    <xdr:to>
      <xdr:col>2</xdr:col>
      <xdr:colOff>101623</xdr:colOff>
      <xdr:row>28</xdr:row>
      <xdr:rowOff>207230</xdr:rowOff>
    </xdr:to>
    <xdr:sp macro="" textlink="">
      <xdr:nvSpPr>
        <xdr:cNvPr id="2" name="Flèche : vir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flipV="1">
          <a:off x="591836" y="7440275"/>
          <a:ext cx="509912" cy="1253730"/>
        </a:xfrm>
        <a:prstGeom prst="bentArrow">
          <a:avLst>
            <a:gd name="adj1" fmla="val 25000"/>
            <a:gd name="adj2" fmla="val 25000"/>
            <a:gd name="adj3" fmla="val 50000"/>
            <a:gd name="adj4" fmla="val 43750"/>
          </a:avLst>
        </a:prstGeom>
        <a:solidFill>
          <a:srgbClr val="00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328083</xdr:colOff>
      <xdr:row>31</xdr:row>
      <xdr:rowOff>63500</xdr:rowOff>
    </xdr:from>
    <xdr:to>
      <xdr:col>9</xdr:col>
      <xdr:colOff>10584</xdr:colOff>
      <xdr:row>33</xdr:row>
      <xdr:rowOff>31750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2995083" y="9218083"/>
          <a:ext cx="1841501" cy="412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338667</xdr:colOff>
      <xdr:row>31</xdr:row>
      <xdr:rowOff>31750</xdr:rowOff>
    </xdr:from>
    <xdr:to>
      <xdr:col>13</xdr:col>
      <xdr:colOff>412750</xdr:colOff>
      <xdr:row>32</xdr:row>
      <xdr:rowOff>148167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402917" y="9186333"/>
          <a:ext cx="1270000" cy="33866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85724</xdr:colOff>
      <xdr:row>46</xdr:row>
      <xdr:rowOff>28088</xdr:rowOff>
    </xdr:from>
    <xdr:to>
      <xdr:col>10</xdr:col>
      <xdr:colOff>255180</xdr:colOff>
      <xdr:row>49</xdr:row>
      <xdr:rowOff>21167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4" y="12241255"/>
          <a:ext cx="645706" cy="5645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43</xdr:row>
          <xdr:rowOff>95250</xdr:rowOff>
        </xdr:from>
        <xdr:to>
          <xdr:col>7</xdr:col>
          <xdr:colOff>9525</xdr:colOff>
          <xdr:row>44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264583</xdr:colOff>
      <xdr:row>46</xdr:row>
      <xdr:rowOff>1</xdr:rowOff>
    </xdr:from>
    <xdr:to>
      <xdr:col>11</xdr:col>
      <xdr:colOff>353631</xdr:colOff>
      <xdr:row>51</xdr:row>
      <xdr:rowOff>36391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0333" y="12213168"/>
          <a:ext cx="708173" cy="988890"/>
        </a:xfrm>
        <a:prstGeom prst="rect">
          <a:avLst/>
        </a:prstGeom>
      </xdr:spPr>
    </xdr:pic>
    <xdr:clientData/>
  </xdr:twoCellAnchor>
  <xdr:twoCellAnchor editAs="oneCell">
    <xdr:from>
      <xdr:col>11</xdr:col>
      <xdr:colOff>465666</xdr:colOff>
      <xdr:row>46</xdr:row>
      <xdr:rowOff>41842</xdr:rowOff>
    </xdr:from>
    <xdr:to>
      <xdr:col>13</xdr:col>
      <xdr:colOff>137582</xdr:colOff>
      <xdr:row>49</xdr:row>
      <xdr:rowOff>184304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29916" y="12255009"/>
          <a:ext cx="867833" cy="7139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78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161925</xdr:colOff>
      <xdr:row>75</xdr:row>
      <xdr:rowOff>76200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16306800" y="1723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16306800" y="1723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 editAs="oneCell">
    <xdr:from>
      <xdr:col>15</xdr:col>
      <xdr:colOff>285749</xdr:colOff>
      <xdr:row>128</xdr:row>
      <xdr:rowOff>12213</xdr:rowOff>
    </xdr:from>
    <xdr:to>
      <xdr:col>16</xdr:col>
      <xdr:colOff>142875</xdr:colOff>
      <xdr:row>129</xdr:row>
      <xdr:rowOff>100137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77124" y="28672938"/>
          <a:ext cx="285751" cy="278424"/>
        </a:xfrm>
        <a:prstGeom prst="rect">
          <a:avLst/>
        </a:prstGeom>
      </xdr:spPr>
    </xdr:pic>
    <xdr:clientData/>
  </xdr:twoCellAnchor>
  <xdr:twoCellAnchor editAs="oneCell">
    <xdr:from>
      <xdr:col>12</xdr:col>
      <xdr:colOff>17458</xdr:colOff>
      <xdr:row>126</xdr:row>
      <xdr:rowOff>19050</xdr:rowOff>
    </xdr:from>
    <xdr:to>
      <xdr:col>14</xdr:col>
      <xdr:colOff>381000</xdr:colOff>
      <xdr:row>129</xdr:row>
      <xdr:rowOff>184037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22958" y="27641550"/>
          <a:ext cx="1220792" cy="736487"/>
        </a:xfrm>
        <a:prstGeom prst="rect">
          <a:avLst/>
        </a:prstGeom>
      </xdr:spPr>
    </xdr:pic>
    <xdr:clientData/>
  </xdr:twoCellAnchor>
  <xdr:twoCellAnchor editAs="oneCell">
    <xdr:from>
      <xdr:col>23</xdr:col>
      <xdr:colOff>23813</xdr:colOff>
      <xdr:row>107</xdr:row>
      <xdr:rowOff>5808</xdr:rowOff>
    </xdr:from>
    <xdr:to>
      <xdr:col>27</xdr:col>
      <xdr:colOff>64290</xdr:colOff>
      <xdr:row>108</xdr:row>
      <xdr:rowOff>107156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56094" y="23044402"/>
          <a:ext cx="2588415" cy="315660"/>
        </a:xfrm>
        <a:prstGeom prst="rect">
          <a:avLst/>
        </a:prstGeom>
      </xdr:spPr>
    </xdr:pic>
    <xdr:clientData/>
  </xdr:twoCellAnchor>
  <xdr:twoCellAnchor editAs="oneCell">
    <xdr:from>
      <xdr:col>23</xdr:col>
      <xdr:colOff>166688</xdr:colOff>
      <xdr:row>105</xdr:row>
      <xdr:rowOff>119063</xdr:rowOff>
    </xdr:from>
    <xdr:to>
      <xdr:col>26</xdr:col>
      <xdr:colOff>1049910</xdr:colOff>
      <xdr:row>106</xdr:row>
      <xdr:rowOff>190500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98969" y="22729032"/>
          <a:ext cx="2169097" cy="2857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123</xdr:row>
          <xdr:rowOff>95250</xdr:rowOff>
        </xdr:from>
        <xdr:to>
          <xdr:col>7</xdr:col>
          <xdr:colOff>9525</xdr:colOff>
          <xdr:row>124</xdr:row>
          <xdr:rowOff>76200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207411</xdr:colOff>
      <xdr:row>125</xdr:row>
      <xdr:rowOff>37146</xdr:rowOff>
    </xdr:from>
    <xdr:to>
      <xdr:col>16</xdr:col>
      <xdr:colOff>279890</xdr:colOff>
      <xdr:row>127</xdr:row>
      <xdr:rowOff>157250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 rot="930338">
          <a:off x="7398786" y="28126371"/>
          <a:ext cx="501104" cy="50110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80122</xdr:colOff>
      <xdr:row>50</xdr:row>
      <xdr:rowOff>163443</xdr:rowOff>
    </xdr:from>
    <xdr:to>
      <xdr:col>26</xdr:col>
      <xdr:colOff>427974</xdr:colOff>
      <xdr:row>65</xdr:row>
      <xdr:rowOff>44823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7916" y="10327178"/>
          <a:ext cx="4348352" cy="2985410"/>
        </a:xfrm>
        <a:prstGeom prst="rect">
          <a:avLst/>
        </a:prstGeom>
      </xdr:spPr>
    </xdr:pic>
    <xdr:clientData/>
  </xdr:twoCellAnchor>
  <xdr:twoCellAnchor editAs="oneCell">
    <xdr:from>
      <xdr:col>18</xdr:col>
      <xdr:colOff>294715</xdr:colOff>
      <xdr:row>69</xdr:row>
      <xdr:rowOff>92101</xdr:rowOff>
    </xdr:from>
    <xdr:to>
      <xdr:col>28</xdr:col>
      <xdr:colOff>187699</xdr:colOff>
      <xdr:row>102</xdr:row>
      <xdr:rowOff>70620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61009" y="14121866"/>
          <a:ext cx="6638925" cy="6668430"/>
        </a:xfrm>
        <a:prstGeom prst="rect">
          <a:avLst/>
        </a:prstGeom>
      </xdr:spPr>
    </xdr:pic>
    <xdr:clientData/>
  </xdr:twoCellAnchor>
  <xdr:twoCellAnchor editAs="oneCell">
    <xdr:from>
      <xdr:col>16</xdr:col>
      <xdr:colOff>114300</xdr:colOff>
      <xdr:row>4</xdr:row>
      <xdr:rowOff>57151</xdr:rowOff>
    </xdr:from>
    <xdr:to>
      <xdr:col>23</xdr:col>
      <xdr:colOff>67727</xdr:colOff>
      <xdr:row>14</xdr:row>
      <xdr:rowOff>17786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29750" y="819151"/>
          <a:ext cx="3953927" cy="1989460"/>
        </a:xfrm>
        <a:prstGeom prst="rect">
          <a:avLst/>
        </a:prstGeom>
      </xdr:spPr>
    </xdr:pic>
    <xdr:clientData/>
  </xdr:twoCellAnchor>
  <xdr:twoCellAnchor editAs="oneCell">
    <xdr:from>
      <xdr:col>16</xdr:col>
      <xdr:colOff>119509</xdr:colOff>
      <xdr:row>14</xdr:row>
      <xdr:rowOff>76200</xdr:rowOff>
    </xdr:from>
    <xdr:to>
      <xdr:col>22</xdr:col>
      <xdr:colOff>372515</xdr:colOff>
      <xdr:row>27</xdr:row>
      <xdr:rowOff>48347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34959" y="2867025"/>
          <a:ext cx="3682006" cy="2553422"/>
        </a:xfrm>
        <a:prstGeom prst="rect">
          <a:avLst/>
        </a:prstGeom>
      </xdr:spPr>
    </xdr:pic>
    <xdr:clientData/>
  </xdr:twoCellAnchor>
  <xdr:twoCellAnchor>
    <xdr:from>
      <xdr:col>0</xdr:col>
      <xdr:colOff>280147</xdr:colOff>
      <xdr:row>95</xdr:row>
      <xdr:rowOff>124385</xdr:rowOff>
    </xdr:from>
    <xdr:to>
      <xdr:col>17</xdr:col>
      <xdr:colOff>324971</xdr:colOff>
      <xdr:row>118</xdr:row>
      <xdr:rowOff>112059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392723</xdr:colOff>
      <xdr:row>9</xdr:row>
      <xdr:rowOff>126023</xdr:rowOff>
    </xdr:from>
    <xdr:to>
      <xdr:col>50</xdr:col>
      <xdr:colOff>335905</xdr:colOff>
      <xdr:row>27</xdr:row>
      <xdr:rowOff>140429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5877" y="2016369"/>
          <a:ext cx="2375720" cy="3443406"/>
        </a:xfrm>
        <a:prstGeom prst="rect">
          <a:avLst/>
        </a:prstGeom>
      </xdr:spPr>
    </xdr:pic>
    <xdr:clientData/>
  </xdr:twoCellAnchor>
  <xdr:twoCellAnchor editAs="oneCell">
    <xdr:from>
      <xdr:col>23</xdr:col>
      <xdr:colOff>95314</xdr:colOff>
      <xdr:row>6</xdr:row>
      <xdr:rowOff>57342</xdr:rowOff>
    </xdr:from>
    <xdr:to>
      <xdr:col>24</xdr:col>
      <xdr:colOff>76200</xdr:colOff>
      <xdr:row>8</xdr:row>
      <xdr:rowOff>105069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flipH="1">
          <a:off x="4553014" y="1400367"/>
          <a:ext cx="95186" cy="438252"/>
        </a:xfrm>
        <a:prstGeom prst="rect">
          <a:avLst/>
        </a:prstGeom>
      </xdr:spPr>
    </xdr:pic>
    <xdr:clientData/>
  </xdr:twoCellAnchor>
  <xdr:twoCellAnchor editAs="oneCell">
    <xdr:from>
      <xdr:col>22</xdr:col>
      <xdr:colOff>120786</xdr:colOff>
      <xdr:row>13</xdr:row>
      <xdr:rowOff>106414</xdr:rowOff>
    </xdr:from>
    <xdr:to>
      <xdr:col>26</xdr:col>
      <xdr:colOff>92313</xdr:colOff>
      <xdr:row>14</xdr:row>
      <xdr:rowOff>3057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 flipH="1">
          <a:off x="4611165" y="2331160"/>
          <a:ext cx="87143" cy="438252"/>
        </a:xfrm>
        <a:prstGeom prst="rect">
          <a:avLst/>
        </a:prstGeom>
      </xdr:spPr>
    </xdr:pic>
    <xdr:clientData/>
  </xdr:twoCellAnchor>
  <xdr:twoCellAnchor editAs="oneCell">
    <xdr:from>
      <xdr:col>23</xdr:col>
      <xdr:colOff>115365</xdr:colOff>
      <xdr:row>18</xdr:row>
      <xdr:rowOff>92785</xdr:rowOff>
    </xdr:from>
    <xdr:to>
      <xdr:col>24</xdr:col>
      <xdr:colOff>88208</xdr:colOff>
      <xdr:row>20</xdr:row>
      <xdr:rowOff>150037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0800000" flipH="1">
          <a:off x="4573065" y="3207460"/>
          <a:ext cx="87143" cy="438252"/>
        </a:xfrm>
        <a:prstGeom prst="rect">
          <a:avLst/>
        </a:prstGeom>
      </xdr:spPr>
    </xdr:pic>
    <xdr:clientData/>
  </xdr:twoCellAnchor>
  <xdr:twoCellAnchor editAs="oneCell">
    <xdr:from>
      <xdr:col>22</xdr:col>
      <xdr:colOff>25537</xdr:colOff>
      <xdr:row>25</xdr:row>
      <xdr:rowOff>106415</xdr:rowOff>
    </xdr:from>
    <xdr:to>
      <xdr:col>26</xdr:col>
      <xdr:colOff>6589</xdr:colOff>
      <xdr:row>26</xdr:row>
      <xdr:rowOff>3058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6200000" flipH="1">
          <a:off x="4515916" y="4045661"/>
          <a:ext cx="87143" cy="438252"/>
        </a:xfrm>
        <a:prstGeom prst="rect">
          <a:avLst/>
        </a:prstGeom>
      </xdr:spPr>
    </xdr:pic>
    <xdr:clientData/>
  </xdr:twoCellAnchor>
  <xdr:twoCellAnchor editAs="oneCell">
    <xdr:from>
      <xdr:col>23</xdr:col>
      <xdr:colOff>115366</xdr:colOff>
      <xdr:row>30</xdr:row>
      <xdr:rowOff>16586</xdr:rowOff>
    </xdr:from>
    <xdr:to>
      <xdr:col>24</xdr:col>
      <xdr:colOff>88209</xdr:colOff>
      <xdr:row>32</xdr:row>
      <xdr:rowOff>73838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flipH="1">
          <a:off x="4573066" y="4845761"/>
          <a:ext cx="87143" cy="438252"/>
        </a:xfrm>
        <a:prstGeom prst="rect">
          <a:avLst/>
        </a:prstGeom>
      </xdr:spPr>
    </xdr:pic>
    <xdr:clientData/>
  </xdr:twoCellAnchor>
  <xdr:twoCellAnchor editAs="oneCell">
    <xdr:from>
      <xdr:col>24</xdr:col>
      <xdr:colOff>1066</xdr:colOff>
      <xdr:row>9</xdr:row>
      <xdr:rowOff>45162</xdr:rowOff>
    </xdr:from>
    <xdr:to>
      <xdr:col>24</xdr:col>
      <xdr:colOff>88209</xdr:colOff>
      <xdr:row>11</xdr:row>
      <xdr:rowOff>102414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2645273" flipH="1">
          <a:off x="4601641" y="1873962"/>
          <a:ext cx="87143" cy="438252"/>
        </a:xfrm>
        <a:prstGeom prst="rect">
          <a:avLst/>
        </a:prstGeom>
      </xdr:spPr>
    </xdr:pic>
    <xdr:clientData/>
  </xdr:twoCellAnchor>
  <xdr:twoCellAnchor editAs="oneCell">
    <xdr:from>
      <xdr:col>22</xdr:col>
      <xdr:colOff>111261</xdr:colOff>
      <xdr:row>16</xdr:row>
      <xdr:rowOff>68316</xdr:rowOff>
    </xdr:from>
    <xdr:to>
      <xdr:col>26</xdr:col>
      <xdr:colOff>92313</xdr:colOff>
      <xdr:row>16</xdr:row>
      <xdr:rowOff>155459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7857562" flipH="1">
          <a:off x="4601640" y="2721687"/>
          <a:ext cx="87143" cy="438252"/>
        </a:xfrm>
        <a:prstGeom prst="rect">
          <a:avLst/>
        </a:prstGeom>
      </xdr:spPr>
    </xdr:pic>
    <xdr:clientData/>
  </xdr:twoCellAnchor>
  <xdr:twoCellAnchor editAs="oneCell">
    <xdr:from>
      <xdr:col>22</xdr:col>
      <xdr:colOff>44586</xdr:colOff>
      <xdr:row>23</xdr:row>
      <xdr:rowOff>30216</xdr:rowOff>
    </xdr:from>
    <xdr:to>
      <xdr:col>26</xdr:col>
      <xdr:colOff>25638</xdr:colOff>
      <xdr:row>23</xdr:row>
      <xdr:rowOff>117359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3648137" flipH="1">
          <a:off x="4534965" y="3683712"/>
          <a:ext cx="87143" cy="438252"/>
        </a:xfrm>
        <a:prstGeom prst="rect">
          <a:avLst/>
        </a:prstGeom>
      </xdr:spPr>
    </xdr:pic>
    <xdr:clientData/>
  </xdr:twoCellAnchor>
  <xdr:twoCellAnchor editAs="oneCell">
    <xdr:from>
      <xdr:col>23</xdr:col>
      <xdr:colOff>67740</xdr:colOff>
      <xdr:row>27</xdr:row>
      <xdr:rowOff>7062</xdr:rowOff>
    </xdr:from>
    <xdr:to>
      <xdr:col>24</xdr:col>
      <xdr:colOff>40583</xdr:colOff>
      <xdr:row>29</xdr:row>
      <xdr:rowOff>64314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9035933" flipH="1">
          <a:off x="4525440" y="4407612"/>
          <a:ext cx="87143" cy="438252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5</xdr:row>
      <xdr:rowOff>2199</xdr:rowOff>
    </xdr:from>
    <xdr:to>
      <xdr:col>32</xdr:col>
      <xdr:colOff>28575</xdr:colOff>
      <xdr:row>5</xdr:row>
      <xdr:rowOff>2199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CxnSpPr/>
      </xdr:nvCxnSpPr>
      <xdr:spPr>
        <a:xfrm>
          <a:off x="4198327" y="1115891"/>
          <a:ext cx="73196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95250</xdr:colOff>
      <xdr:row>4</xdr:row>
      <xdr:rowOff>66676</xdr:rowOff>
    </xdr:from>
    <xdr:to>
      <xdr:col>22</xdr:col>
      <xdr:colOff>0</xdr:colOff>
      <xdr:row>5</xdr:row>
      <xdr:rowOff>1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 flipH="1" flipV="1">
          <a:off x="3004038" y="1107099"/>
          <a:ext cx="725366" cy="659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47</xdr:col>
      <xdr:colOff>351892</xdr:colOff>
      <xdr:row>37</xdr:row>
      <xdr:rowOff>166320</xdr:rowOff>
    </xdr:from>
    <xdr:to>
      <xdr:col>50</xdr:col>
      <xdr:colOff>369134</xdr:colOff>
      <xdr:row>52</xdr:row>
      <xdr:rowOff>110091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EBE31F5-AFC4-417E-A567-3B7366B9B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23180" y="7346705"/>
          <a:ext cx="1841646" cy="2801271"/>
        </a:xfrm>
        <a:prstGeom prst="rect">
          <a:avLst/>
        </a:prstGeom>
      </xdr:spPr>
    </xdr:pic>
    <xdr:clientData/>
  </xdr:twoCellAnchor>
  <xdr:twoCellAnchor editAs="oneCell">
    <xdr:from>
      <xdr:col>47</xdr:col>
      <xdr:colOff>301921</xdr:colOff>
      <xdr:row>54</xdr:row>
      <xdr:rowOff>12456</xdr:rowOff>
    </xdr:from>
    <xdr:to>
      <xdr:col>53</xdr:col>
      <xdr:colOff>398583</xdr:colOff>
      <xdr:row>67</xdr:row>
      <xdr:rowOff>127607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05F3BCD-8097-4CC3-81BF-9E7F5E8AE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73209" y="10431341"/>
          <a:ext cx="3745470" cy="259165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8</xdr:row>
      <xdr:rowOff>57150</xdr:rowOff>
    </xdr:from>
    <xdr:to>
      <xdr:col>25</xdr:col>
      <xdr:colOff>704850</xdr:colOff>
      <xdr:row>22</xdr:row>
      <xdr:rowOff>166687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236"/>
  <sheetViews>
    <sheetView tabSelected="1" topLeftCell="A5" zoomScaleNormal="100" workbookViewId="0">
      <selection activeCell="P16" sqref="P16:X16"/>
    </sheetView>
  </sheetViews>
  <sheetFormatPr baseColWidth="10" defaultColWidth="5.140625" defaultRowHeight="17.25" customHeight="1" outlineLevelRow="1" outlineLevelCol="1"/>
  <cols>
    <col min="1" max="1" width="6.42578125" style="16" customWidth="1"/>
    <col min="2" max="2" width="7.5703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3" width="6.42578125" style="16" customWidth="1"/>
    <col min="14" max="15" width="7.28515625" style="16" customWidth="1"/>
    <col min="16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549" t="s">
        <v>132</v>
      </c>
      <c r="D1" s="549"/>
      <c r="E1" s="549"/>
      <c r="F1" s="549"/>
      <c r="G1" s="537" t="s">
        <v>133</v>
      </c>
      <c r="H1" s="537"/>
      <c r="I1" s="537"/>
      <c r="J1" s="537"/>
      <c r="K1" s="537"/>
      <c r="L1" s="537"/>
      <c r="M1" s="537"/>
      <c r="N1" s="537"/>
      <c r="O1" s="537"/>
      <c r="P1" s="537"/>
      <c r="Q1" s="537"/>
      <c r="R1" s="537"/>
      <c r="S1" s="537"/>
      <c r="T1" s="537"/>
      <c r="U1" s="537"/>
      <c r="V1" s="537"/>
      <c r="W1" s="537"/>
      <c r="X1" s="537"/>
      <c r="Y1" s="537"/>
    </row>
    <row r="2" spans="2:66" ht="17.25" customHeight="1">
      <c r="C2" s="549"/>
      <c r="D2" s="549"/>
      <c r="E2" s="549"/>
      <c r="F2" s="549"/>
      <c r="G2" s="537"/>
      <c r="H2" s="537"/>
      <c r="I2" s="537"/>
      <c r="J2" s="537"/>
      <c r="K2" s="537"/>
      <c r="L2" s="537"/>
      <c r="M2" s="537"/>
      <c r="N2" s="537"/>
      <c r="O2" s="537"/>
      <c r="P2" s="537"/>
      <c r="Q2" s="537"/>
      <c r="R2" s="537"/>
      <c r="S2" s="537"/>
      <c r="T2" s="537"/>
      <c r="U2" s="537"/>
      <c r="V2" s="537"/>
      <c r="W2" s="537"/>
      <c r="X2" s="537"/>
      <c r="Y2" s="537"/>
    </row>
    <row r="3" spans="2:66" ht="17.25" customHeight="1">
      <c r="C3" s="549"/>
      <c r="D3" s="549"/>
      <c r="E3" s="549"/>
      <c r="F3" s="549"/>
      <c r="G3" s="546" t="s">
        <v>137</v>
      </c>
      <c r="H3" s="546"/>
      <c r="I3" s="546"/>
      <c r="J3" s="547" t="s">
        <v>136</v>
      </c>
      <c r="K3" s="547"/>
      <c r="L3" s="547"/>
      <c r="N3" s="561" t="s">
        <v>227</v>
      </c>
      <c r="O3" s="561"/>
      <c r="P3" s="561"/>
      <c r="Q3" s="513" t="s">
        <v>192</v>
      </c>
      <c r="R3" s="513"/>
      <c r="S3" s="513"/>
    </row>
    <row r="4" spans="2:66" ht="17.25" customHeight="1">
      <c r="C4" s="549"/>
      <c r="D4" s="549"/>
      <c r="E4" s="549"/>
      <c r="F4" s="549"/>
      <c r="G4" s="429"/>
      <c r="H4" s="429"/>
      <c r="I4" s="429"/>
      <c r="J4" s="548"/>
      <c r="K4" s="548"/>
      <c r="L4" s="548"/>
      <c r="N4" s="561"/>
      <c r="O4" s="561"/>
      <c r="P4" s="561"/>
      <c r="Q4" s="513"/>
      <c r="R4" s="513"/>
      <c r="S4" s="513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94" t="str" cm="1">
        <f t="array" ref="E7">dateDecimale2txt(dateConvert2Decimal(E8),0)</f>
        <v>2025/05/09</v>
      </c>
      <c r="F7" s="94"/>
      <c r="G7" s="95"/>
      <c r="H7" s="96"/>
      <c r="I7" s="94" t="str" cm="1">
        <f t="array" ref="I7">heureDecimal2Txt(E11)</f>
        <v>15:48:59.99(15.8166)</v>
      </c>
      <c r="J7" s="94"/>
      <c r="K7" s="94"/>
      <c r="L7" s="26"/>
      <c r="M7" s="26"/>
      <c r="N7" s="26" t="s">
        <v>317</v>
      </c>
      <c r="O7" s="26"/>
      <c r="P7" s="26"/>
      <c r="Q7" s="26"/>
      <c r="R7" s="26"/>
      <c r="S7" s="26" t="s">
        <v>318</v>
      </c>
      <c r="T7" s="508">
        <f>dateConvert2Decimal(E8)</f>
        <v>1746748800</v>
      </c>
      <c r="U7" s="508"/>
      <c r="V7" s="508"/>
      <c r="W7" s="26" t="s">
        <v>319</v>
      </c>
      <c r="X7" s="470">
        <f>(T7/86400)+DATE(1970,1,1)</f>
        <v>45786</v>
      </c>
      <c r="Y7" s="470"/>
      <c r="Z7" s="26" t="s">
        <v>320</v>
      </c>
      <c r="AA7" s="247">
        <f>INT(MONTH(X7))</f>
        <v>5</v>
      </c>
      <c r="AB7" s="62"/>
    </row>
    <row r="8" spans="2:66" ht="17.25" customHeight="1">
      <c r="C8" s="538" t="s">
        <v>1</v>
      </c>
      <c r="D8" s="539"/>
      <c r="E8" s="529" t="s">
        <v>871</v>
      </c>
      <c r="F8" s="530"/>
      <c r="G8" s="530"/>
      <c r="H8" s="59"/>
      <c r="I8" s="514"/>
      <c r="J8" s="514"/>
      <c r="K8" s="514"/>
      <c r="L8" s="514"/>
      <c r="M8" s="514"/>
      <c r="N8" s="514"/>
      <c r="O8" s="514"/>
      <c r="AC8" s="3" t="s">
        <v>162</v>
      </c>
      <c r="AD8" s="3" cm="1">
        <f t="array" ref="AD8">heureConvert2Decimal(I11)</f>
        <v>17.716666666666665</v>
      </c>
    </row>
    <row r="9" spans="2:66" ht="17.25" customHeight="1" thickBot="1">
      <c r="C9" s="540" t="s">
        <v>11</v>
      </c>
      <c r="D9" s="541"/>
      <c r="E9" s="540" t="s">
        <v>2</v>
      </c>
      <c r="F9" s="552"/>
      <c r="G9" s="552"/>
      <c r="H9" s="541"/>
      <c r="I9" s="526" t="s">
        <v>229</v>
      </c>
      <c r="J9" s="526"/>
      <c r="K9" s="526"/>
      <c r="L9" s="526" t="s">
        <v>225</v>
      </c>
      <c r="M9" s="526"/>
      <c r="N9" s="526"/>
      <c r="O9" s="526"/>
      <c r="P9" s="526"/>
      <c r="Q9" s="526" t="s">
        <v>226</v>
      </c>
      <c r="R9" s="526"/>
      <c r="S9" s="526"/>
      <c r="T9" s="526"/>
      <c r="U9" s="526"/>
      <c r="V9" s="637" t="s">
        <v>122</v>
      </c>
      <c r="W9" s="638"/>
      <c r="X9" s="638"/>
      <c r="Y9" s="639"/>
      <c r="AB9" s="63"/>
      <c r="AC9" s="3" t="s">
        <v>163</v>
      </c>
      <c r="AD9" s="67">
        <f>L11</f>
        <v>-2</v>
      </c>
    </row>
    <row r="10" spans="2:66" ht="17.25" customHeight="1">
      <c r="C10" s="542"/>
      <c r="D10" s="543"/>
      <c r="E10" s="544"/>
      <c r="F10" s="553"/>
      <c r="G10" s="553"/>
      <c r="H10" s="545"/>
      <c r="I10" s="526"/>
      <c r="J10" s="526"/>
      <c r="K10" s="526"/>
      <c r="L10" s="526"/>
      <c r="M10" s="526"/>
      <c r="N10" s="526"/>
      <c r="O10" s="526"/>
      <c r="P10" s="526"/>
      <c r="Q10" s="526"/>
      <c r="R10" s="526"/>
      <c r="S10" s="526"/>
      <c r="T10" s="526"/>
      <c r="U10" s="526"/>
      <c r="V10" s="640"/>
      <c r="W10" s="641"/>
      <c r="X10" s="641"/>
      <c r="Y10" s="642"/>
      <c r="AC10" s="3" t="s">
        <v>164</v>
      </c>
      <c r="AD10" s="3">
        <f>Q11/3600</f>
        <v>0</v>
      </c>
    </row>
    <row r="11" spans="2:66" ht="17.25" customHeight="1" thickBot="1">
      <c r="C11" s="544"/>
      <c r="D11" s="545"/>
      <c r="E11" s="649">
        <f>AD8+AD9+AD10+AD11</f>
        <v>15.816666666666665</v>
      </c>
      <c r="F11" s="650"/>
      <c r="G11" s="650"/>
      <c r="H11" s="651"/>
      <c r="I11" s="456" t="s">
        <v>862</v>
      </c>
      <c r="J11" s="456"/>
      <c r="K11" s="456"/>
      <c r="L11" s="635">
        <v>-2</v>
      </c>
      <c r="M11" s="635"/>
      <c r="N11" s="635"/>
      <c r="O11" s="635"/>
      <c r="P11" s="635"/>
      <c r="Q11" s="635">
        <v>0</v>
      </c>
      <c r="R11" s="635"/>
      <c r="S11" s="635"/>
      <c r="T11" s="635"/>
      <c r="U11" s="636"/>
      <c r="V11" s="634" t="s">
        <v>861</v>
      </c>
      <c r="W11" s="634"/>
      <c r="X11" s="634"/>
      <c r="Y11" s="634"/>
      <c r="AC11" s="3" t="s">
        <v>29</v>
      </c>
      <c r="AD11" s="3" cm="1">
        <f t="array" ref="AD11">heureConvert2Decimal(V11) / 60</f>
        <v>0.1</v>
      </c>
    </row>
    <row r="12" spans="2:66" customFormat="1" ht="17.25" customHeight="1" thickTop="1" thickBot="1">
      <c r="B12" s="16"/>
      <c r="E12" s="643" t="str" cm="1">
        <f t="array" ref="E12">heureDecimal2Txt(E11)</f>
        <v>15:48:59.99(15.8166)</v>
      </c>
      <c r="F12" s="644"/>
      <c r="G12" s="644"/>
      <c r="H12" s="645"/>
      <c r="I12" s="11"/>
      <c r="J12" s="11"/>
      <c r="K12" s="11"/>
      <c r="M12" t="s">
        <v>859</v>
      </c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 t="s">
        <v>860</v>
      </c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75"/>
      <c r="N14" s="75"/>
      <c r="O14" s="75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15" customHeight="1" thickBot="1">
      <c r="B15"/>
      <c r="C15" s="626" t="s">
        <v>165</v>
      </c>
      <c r="D15" s="627"/>
      <c r="E15" s="627"/>
      <c r="F15" s="627"/>
      <c r="G15" s="627"/>
      <c r="H15" s="627"/>
      <c r="I15" s="628"/>
      <c r="J15" s="629" t="s">
        <v>166</v>
      </c>
      <c r="K15" s="630"/>
      <c r="L15" s="630"/>
      <c r="M15" s="630"/>
      <c r="N15" s="630"/>
      <c r="O15" s="631"/>
      <c r="P15"/>
      <c r="Q15"/>
      <c r="R15"/>
      <c r="S15"/>
      <c r="T15"/>
      <c r="U15"/>
      <c r="V15"/>
      <c r="W15"/>
      <c r="X15"/>
      <c r="Y15"/>
      <c r="Z15"/>
      <c r="AA15"/>
      <c r="AC15" s="68" t="s">
        <v>166</v>
      </c>
      <c r="AD15" s="68" t="s">
        <v>167</v>
      </c>
    </row>
    <row r="16" spans="2:66" ht="15" customHeight="1" outlineLevel="1" thickTop="1" thickBot="1">
      <c r="C16" s="623" t="s">
        <v>127</v>
      </c>
      <c r="D16" s="624"/>
      <c r="E16" s="624"/>
      <c r="F16" s="624"/>
      <c r="G16" s="624"/>
      <c r="H16" s="624"/>
      <c r="I16" s="624"/>
      <c r="J16" s="472" cm="1">
        <f t="array" ref="J16">angleConvert2Decimal(M16)</f>
        <v>64.733333333333334</v>
      </c>
      <c r="K16" s="625"/>
      <c r="L16" s="625"/>
      <c r="M16" s="439" t="s">
        <v>864</v>
      </c>
      <c r="N16" s="601"/>
      <c r="O16" s="601"/>
      <c r="P16" s="438" t="str" cm="1">
        <f t="array" ref="P16">angleDecimal2Txt(J16)</f>
        <v>+64°44.00 (+64.7333) [+64°44'00.00]</v>
      </c>
      <c r="Q16" s="416"/>
      <c r="R16" s="416"/>
      <c r="S16" s="416"/>
      <c r="T16" s="416"/>
      <c r="U16" s="416"/>
      <c r="V16" s="416"/>
      <c r="W16" s="416"/>
      <c r="X16" s="416"/>
      <c r="Y16" s="14"/>
    </row>
    <row r="17" spans="2:34" ht="15" customHeight="1" outlineLevel="1" thickTop="1" thickBot="1">
      <c r="C17" s="477" t="s">
        <v>379</v>
      </c>
      <c r="D17" s="477"/>
      <c r="E17" s="477"/>
      <c r="F17" s="477"/>
      <c r="G17" s="477"/>
      <c r="H17" s="477"/>
      <c r="I17" s="477"/>
      <c r="J17" s="440" cm="1">
        <f t="array" ref="J17">angleConvert2Decimal(M17)</f>
        <v>0</v>
      </c>
      <c r="K17" s="441"/>
      <c r="L17" s="442"/>
      <c r="M17" s="439">
        <v>0</v>
      </c>
      <c r="N17" s="439"/>
      <c r="O17" s="439"/>
      <c r="P17" s="438" t="str" cm="1">
        <f t="array" ref="P17">angleDecimal2Txt(J17)</f>
        <v>+00°00.00 (+00.0000) [+00°00'00.00]</v>
      </c>
      <c r="Q17" s="416"/>
      <c r="R17" s="416"/>
      <c r="S17" s="416"/>
      <c r="T17" s="416"/>
      <c r="U17" s="416"/>
      <c r="V17" s="416"/>
      <c r="W17" s="416"/>
      <c r="X17" s="416"/>
      <c r="Y17" s="14"/>
    </row>
    <row r="18" spans="2:34" ht="15" customHeight="1" outlineLevel="1" thickTop="1" thickBot="1">
      <c r="C18" s="477" t="s">
        <v>135</v>
      </c>
      <c r="D18" s="477"/>
      <c r="E18" s="477"/>
      <c r="F18" s="477"/>
      <c r="G18" s="477"/>
      <c r="H18" s="477"/>
      <c r="I18" s="477"/>
      <c r="J18" s="632">
        <f>J16/2</f>
        <v>32.366666666666667</v>
      </c>
      <c r="K18" s="632"/>
      <c r="L18" s="632"/>
      <c r="M18" s="557">
        <v>0</v>
      </c>
      <c r="N18" s="557"/>
      <c r="O18" s="557"/>
      <c r="P18" s="416" t="str" cm="1">
        <f t="array" ref="P18">angleDecimal2Txt(J18)</f>
        <v>+32°22.00 (+32.3666) [+32°22'00.00]</v>
      </c>
      <c r="Q18" s="416"/>
      <c r="R18" s="416"/>
      <c r="S18" s="416"/>
      <c r="T18" s="416"/>
      <c r="U18" s="416"/>
      <c r="V18" s="416"/>
      <c r="W18" s="416"/>
      <c r="X18" s="416"/>
      <c r="Y18" s="14"/>
    </row>
    <row r="19" spans="2:34" ht="15" customHeight="1" thickTop="1" thickBot="1">
      <c r="C19" s="633" t="s">
        <v>19</v>
      </c>
      <c r="D19" s="633"/>
      <c r="E19" s="633"/>
      <c r="F19" s="633"/>
      <c r="G19" s="633"/>
      <c r="H19" s="633"/>
      <c r="I19" s="633"/>
      <c r="J19" s="620">
        <f>M19</f>
        <v>0</v>
      </c>
      <c r="K19" s="621"/>
      <c r="L19" s="622"/>
      <c r="M19" s="528">
        <v>0</v>
      </c>
      <c r="N19" s="528"/>
      <c r="O19" s="528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2:34" ht="15" customHeight="1" thickTop="1" thickBot="1">
      <c r="B20" s="14"/>
      <c r="C20" s="646" t="s">
        <v>566</v>
      </c>
      <c r="D20" s="647"/>
      <c r="E20" s="647"/>
      <c r="F20" s="647"/>
      <c r="G20" s="647"/>
      <c r="H20" s="647"/>
      <c r="I20" s="648"/>
      <c r="J20" s="440" cm="1">
        <f t="array" ref="J20">angleConvert2Decimal(M20)</f>
        <v>0.13333333333333333</v>
      </c>
      <c r="K20" s="441"/>
      <c r="L20" s="441"/>
      <c r="M20" s="527" t="s">
        <v>863</v>
      </c>
      <c r="N20" s="528"/>
      <c r="O20" s="528"/>
      <c r="P20" s="416" t="str" cm="1">
        <f t="array" ref="P20">angleDecimal2Txt(J20)</f>
        <v>+00°08.00 (+00.1333) [+00°08'00.00]</v>
      </c>
      <c r="Q20" s="416"/>
      <c r="R20" s="416"/>
      <c r="S20" s="416"/>
      <c r="T20" s="416"/>
      <c r="U20" s="416"/>
      <c r="V20" s="416"/>
      <c r="W20" s="416"/>
      <c r="X20" s="416"/>
      <c r="Y20" s="14"/>
    </row>
    <row r="21" spans="2:34" ht="15" customHeight="1" thickTop="1" thickBot="1">
      <c r="C21" s="492" t="s">
        <v>26</v>
      </c>
      <c r="D21" s="492"/>
      <c r="E21" s="492"/>
      <c r="F21" s="492"/>
      <c r="G21" s="492"/>
      <c r="H21" s="492"/>
      <c r="I21" s="492"/>
      <c r="J21" s="440">
        <f>IF(J15=AC15,J18,angleConvert2Decimal(M21))</f>
        <v>32.366666666666667</v>
      </c>
      <c r="K21" s="441"/>
      <c r="L21" s="441"/>
      <c r="M21" s="527" t="s">
        <v>621</v>
      </c>
      <c r="N21" s="528"/>
      <c r="O21" s="528"/>
      <c r="P21" s="416" t="str" cm="1">
        <f t="array" ref="P21">angleDecimal2Txt(J21)</f>
        <v>+32°22.00 (+32.3666) [+32°22'00.00]</v>
      </c>
      <c r="Q21" s="416"/>
      <c r="R21" s="416"/>
      <c r="S21" s="416"/>
      <c r="T21" s="416"/>
      <c r="U21" s="416"/>
      <c r="V21" s="416"/>
      <c r="W21" s="416"/>
      <c r="X21" s="416"/>
      <c r="Y21" s="14"/>
    </row>
    <row r="22" spans="2:34" ht="15" hidden="1" customHeight="1" outlineLevel="1" thickTop="1">
      <c r="C22" s="568" t="s">
        <v>30</v>
      </c>
      <c r="D22" s="568"/>
      <c r="E22" s="568"/>
      <c r="F22" s="568"/>
      <c r="G22" s="568"/>
      <c r="H22" s="568"/>
      <c r="I22" s="568"/>
      <c r="J22" s="463" t="str">
        <f>M22</f>
        <v>Soleil</v>
      </c>
      <c r="K22" s="464"/>
      <c r="L22" s="465"/>
      <c r="M22" s="495" t="s">
        <v>31</v>
      </c>
      <c r="N22" s="496"/>
      <c r="O22" s="497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2:34" ht="15" customHeight="1" collapsed="1" thickTop="1">
      <c r="C23" s="600" t="s">
        <v>56</v>
      </c>
      <c r="D23" s="600"/>
      <c r="E23" s="600"/>
      <c r="F23" s="600"/>
      <c r="G23" s="600"/>
      <c r="H23" s="600"/>
      <c r="I23" s="600"/>
      <c r="J23" s="602" t="str">
        <f>M23</f>
        <v>BordInf</v>
      </c>
      <c r="K23" s="602"/>
      <c r="L23" s="602"/>
      <c r="M23" s="601" t="s">
        <v>57</v>
      </c>
      <c r="N23" s="601"/>
      <c r="O23" s="601"/>
      <c r="P23" s="14"/>
      <c r="Q23" s="14"/>
      <c r="R23" s="14"/>
      <c r="S23" s="14"/>
      <c r="T23" s="14"/>
      <c r="U23" s="14"/>
      <c r="V23" s="14"/>
      <c r="W23" s="14"/>
      <c r="X23" s="14"/>
      <c r="Y23" s="14"/>
      <c r="AG23" s="16"/>
      <c r="AH23" s="16"/>
    </row>
    <row r="24" spans="2:34" ht="15" customHeight="1" thickBot="1">
      <c r="C24" s="562" t="s">
        <v>151</v>
      </c>
      <c r="D24" s="563"/>
      <c r="E24" s="563"/>
      <c r="F24" s="589" t="s">
        <v>152</v>
      </c>
      <c r="G24" s="589"/>
      <c r="H24" s="589"/>
      <c r="I24" s="590"/>
      <c r="J24" s="425" cm="1">
        <f t="array" ref="J24">angleConvert2Decimal(M24)</f>
        <v>2.8833333333333302E-3</v>
      </c>
      <c r="K24" s="426"/>
      <c r="L24" s="427"/>
      <c r="M24" s="419">
        <f>P25</f>
        <v>2.8833333333333302E-3</v>
      </c>
      <c r="N24" s="420"/>
      <c r="O24" s="420"/>
      <c r="P24" s="510" t="s">
        <v>97</v>
      </c>
      <c r="Q24" s="511"/>
      <c r="R24" s="512"/>
      <c r="S24" s="14"/>
      <c r="T24" s="14"/>
      <c r="U24" s="14"/>
      <c r="V24" s="14"/>
      <c r="W24" s="14"/>
      <c r="X24" s="14"/>
      <c r="Y24" s="14"/>
      <c r="AG24" s="16"/>
      <c r="AH24" s="16"/>
    </row>
    <row r="25" spans="2:34" ht="15" customHeight="1" thickTop="1" thickBot="1">
      <c r="C25" s="564"/>
      <c r="D25" s="565"/>
      <c r="E25" s="565"/>
      <c r="F25" s="591"/>
      <c r="G25" s="591"/>
      <c r="H25" s="591"/>
      <c r="I25" s="592"/>
      <c r="J25" s="428"/>
      <c r="K25" s="429"/>
      <c r="L25" s="430"/>
      <c r="M25" s="421"/>
      <c r="N25" s="422"/>
      <c r="O25" s="422"/>
      <c r="P25" s="599" cm="1">
        <f t="array" ref="P25">astroHPSoleilEnDegre()</f>
        <v>2.8833333333333302E-3</v>
      </c>
      <c r="Q25" s="599"/>
      <c r="R25" s="599"/>
      <c r="S25" s="559" t="str" cm="1">
        <f t="array" ref="S25">angleDecimal2Txt(angleConvert2Decimal(P25))</f>
        <v>+00°00.17 (+00.0028) [+00°00'10.37]</v>
      </c>
      <c r="T25" s="559"/>
      <c r="U25" s="559"/>
      <c r="V25" s="559"/>
      <c r="W25" s="559"/>
      <c r="X25" s="560"/>
      <c r="Y25" s="14"/>
    </row>
    <row r="26" spans="2:34" ht="15" customHeight="1" thickTop="1" thickBot="1">
      <c r="C26" s="566"/>
      <c r="D26" s="567"/>
      <c r="E26" s="567"/>
      <c r="F26" s="593"/>
      <c r="G26" s="593"/>
      <c r="H26" s="593"/>
      <c r="I26" s="594"/>
      <c r="J26" s="431"/>
      <c r="K26" s="432"/>
      <c r="L26" s="433"/>
      <c r="M26" s="423"/>
      <c r="N26" s="424"/>
      <c r="O26" s="424"/>
      <c r="P26" s="509" t="str" cm="1">
        <f t="array" ref="P26">angleDecimal2Txt(J24)</f>
        <v>+00°00.17 (+00.0028) [+00°00'10.37]</v>
      </c>
      <c r="Q26" s="509"/>
      <c r="R26" s="509"/>
      <c r="S26" s="416"/>
      <c r="T26" s="416"/>
      <c r="U26" s="416"/>
      <c r="V26" s="416"/>
      <c r="W26" s="416"/>
      <c r="X26" s="416"/>
      <c r="Y26" s="14"/>
      <c r="AC26" s="69" t="s">
        <v>98</v>
      </c>
      <c r="AD26" s="70" t="s">
        <v>57</v>
      </c>
      <c r="AE26" s="70" t="s">
        <v>188</v>
      </c>
      <c r="AF26" s="70" t="s">
        <v>58</v>
      </c>
    </row>
    <row r="27" spans="2:34" ht="15" customHeight="1" thickTop="1" thickBot="1">
      <c r="C27" s="499" t="s">
        <v>100</v>
      </c>
      <c r="D27" s="500"/>
      <c r="E27" s="500"/>
      <c r="F27" s="500"/>
      <c r="G27" s="500"/>
      <c r="H27" s="500"/>
      <c r="I27" s="501"/>
      <c r="J27" s="425" cm="1">
        <f t="array" ref="J27">angleConvert2Decimal(M27)</f>
        <v>0.52666666699999998</v>
      </c>
      <c r="K27" s="426"/>
      <c r="L27" s="427"/>
      <c r="M27" s="419">
        <f>P28</f>
        <v>0.52666666699999998</v>
      </c>
      <c r="N27" s="420"/>
      <c r="O27" s="420"/>
      <c r="P27" s="586" t="s">
        <v>97</v>
      </c>
      <c r="Q27" s="587"/>
      <c r="R27" s="588"/>
      <c r="S27" s="14"/>
      <c r="T27" s="14"/>
      <c r="U27" s="14"/>
      <c r="V27" s="14"/>
      <c r="W27" s="14"/>
      <c r="X27" s="14"/>
      <c r="Y27" s="14"/>
    </row>
    <row r="28" spans="2:34" ht="15" customHeight="1" thickTop="1" thickBot="1">
      <c r="C28" s="502"/>
      <c r="D28" s="503"/>
      <c r="E28" s="503"/>
      <c r="F28" s="503"/>
      <c r="G28" s="503"/>
      <c r="H28" s="503"/>
      <c r="I28" s="504"/>
      <c r="J28" s="428"/>
      <c r="K28" s="429"/>
      <c r="L28" s="430"/>
      <c r="M28" s="421"/>
      <c r="N28" s="422"/>
      <c r="O28" s="422"/>
      <c r="P28" s="599" cm="1">
        <f t="array" ref="P28">astroDiametreSoleilEnDegre(AA7)</f>
        <v>0.52666666699999998</v>
      </c>
      <c r="Q28" s="599"/>
      <c r="R28" s="599"/>
      <c r="S28" s="559" t="str" cm="1">
        <f t="array" ref="S28">angleDecimal2Txt(angleConvert2Decimal(P28))</f>
        <v>+00°31.60 (+00.5266) [+00°31'36.00]</v>
      </c>
      <c r="T28" s="559"/>
      <c r="U28" s="559"/>
      <c r="V28" s="559"/>
      <c r="W28" s="559"/>
      <c r="X28" s="560"/>
      <c r="Y28" s="14"/>
    </row>
    <row r="29" spans="2:34" ht="15" customHeight="1" thickTop="1" thickBot="1">
      <c r="C29" s="505"/>
      <c r="D29" s="506"/>
      <c r="E29" s="506"/>
      <c r="F29" s="506"/>
      <c r="G29" s="506"/>
      <c r="H29" s="506"/>
      <c r="I29" s="507"/>
      <c r="J29" s="431"/>
      <c r="K29" s="432"/>
      <c r="L29" s="433"/>
      <c r="M29" s="423"/>
      <c r="N29" s="424"/>
      <c r="O29" s="424"/>
      <c r="P29" s="509" t="str" cm="1">
        <f t="array" ref="P29">angleDecimal2Txt(J27)</f>
        <v>+00°31.60 (+00.5266) [+00°31'36.00]</v>
      </c>
      <c r="Q29" s="509"/>
      <c r="R29" s="509"/>
      <c r="S29" s="416"/>
      <c r="T29" s="416"/>
      <c r="U29" s="416"/>
      <c r="V29" s="416"/>
      <c r="W29" s="416"/>
      <c r="X29" s="416"/>
      <c r="Y29" s="14"/>
    </row>
    <row r="30" spans="2:34" ht="17.25" customHeight="1" thickTop="1" thickBot="1"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</row>
    <row r="31" spans="2:34" ht="17.25" customHeight="1" thickBot="1">
      <c r="B31" s="25" t="s">
        <v>199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62"/>
    </row>
    <row r="32" spans="2:34" ht="17.25" customHeight="1" thickTop="1" thickBot="1">
      <c r="C32" s="598" t="s">
        <v>7</v>
      </c>
      <c r="D32" s="598"/>
      <c r="E32" s="598"/>
      <c r="F32" s="598"/>
      <c r="G32" s="573">
        <f>AD33</f>
        <v>-27.5</v>
      </c>
      <c r="H32" s="574"/>
      <c r="I32" s="574"/>
      <c r="J32" s="455" t="s">
        <v>4</v>
      </c>
      <c r="K32" s="558" t="s">
        <v>622</v>
      </c>
      <c r="L32" s="455"/>
      <c r="M32" s="455"/>
      <c r="N32" s="455"/>
      <c r="O32" s="455"/>
      <c r="P32" s="493" t="str" cm="1">
        <f t="array" ref="P32">latitudeDecimal2Txt(G32)</f>
        <v>S 27°30.00 (S 27.5000) [S 27°30'00.00]</v>
      </c>
      <c r="Q32" s="493"/>
      <c r="R32" s="493"/>
      <c r="S32" s="493"/>
      <c r="T32" s="493"/>
      <c r="U32" s="493"/>
      <c r="V32" s="493"/>
      <c r="W32" s="493"/>
      <c r="X32" s="493"/>
      <c r="Y32" s="493"/>
      <c r="AC32" s="3" t="s">
        <v>168</v>
      </c>
      <c r="AD32" s="3">
        <f>VLOOKUP(J32,Outils!$C$9:$E$10,3)</f>
        <v>-1</v>
      </c>
    </row>
    <row r="33" spans="1:66" ht="17.25" customHeight="1" thickTop="1" thickBot="1">
      <c r="A33" s="820" t="s">
        <v>129</v>
      </c>
      <c r="B33" s="311" t="s">
        <v>130</v>
      </c>
      <c r="C33" s="598"/>
      <c r="D33" s="598"/>
      <c r="E33" s="598"/>
      <c r="F33" s="598"/>
      <c r="G33" s="574"/>
      <c r="H33" s="574"/>
      <c r="I33" s="574"/>
      <c r="J33" s="455"/>
      <c r="K33" s="455"/>
      <c r="L33" s="455"/>
      <c r="M33" s="455"/>
      <c r="N33" s="455"/>
      <c r="O33" s="455"/>
      <c r="P33" s="493"/>
      <c r="Q33" s="493"/>
      <c r="R33" s="493"/>
      <c r="S33" s="493"/>
      <c r="T33" s="493"/>
      <c r="U33" s="493"/>
      <c r="V33" s="493"/>
      <c r="W33" s="493"/>
      <c r="X33" s="493"/>
      <c r="Y33" s="493"/>
      <c r="AC33" s="3" t="s">
        <v>169</v>
      </c>
      <c r="AD33" s="3" cm="1">
        <f t="array" ref="AD33">angleConvert2Decimal(K32)*AD32</f>
        <v>-27.5</v>
      </c>
    </row>
    <row r="34" spans="1:66" ht="17.25" customHeight="1" thickTop="1" thickBot="1">
      <c r="A34" s="820"/>
      <c r="B34" s="311" t="s">
        <v>138</v>
      </c>
      <c r="C34" s="710" t="s">
        <v>8</v>
      </c>
      <c r="D34" s="710"/>
      <c r="E34" s="710"/>
      <c r="F34" s="710"/>
      <c r="G34" s="573">
        <f>AD35</f>
        <v>63</v>
      </c>
      <c r="H34" s="574"/>
      <c r="I34" s="574"/>
      <c r="J34" s="455" t="s">
        <v>5</v>
      </c>
      <c r="K34" s="558" t="s">
        <v>623</v>
      </c>
      <c r="L34" s="455"/>
      <c r="M34" s="455"/>
      <c r="N34" s="455"/>
      <c r="O34" s="455"/>
      <c r="P34" s="493" t="str" cm="1">
        <f t="array" ref="P34">longitudeDecimal2Txt(G34)</f>
        <v>E 63°00.00 (E 63.0000) [E 63°00'00.00]</v>
      </c>
      <c r="Q34" s="493"/>
      <c r="R34" s="493"/>
      <c r="S34" s="493"/>
      <c r="T34" s="493"/>
      <c r="U34" s="493"/>
      <c r="V34" s="493"/>
      <c r="W34" s="493"/>
      <c r="X34" s="493"/>
      <c r="Y34" s="493"/>
      <c r="Z34" s="14"/>
      <c r="AC34" s="3" t="s">
        <v>170</v>
      </c>
      <c r="AD34" s="3">
        <f>VLOOKUP(J34,Outils!$D$9:$E$10,2)</f>
        <v>1</v>
      </c>
      <c r="BN34" s="31"/>
    </row>
    <row r="35" spans="1:66" ht="17.25" customHeight="1" thickTop="1" thickBot="1">
      <c r="C35" s="710"/>
      <c r="D35" s="710"/>
      <c r="E35" s="710"/>
      <c r="F35" s="710"/>
      <c r="G35" s="574"/>
      <c r="H35" s="574"/>
      <c r="I35" s="574"/>
      <c r="J35" s="455"/>
      <c r="K35" s="455"/>
      <c r="L35" s="455"/>
      <c r="M35" s="455"/>
      <c r="N35" s="455"/>
      <c r="O35" s="455"/>
      <c r="P35" s="493"/>
      <c r="Q35" s="493"/>
      <c r="R35" s="493"/>
      <c r="S35" s="493"/>
      <c r="T35" s="493"/>
      <c r="U35" s="493"/>
      <c r="V35" s="493"/>
      <c r="W35" s="493"/>
      <c r="X35" s="493"/>
      <c r="Y35" s="493"/>
      <c r="Z35" s="14"/>
      <c r="AC35" s="3" t="s">
        <v>171</v>
      </c>
      <c r="AD35" s="3" cm="1">
        <f t="array" ref="AD35">angleConvert2Decimal(K34)*AD34</f>
        <v>63</v>
      </c>
      <c r="BN35" s="31"/>
    </row>
    <row r="36" spans="1:66" ht="17.25" customHeight="1" thickTop="1">
      <c r="B36" s="14"/>
      <c r="C36" s="16"/>
      <c r="D36" s="14"/>
      <c r="E36" s="14"/>
      <c r="F36" s="14"/>
      <c r="G36" s="14"/>
      <c r="H36" s="14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N36" s="31"/>
    </row>
    <row r="37" spans="1:66" ht="17.25" customHeight="1" thickBot="1"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</row>
    <row r="38" spans="1:66" ht="17.25" customHeight="1" thickBot="1">
      <c r="B38" s="25" t="s">
        <v>9</v>
      </c>
      <c r="C38" s="75"/>
      <c r="D38" s="75"/>
      <c r="E38" s="75"/>
      <c r="F38" s="478">
        <f>IF(G39=AD39,D42,IF(G39=AD38,D55,D49))</f>
        <v>23.122277777777775</v>
      </c>
      <c r="G38" s="498"/>
      <c r="H38" s="498"/>
      <c r="I38" s="26"/>
      <c r="J38" s="26"/>
      <c r="K38" s="26" t="str" cm="1">
        <f t="array" ref="K38">latitudeDecimal2Txt(F38)</f>
        <v>N 23°07.33 (N 23.1222) [N 23°07'20.19]</v>
      </c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64"/>
      <c r="AD38" s="68" t="s">
        <v>562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</row>
    <row r="39" spans="1:66" s="33" customFormat="1" ht="17.25" customHeight="1">
      <c r="C39" s="551" t="s">
        <v>35</v>
      </c>
      <c r="D39" s="551"/>
      <c r="E39" s="551"/>
      <c r="F39" s="551"/>
      <c r="G39" s="554" t="s">
        <v>10</v>
      </c>
      <c r="H39" s="555"/>
      <c r="I39" s="556"/>
      <c r="AB39" s="65"/>
      <c r="AC39" s="664" t="s">
        <v>36</v>
      </c>
      <c r="AD39" s="68" t="s">
        <v>10</v>
      </c>
      <c r="AE39"/>
      <c r="BA39"/>
      <c r="BB39"/>
      <c r="BC39"/>
      <c r="BD39"/>
      <c r="BE39"/>
      <c r="BF39"/>
      <c r="BG39"/>
      <c r="BH39"/>
      <c r="BI39"/>
      <c r="BJ39"/>
      <c r="BK39"/>
      <c r="BL39"/>
      <c r="BM39"/>
    </row>
    <row r="40" spans="1:66" ht="17.25" hidden="1" customHeight="1" outlineLevel="1">
      <c r="C40" s="821" t="s">
        <v>10</v>
      </c>
      <c r="D40" s="823" t="s">
        <v>9</v>
      </c>
      <c r="E40" s="585"/>
      <c r="F40" s="585"/>
      <c r="G40" s="585"/>
      <c r="H40" s="585"/>
      <c r="I40" s="448" t="s">
        <v>626</v>
      </c>
      <c r="J40" s="541"/>
      <c r="K40" s="448" t="s">
        <v>13</v>
      </c>
      <c r="L40" s="449"/>
      <c r="M40" s="450"/>
      <c r="N40" s="454" t="s">
        <v>15</v>
      </c>
      <c r="O40" s="454"/>
      <c r="P40" s="454"/>
      <c r="Q40" s="454"/>
      <c r="R40" s="454"/>
      <c r="S40" s="14"/>
      <c r="AC40" s="664"/>
      <c r="AD40" s="68" t="s">
        <v>14</v>
      </c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</row>
    <row r="41" spans="1:66" ht="17.25" hidden="1" customHeight="1" outlineLevel="1" thickBot="1">
      <c r="C41" s="821"/>
      <c r="D41" s="823"/>
      <c r="E41" s="585"/>
      <c r="F41" s="585"/>
      <c r="G41" s="585"/>
      <c r="H41" s="585"/>
      <c r="I41" s="544"/>
      <c r="J41" s="545"/>
      <c r="K41" s="451"/>
      <c r="L41" s="452"/>
      <c r="M41" s="453"/>
      <c r="N41" s="454"/>
      <c r="O41" s="454"/>
      <c r="P41" s="454"/>
      <c r="Q41" s="454"/>
      <c r="R41" s="454"/>
      <c r="S41" s="14"/>
      <c r="AD41" s="71" t="s">
        <v>73</v>
      </c>
      <c r="AE41" s="3" t="s">
        <v>180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</row>
    <row r="42" spans="1:66" ht="17.25" hidden="1" customHeight="1" outlineLevel="1" thickTop="1" thickBot="1">
      <c r="C42" s="821"/>
      <c r="D42" s="426">
        <f>IF(G39=AD39,AD47,"---")</f>
        <v>23.122277777777775</v>
      </c>
      <c r="E42" s="426"/>
      <c r="F42" s="426"/>
      <c r="G42" s="426"/>
      <c r="H42" s="427"/>
      <c r="I42" s="693">
        <f>E11</f>
        <v>15.816666666666665</v>
      </c>
      <c r="J42" s="694"/>
      <c r="K42" s="479">
        <v>10</v>
      </c>
      <c r="L42" s="480"/>
      <c r="M42" s="481"/>
      <c r="N42" s="455" t="s">
        <v>3</v>
      </c>
      <c r="O42" s="456" t="s">
        <v>546</v>
      </c>
      <c r="P42" s="457"/>
      <c r="Q42" s="457"/>
      <c r="R42" s="457"/>
      <c r="S42" s="493" t="str" cm="1">
        <f t="array" ref="S42">angleDecimal2Txt(AE42)</f>
        <v>+23°08.50 (+23.1416) [+23°08'30.00]</v>
      </c>
      <c r="T42" s="494"/>
      <c r="U42" s="494"/>
      <c r="V42" s="494"/>
      <c r="W42" s="494"/>
      <c r="AC42" s="3" t="s">
        <v>172</v>
      </c>
      <c r="AD42" s="3">
        <f>VLOOKUP(N42,Outils!$C$9:$E$10,3)</f>
        <v>1</v>
      </c>
      <c r="AE42" s="3" cm="1">
        <f t="array" ref="AE42">AD42*angleConvert2Decimal(O42)</f>
        <v>23.141666666666666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</row>
    <row r="43" spans="1:66" ht="17.25" hidden="1" customHeight="1" outlineLevel="1" thickTop="1" thickBot="1">
      <c r="C43" s="821"/>
      <c r="D43" s="429"/>
      <c r="E43" s="429"/>
      <c r="F43" s="429"/>
      <c r="G43" s="429"/>
      <c r="H43" s="430"/>
      <c r="I43" s="434"/>
      <c r="J43" s="822"/>
      <c r="K43" s="482"/>
      <c r="L43" s="483"/>
      <c r="M43" s="484"/>
      <c r="N43" s="455"/>
      <c r="O43" s="458"/>
      <c r="P43" s="458"/>
      <c r="Q43" s="458"/>
      <c r="R43" s="458"/>
      <c r="S43" s="494"/>
      <c r="T43" s="494"/>
      <c r="U43" s="494"/>
      <c r="V43" s="494"/>
      <c r="W43" s="494"/>
      <c r="AC43" s="3" t="s">
        <v>173</v>
      </c>
      <c r="AD43" s="3">
        <f>VLOOKUP(N44,Outils!$C$9:$E$10,3)</f>
        <v>1</v>
      </c>
      <c r="AE43" s="3" cm="1">
        <f t="array" ref="AE43">AD43*angleConvert2Decimal(O44)</f>
        <v>23.138333333333332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</row>
    <row r="44" spans="1:66" ht="17.25" hidden="1" customHeight="1" outlineLevel="1" thickTop="1" thickBot="1">
      <c r="C44" s="821"/>
      <c r="D44" s="429"/>
      <c r="E44" s="429"/>
      <c r="F44" s="429"/>
      <c r="G44" s="429"/>
      <c r="H44" s="430"/>
      <c r="I44" s="434"/>
      <c r="J44" s="822"/>
      <c r="K44" s="569">
        <v>11</v>
      </c>
      <c r="L44" s="570"/>
      <c r="M44" s="571"/>
      <c r="N44" s="455" t="s">
        <v>3</v>
      </c>
      <c r="O44" s="491" t="s">
        <v>547</v>
      </c>
      <c r="P44" s="458"/>
      <c r="Q44" s="458"/>
      <c r="R44" s="458"/>
      <c r="S44" s="493" t="str" cm="1">
        <f t="array" ref="S44">angleDecimal2Txt((AE43))</f>
        <v>+23°08.30 (+23.1383) [+23°08'18.00]</v>
      </c>
      <c r="T44" s="494"/>
      <c r="U44" s="494"/>
      <c r="V44" s="494"/>
      <c r="W44" s="494"/>
      <c r="AC44" s="3" t="s">
        <v>38</v>
      </c>
      <c r="AD44" s="5">
        <f>AE43-AE42</f>
        <v>-3.3333333333338544E-3</v>
      </c>
    </row>
    <row r="45" spans="1:66" ht="17.25" hidden="1" customHeight="1" outlineLevel="1" thickTop="1" thickBot="1">
      <c r="C45" s="821"/>
      <c r="D45" s="604" t="str" cm="1">
        <f t="array" ref="D45">latitudeDecimal2Txt(D42)</f>
        <v>N 23°07.33 (N 23.1222) [N 23°07'20.19]</v>
      </c>
      <c r="E45" s="414"/>
      <c r="F45" s="414"/>
      <c r="G45" s="414"/>
      <c r="H45" s="414"/>
      <c r="I45" s="695"/>
      <c r="J45" s="696"/>
      <c r="K45" s="482"/>
      <c r="L45" s="483"/>
      <c r="M45" s="484"/>
      <c r="N45" s="455"/>
      <c r="O45" s="458"/>
      <c r="P45" s="458"/>
      <c r="Q45" s="458"/>
      <c r="R45" s="458"/>
      <c r="S45" s="494"/>
      <c r="T45" s="494"/>
      <c r="U45" s="494"/>
      <c r="V45" s="494"/>
      <c r="W45" s="494"/>
      <c r="AC45" s="3" t="s">
        <v>174</v>
      </c>
      <c r="AD45" s="5">
        <f>K44-K42</f>
        <v>1</v>
      </c>
      <c r="AE45" s="16"/>
      <c r="AF45" s="16"/>
      <c r="AG45" s="16"/>
      <c r="AH45" s="16"/>
    </row>
    <row r="46" spans="1:66" ht="17.25" customHeight="1" collapsed="1">
      <c r="F46" s="16"/>
      <c r="G46" s="16"/>
      <c r="AC46" s="3" t="s">
        <v>39</v>
      </c>
      <c r="AD46" s="5">
        <f>I42-K42</f>
        <v>5.8166666666666647</v>
      </c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</row>
    <row r="47" spans="1:66" ht="17.25" hidden="1" customHeight="1" outlineLevel="1">
      <c r="C47" s="605" t="s">
        <v>14</v>
      </c>
      <c r="D47" s="585" t="s">
        <v>9</v>
      </c>
      <c r="E47" s="585"/>
      <c r="F47" s="585"/>
      <c r="G47" s="585"/>
      <c r="H47" s="585"/>
      <c r="I47" s="448" t="s">
        <v>626</v>
      </c>
      <c r="J47" s="541"/>
      <c r="K47" s="448" t="s">
        <v>618</v>
      </c>
      <c r="L47" s="449"/>
      <c r="M47" s="450"/>
      <c r="N47" s="454" t="s">
        <v>16</v>
      </c>
      <c r="O47" s="454"/>
      <c r="P47" s="454"/>
      <c r="Q47" s="454"/>
      <c r="R47" s="454"/>
      <c r="S47" s="454" t="s">
        <v>131</v>
      </c>
      <c r="T47" s="454"/>
      <c r="U47" s="454"/>
      <c r="V47" s="454"/>
      <c r="W47" s="454"/>
      <c r="AA47" s="14"/>
      <c r="AC47" s="3" t="s">
        <v>37</v>
      </c>
      <c r="AD47" s="3">
        <f>AE42+(AD44/AD45)*AD46</f>
        <v>23.122277777777775</v>
      </c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</row>
    <row r="48" spans="1:66" ht="17.25" hidden="1" customHeight="1" outlineLevel="1">
      <c r="C48" s="605"/>
      <c r="D48" s="585"/>
      <c r="E48" s="585"/>
      <c r="F48" s="585"/>
      <c r="G48" s="585"/>
      <c r="H48" s="585"/>
      <c r="I48" s="544"/>
      <c r="J48" s="545"/>
      <c r="K48" s="451"/>
      <c r="L48" s="452"/>
      <c r="M48" s="453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AA48" s="14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</row>
    <row r="49" spans="1:52" ht="17.25" hidden="1" customHeight="1" outlineLevel="1">
      <c r="C49" s="605"/>
      <c r="D49" s="426" t="str">
        <f>IF(G39=AD40,AD53,"---")</f>
        <v>---</v>
      </c>
      <c r="E49" s="426"/>
      <c r="F49" s="426"/>
      <c r="G49" s="426"/>
      <c r="H49" s="426"/>
      <c r="I49" s="579">
        <f>E11</f>
        <v>15.816666666666665</v>
      </c>
      <c r="J49" s="579"/>
      <c r="K49" s="443">
        <v>0</v>
      </c>
      <c r="L49" s="443"/>
      <c r="M49" s="666"/>
      <c r="N49" s="455" t="s">
        <v>3</v>
      </c>
      <c r="O49" s="669" t="s">
        <v>617</v>
      </c>
      <c r="P49" s="670"/>
      <c r="Q49" s="670"/>
      <c r="R49" s="670"/>
      <c r="S49" s="455" t="s">
        <v>3</v>
      </c>
      <c r="T49" s="669">
        <f>0.2/60</f>
        <v>3.3333333333333335E-3</v>
      </c>
      <c r="U49" s="670"/>
      <c r="V49" s="670"/>
      <c r="W49" s="670"/>
      <c r="AA49" s="14"/>
      <c r="AC49" s="3" t="s">
        <v>175</v>
      </c>
      <c r="AD49" s="3">
        <f>VLOOKUP(N49,Outils!$C$9:$E$10,3)</f>
        <v>1</v>
      </c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</row>
    <row r="50" spans="1:52" ht="17.25" hidden="1" customHeight="1" outlineLevel="1" thickBot="1">
      <c r="C50" s="605"/>
      <c r="D50" s="429"/>
      <c r="E50" s="429"/>
      <c r="F50" s="429"/>
      <c r="G50" s="429"/>
      <c r="H50" s="429"/>
      <c r="I50" s="579"/>
      <c r="J50" s="579"/>
      <c r="K50" s="445"/>
      <c r="L50" s="445"/>
      <c r="M50" s="667"/>
      <c r="N50" s="455"/>
      <c r="O50" s="455"/>
      <c r="P50" s="455"/>
      <c r="Q50" s="455"/>
      <c r="R50" s="455"/>
      <c r="S50" s="455"/>
      <c r="T50" s="455"/>
      <c r="U50" s="455"/>
      <c r="V50" s="455"/>
      <c r="W50" s="455"/>
      <c r="Z50" s="14"/>
      <c r="AA50" s="14"/>
      <c r="AC50" s="3" t="s">
        <v>176</v>
      </c>
      <c r="AD50" s="3" cm="1">
        <f t="array" ref="AD50">angleConvert2Decimal(O49)*AD49</f>
        <v>23.176666666666666</v>
      </c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</row>
    <row r="51" spans="1:52" ht="17.25" hidden="1" customHeight="1" outlineLevel="1" thickTop="1" thickBot="1">
      <c r="C51" s="605"/>
      <c r="D51" s="604" t="e" cm="1">
        <f t="array" ref="D51">latitudeDecimal2Txt(D49)</f>
        <v>#VALUE!</v>
      </c>
      <c r="E51" s="414"/>
      <c r="F51" s="414"/>
      <c r="G51" s="414"/>
      <c r="H51" s="684"/>
      <c r="I51" s="579"/>
      <c r="J51" s="579"/>
      <c r="K51" s="603" t="str" cm="1">
        <f t="array" ref="K51">heureDecimal2Txt(K49)</f>
        <v>00:00:00.00(00.0000)</v>
      </c>
      <c r="L51" s="603"/>
      <c r="M51" s="604"/>
      <c r="N51" s="416" t="str" cm="1">
        <f t="array" ref="N51">angleDecimal2Txt(AD50)</f>
        <v>+23°10.59 (+23.1766) [+23°10'36.00]</v>
      </c>
      <c r="O51" s="416"/>
      <c r="P51" s="416"/>
      <c r="Q51" s="416"/>
      <c r="R51" s="416"/>
      <c r="S51" s="416" t="str" cm="1">
        <f t="array" ref="S51">angleDecimal2Txt(AD52)</f>
        <v>+00°00.19 (+00.0033) [+00°00'11.99]</v>
      </c>
      <c r="T51" s="671"/>
      <c r="U51" s="671"/>
      <c r="V51" s="671"/>
      <c r="W51" s="671"/>
      <c r="Z51" s="14"/>
      <c r="AC51" s="3" t="s">
        <v>177</v>
      </c>
      <c r="AD51" s="3">
        <f>VLOOKUP(S49,Outils!$C$9:$E$10,3)</f>
        <v>1</v>
      </c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</row>
    <row r="52" spans="1:52" ht="17.25" customHeight="1" collapsed="1">
      <c r="A52" s="34" t="s">
        <v>544</v>
      </c>
      <c r="F52" s="16"/>
      <c r="G52" s="16"/>
      <c r="I52"/>
      <c r="Z52" s="14"/>
      <c r="AC52" s="3" t="s">
        <v>178</v>
      </c>
      <c r="AD52" s="3" cm="1">
        <f t="array" ref="AD52">angleConvert2Decimal(T49)*AD51</f>
        <v>3.3333333333333301E-3</v>
      </c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</row>
    <row r="53" spans="1:52" ht="17.25" customHeight="1" outlineLevel="1">
      <c r="C53" s="605" t="s">
        <v>627</v>
      </c>
      <c r="D53" s="585" t="s">
        <v>9</v>
      </c>
      <c r="E53" s="585"/>
      <c r="F53" s="585"/>
      <c r="G53" s="585"/>
      <c r="H53" s="585"/>
      <c r="I53" s="531" t="s">
        <v>563</v>
      </c>
      <c r="J53" s="532"/>
      <c r="K53" s="532"/>
      <c r="L53" s="532"/>
      <c r="M53" s="533"/>
      <c r="AC53" s="3" t="s">
        <v>179</v>
      </c>
      <c r="AD53" s="3">
        <f>AD50+AD52*(I49-K49)</f>
        <v>23.229388888888888</v>
      </c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</row>
    <row r="54" spans="1:52" ht="17.25" customHeight="1" outlineLevel="1">
      <c r="C54" s="605"/>
      <c r="D54" s="585"/>
      <c r="E54" s="585"/>
      <c r="F54" s="585"/>
      <c r="G54" s="585"/>
      <c r="H54" s="585"/>
      <c r="I54" s="534"/>
      <c r="J54" s="535"/>
      <c r="K54" s="535"/>
      <c r="L54" s="535"/>
      <c r="M54" s="536"/>
      <c r="S54"/>
      <c r="T54"/>
      <c r="U54"/>
      <c r="V54"/>
      <c r="W54"/>
      <c r="X54"/>
      <c r="Y54"/>
      <c r="AC54" s="3"/>
      <c r="AD54" s="3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</row>
    <row r="55" spans="1:52" ht="17.25" customHeight="1" outlineLevel="1">
      <c r="C55" s="605"/>
      <c r="D55" s="428" t="str">
        <f>IF(G39=AD38,AD56,"---")</f>
        <v>---</v>
      </c>
      <c r="E55" s="429"/>
      <c r="F55" s="429"/>
      <c r="G55" s="429"/>
      <c r="H55" s="429"/>
      <c r="I55" s="490" t="s">
        <v>3</v>
      </c>
      <c r="J55" s="597" t="s">
        <v>625</v>
      </c>
      <c r="K55" s="597"/>
      <c r="L55" s="597"/>
      <c r="M55" s="597"/>
      <c r="U55"/>
      <c r="V55"/>
      <c r="W55"/>
      <c r="X55"/>
      <c r="Y55"/>
      <c r="AC55" s="3" t="s">
        <v>175</v>
      </c>
      <c r="AD55" s="3">
        <f>VLOOKUP(I55,Outils!$C$9:$E$10,3)</f>
        <v>1</v>
      </c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</row>
    <row r="56" spans="1:52" ht="17.25" customHeight="1" outlineLevel="1" thickBot="1">
      <c r="C56" s="605"/>
      <c r="D56" s="606"/>
      <c r="E56" s="607"/>
      <c r="F56" s="607"/>
      <c r="G56" s="607"/>
      <c r="H56" s="607"/>
      <c r="I56" s="490"/>
      <c r="J56" s="597"/>
      <c r="K56" s="597"/>
      <c r="L56" s="597"/>
      <c r="M56" s="597"/>
      <c r="U56"/>
      <c r="V56"/>
      <c r="W56"/>
      <c r="X56"/>
      <c r="Y56"/>
      <c r="AC56" s="3" t="s">
        <v>176</v>
      </c>
      <c r="AD56" s="3" cm="1">
        <f t="array" ref="AD56">angleConvert2Decimal(J55)*AD55</f>
        <v>14.728333333333333</v>
      </c>
      <c r="AG56" s="408"/>
    </row>
    <row r="57" spans="1:52" ht="17.25" customHeight="1" outlineLevel="1" thickTop="1" thickBot="1">
      <c r="C57" s="605"/>
      <c r="D57" s="414" t="str" cm="1">
        <f t="array" ref="D57">latitudeDecimal2Txt(AD56)</f>
        <v>N 14°43.70 (N 14.7283) [N 14°43'42.00]</v>
      </c>
      <c r="E57" s="414"/>
      <c r="F57" s="414"/>
      <c r="G57" s="414"/>
      <c r="H57" s="414"/>
      <c r="I57"/>
      <c r="J57"/>
      <c r="K57"/>
      <c r="L57"/>
      <c r="N57"/>
      <c r="O57"/>
      <c r="U57"/>
      <c r="V57"/>
      <c r="W57"/>
      <c r="X57"/>
      <c r="Y57"/>
      <c r="AC57">
        <f>YEAR($X$7)</f>
        <v>2025</v>
      </c>
      <c r="AD57">
        <f>MONTH($X$7)</f>
        <v>5</v>
      </c>
      <c r="AE57">
        <f>DAY($X$7)</f>
        <v>9</v>
      </c>
      <c r="AF57" s="215">
        <f>INT(E11)</f>
        <v>15</v>
      </c>
      <c r="AG57" s="215">
        <f>INT(((3600*E11-3600*AF57)/60)+0.000001)</f>
        <v>49</v>
      </c>
      <c r="AH57" s="407">
        <f>((E11*3600 - AG57*60 -AF57*3600))</f>
        <v>-7.2759576141834259E-12</v>
      </c>
      <c r="AI57" t="s">
        <v>872</v>
      </c>
    </row>
    <row r="58" spans="1:52" ht="17.25" customHeight="1" thickTop="1" thickBot="1">
      <c r="C58"/>
      <c r="D58"/>
      <c r="E58"/>
      <c r="F58" s="16"/>
      <c r="G58" s="16"/>
      <c r="N58"/>
      <c r="O58"/>
      <c r="U58"/>
      <c r="V58"/>
      <c r="W58"/>
      <c r="X58"/>
      <c r="Y58"/>
    </row>
    <row r="59" spans="1:52" ht="17.25" customHeight="1" thickBot="1">
      <c r="A59" s="33"/>
      <c r="B59" s="25" t="s">
        <v>134</v>
      </c>
      <c r="C59" s="75"/>
      <c r="D59" s="75"/>
      <c r="E59" s="75"/>
      <c r="F59" s="478">
        <f>IF(G60=AD60,D63,IF(G60=AD59,D76,D70))</f>
        <v>416.30530555555555</v>
      </c>
      <c r="G59" s="498"/>
      <c r="H59" s="498"/>
      <c r="I59" s="26"/>
      <c r="J59" s="26"/>
      <c r="K59" s="26"/>
      <c r="L59" s="550">
        <f>F59-360</f>
        <v>56.305305555555549</v>
      </c>
      <c r="M59" s="550"/>
      <c r="N59" s="26" t="s">
        <v>28</v>
      </c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4"/>
      <c r="AD59" s="68" t="s">
        <v>561</v>
      </c>
    </row>
    <row r="60" spans="1:52" ht="17.25" customHeight="1">
      <c r="B60" s="33"/>
      <c r="C60" s="551" t="s">
        <v>35</v>
      </c>
      <c r="D60" s="551"/>
      <c r="E60" s="551"/>
      <c r="F60" s="551"/>
      <c r="G60" s="595" t="s">
        <v>10</v>
      </c>
      <c r="H60" s="595"/>
      <c r="I60" s="596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65"/>
      <c r="AC60" s="664" t="s">
        <v>36</v>
      </c>
      <c r="AD60" s="68" t="s">
        <v>10</v>
      </c>
    </row>
    <row r="61" spans="1:52" ht="17.25" customHeight="1" outlineLevel="1">
      <c r="C61" s="821" t="s">
        <v>10</v>
      </c>
      <c r="D61" s="542" t="s">
        <v>416</v>
      </c>
      <c r="E61" s="824"/>
      <c r="F61" s="824"/>
      <c r="G61" s="824"/>
      <c r="H61" s="824"/>
      <c r="I61" s="449" t="s">
        <v>626</v>
      </c>
      <c r="J61" s="541"/>
      <c r="K61" s="448" t="s">
        <v>13</v>
      </c>
      <c r="L61" s="449"/>
      <c r="M61" s="450"/>
      <c r="N61" s="531" t="s">
        <v>15</v>
      </c>
      <c r="O61" s="532"/>
      <c r="P61" s="532"/>
      <c r="Q61" s="532"/>
      <c r="R61" s="533"/>
      <c r="S61" s="14"/>
      <c r="AC61" s="664"/>
      <c r="AD61" s="68" t="s">
        <v>14</v>
      </c>
    </row>
    <row r="62" spans="1:52" ht="17.25" customHeight="1" outlineLevel="1" thickBot="1">
      <c r="C62" s="821"/>
      <c r="D62" s="544"/>
      <c r="E62" s="553"/>
      <c r="F62" s="553"/>
      <c r="G62" s="553"/>
      <c r="H62" s="553"/>
      <c r="I62" s="553"/>
      <c r="J62" s="545"/>
      <c r="K62" s="451"/>
      <c r="L62" s="452"/>
      <c r="M62" s="453"/>
      <c r="N62" s="709"/>
      <c r="O62" s="535"/>
      <c r="P62" s="535"/>
      <c r="Q62" s="535"/>
      <c r="R62" s="536"/>
      <c r="S62" s="14"/>
      <c r="AD62" s="71" t="s">
        <v>73</v>
      </c>
      <c r="AE62" s="3" t="s">
        <v>629</v>
      </c>
      <c r="AF62" s="3" t="s">
        <v>180</v>
      </c>
    </row>
    <row r="63" spans="1:52" ht="17.25" customHeight="1" outlineLevel="1" thickTop="1" thickBot="1">
      <c r="C63" s="821"/>
      <c r="D63" s="425">
        <f>IF(G60=AD60,AF68,"---")</f>
        <v>416.30530555555555</v>
      </c>
      <c r="E63" s="426"/>
      <c r="F63" s="426"/>
      <c r="G63" s="426"/>
      <c r="H63" s="427"/>
      <c r="I63" s="693">
        <f>E11</f>
        <v>15.816666666666665</v>
      </c>
      <c r="J63" s="694"/>
      <c r="K63" s="488">
        <v>10</v>
      </c>
      <c r="L63" s="443"/>
      <c r="M63" s="444"/>
      <c r="N63" s="579" t="s">
        <v>5</v>
      </c>
      <c r="O63" s="681" t="s">
        <v>548</v>
      </c>
      <c r="P63" s="681"/>
      <c r="Q63" s="681"/>
      <c r="R63" s="682"/>
      <c r="S63" s="578" t="str" cm="1">
        <f t="array" ref="S63">angleDecimal2Txt(AF63)</f>
        <v>+329°03.89 (+329.0649) [+329°03'54.00]</v>
      </c>
      <c r="T63" s="578"/>
      <c r="U63" s="578"/>
      <c r="V63" s="578"/>
      <c r="W63" s="578"/>
      <c r="X63" s="578"/>
      <c r="Z63"/>
      <c r="AC63" s="3" t="s">
        <v>172</v>
      </c>
      <c r="AD63" s="3">
        <f>VLOOKUP(N63,Outils!$D$9:$E$10,2)</f>
        <v>1</v>
      </c>
      <c r="AE63" s="3" cm="1">
        <f t="array" ref="AE63">angleConvert2Decimal(O63)</f>
        <v>329.065</v>
      </c>
      <c r="AF63" s="3">
        <f>AE63*AD63</f>
        <v>329.065</v>
      </c>
    </row>
    <row r="64" spans="1:52" ht="17.25" customHeight="1" outlineLevel="1" thickTop="1" thickBot="1">
      <c r="C64" s="821"/>
      <c r="D64" s="428"/>
      <c r="E64" s="429"/>
      <c r="F64" s="429"/>
      <c r="G64" s="429"/>
      <c r="H64" s="430"/>
      <c r="I64" s="434"/>
      <c r="J64" s="822"/>
      <c r="K64" s="489"/>
      <c r="L64" s="445"/>
      <c r="M64" s="446"/>
      <c r="N64" s="579"/>
      <c r="O64" s="582"/>
      <c r="P64" s="582"/>
      <c r="Q64" s="582"/>
      <c r="R64" s="583"/>
      <c r="S64" s="578"/>
      <c r="T64" s="578"/>
      <c r="U64" s="578"/>
      <c r="V64" s="578"/>
      <c r="W64" s="578"/>
      <c r="X64" s="578"/>
      <c r="Z64"/>
      <c r="AC64" s="3" t="s">
        <v>173</v>
      </c>
      <c r="AD64" s="3">
        <f>VLOOKUP(N65,Outils!$D$9:$E$10,2)</f>
        <v>1</v>
      </c>
      <c r="AE64" s="3" cm="1">
        <f t="array" ref="AE64">angleConvert2Decimal(O65)</f>
        <v>344.06333333333333</v>
      </c>
      <c r="AF64" s="3">
        <f>AD64*IF(AE64&lt;AE63,AE64+360,AE64)</f>
        <v>344.06333333333333</v>
      </c>
    </row>
    <row r="65" spans="1:66" ht="17.25" customHeight="1" outlineLevel="1" thickTop="1" thickBot="1">
      <c r="C65" s="821"/>
      <c r="D65" s="428"/>
      <c r="E65" s="429"/>
      <c r="F65" s="429"/>
      <c r="G65" s="429"/>
      <c r="H65" s="430"/>
      <c r="I65" s="434"/>
      <c r="J65" s="822"/>
      <c r="K65" s="678">
        <v>11</v>
      </c>
      <c r="L65" s="679"/>
      <c r="M65" s="680"/>
      <c r="N65" s="579" t="s">
        <v>5</v>
      </c>
      <c r="O65" s="580" t="s">
        <v>549</v>
      </c>
      <c r="P65" s="580"/>
      <c r="Q65" s="580"/>
      <c r="R65" s="581"/>
      <c r="S65" s="578" t="str" cm="1">
        <f t="array" ref="S65">angleDecimal2Txt((AF64))</f>
        <v>+344°03.79 (+344.0633) [+344°03'48.00]</v>
      </c>
      <c r="T65" s="578"/>
      <c r="U65" s="578"/>
      <c r="V65" s="578"/>
      <c r="W65" s="578"/>
      <c r="X65" s="578"/>
      <c r="Z65"/>
      <c r="AC65" s="3" t="s">
        <v>38</v>
      </c>
      <c r="AD65" s="5">
        <f>AF64-AF63</f>
        <v>14.998333333333335</v>
      </c>
    </row>
    <row r="66" spans="1:66" ht="17.25" customHeight="1" outlineLevel="1" thickTop="1" thickBot="1">
      <c r="C66" s="821"/>
      <c r="D66" s="414" t="str" cm="1">
        <f t="array" ref="D66">angleDecimal2Txt(D63)</f>
        <v>+416°18.31 (+416.3053) [+416°18'19.09]</v>
      </c>
      <c r="E66" s="414"/>
      <c r="F66" s="414"/>
      <c r="G66" s="414"/>
      <c r="H66" s="414"/>
      <c r="I66" s="695"/>
      <c r="J66" s="696"/>
      <c r="K66" s="489"/>
      <c r="L66" s="445"/>
      <c r="M66" s="446"/>
      <c r="N66" s="579"/>
      <c r="O66" s="582"/>
      <c r="P66" s="582"/>
      <c r="Q66" s="582"/>
      <c r="R66" s="583"/>
      <c r="S66" s="578"/>
      <c r="T66" s="578"/>
      <c r="U66" s="578"/>
      <c r="V66" s="578"/>
      <c r="W66" s="578"/>
      <c r="X66" s="578"/>
      <c r="Z66"/>
      <c r="AC66" s="3" t="s">
        <v>174</v>
      </c>
      <c r="AD66" s="5">
        <f>K65-K63</f>
        <v>1</v>
      </c>
      <c r="AE66" s="16"/>
    </row>
    <row r="67" spans="1:66" ht="17.25" customHeight="1" thickTop="1">
      <c r="F67" s="16"/>
      <c r="G67" s="16"/>
      <c r="Z67"/>
      <c r="AC67" s="3" t="s">
        <v>39</v>
      </c>
      <c r="AD67" s="5">
        <f>I63-K63</f>
        <v>5.8166666666666647</v>
      </c>
    </row>
    <row r="68" spans="1:66" ht="17.25" hidden="1" customHeight="1" outlineLevel="1">
      <c r="C68" s="825" t="s">
        <v>14</v>
      </c>
      <c r="D68" s="585" t="s">
        <v>416</v>
      </c>
      <c r="E68" s="585"/>
      <c r="F68" s="585"/>
      <c r="G68" s="585"/>
      <c r="H68" s="585"/>
      <c r="I68" s="826" t="s">
        <v>626</v>
      </c>
      <c r="J68" s="585"/>
      <c r="K68" s="449" t="s">
        <v>618</v>
      </c>
      <c r="L68" s="449"/>
      <c r="M68" s="450"/>
      <c r="N68" s="531" t="s">
        <v>16</v>
      </c>
      <c r="O68" s="532"/>
      <c r="P68" s="532"/>
      <c r="Q68" s="532"/>
      <c r="R68" s="533"/>
      <c r="S68" s="531" t="s">
        <v>94</v>
      </c>
      <c r="T68" s="532"/>
      <c r="U68" s="532"/>
      <c r="V68" s="532"/>
      <c r="W68" s="533"/>
      <c r="Z68"/>
      <c r="AA68" s="14"/>
      <c r="AC68" s="3" t="s">
        <v>268</v>
      </c>
      <c r="AD68" s="3">
        <f>IF(AF68&gt;360,AF68-360,AF68)</f>
        <v>56.305305555555549</v>
      </c>
      <c r="AE68" s="3" t="s">
        <v>37</v>
      </c>
      <c r="AF68" s="3">
        <f>(AF63+(AD65/AD66)*AD67)</f>
        <v>416.30530555555555</v>
      </c>
    </row>
    <row r="69" spans="1:66" ht="17.25" hidden="1" customHeight="1" outlineLevel="1">
      <c r="C69" s="825"/>
      <c r="D69" s="585"/>
      <c r="E69" s="585"/>
      <c r="F69" s="585"/>
      <c r="G69" s="585"/>
      <c r="H69" s="585"/>
      <c r="I69" s="585"/>
      <c r="J69" s="585"/>
      <c r="K69" s="452"/>
      <c r="L69" s="452"/>
      <c r="M69" s="453"/>
      <c r="N69" s="709"/>
      <c r="O69" s="535"/>
      <c r="P69" s="535"/>
      <c r="Q69" s="535"/>
      <c r="R69" s="536"/>
      <c r="S69" s="709"/>
      <c r="T69" s="760"/>
      <c r="U69" s="760"/>
      <c r="V69" s="760"/>
      <c r="W69" s="761"/>
      <c r="Z69"/>
      <c r="AA69" s="14"/>
    </row>
    <row r="70" spans="1:66" ht="17.25" hidden="1" customHeight="1" outlineLevel="1">
      <c r="C70" s="825"/>
      <c r="D70" s="584" t="str">
        <f>IF(G60=AD61,AF74,"---")</f>
        <v>---</v>
      </c>
      <c r="E70" s="584"/>
      <c r="F70" s="584"/>
      <c r="G70" s="584"/>
      <c r="H70" s="584"/>
      <c r="I70" s="579">
        <f>E11</f>
        <v>15.816666666666665</v>
      </c>
      <c r="J70" s="579"/>
      <c r="K70" s="443">
        <v>0</v>
      </c>
      <c r="L70" s="443"/>
      <c r="M70" s="444"/>
      <c r="N70" s="579" t="s">
        <v>5</v>
      </c>
      <c r="O70" s="480" t="s">
        <v>619</v>
      </c>
      <c r="P70" s="480"/>
      <c r="Q70" s="480"/>
      <c r="R70" s="480"/>
      <c r="S70" s="579" t="s">
        <v>5</v>
      </c>
      <c r="T70" s="708">
        <v>14.997999999999999</v>
      </c>
      <c r="U70" s="579"/>
      <c r="V70" s="579"/>
      <c r="W70" s="579"/>
      <c r="AA70" s="14"/>
      <c r="AC70" s="3" t="s">
        <v>175</v>
      </c>
      <c r="AD70" s="3">
        <f>VLOOKUP(N70,Outils!$D$9:$E$10,2)</f>
        <v>1</v>
      </c>
    </row>
    <row r="71" spans="1:66" ht="17.25" hidden="1" customHeight="1" outlineLevel="1" collapsed="1" thickBot="1">
      <c r="C71" s="825"/>
      <c r="D71" s="584"/>
      <c r="E71" s="584"/>
      <c r="F71" s="584"/>
      <c r="G71" s="584"/>
      <c r="H71" s="584"/>
      <c r="I71" s="579"/>
      <c r="J71" s="579"/>
      <c r="K71" s="445"/>
      <c r="L71" s="445"/>
      <c r="M71" s="446"/>
      <c r="N71" s="579"/>
      <c r="O71" s="668"/>
      <c r="P71" s="668"/>
      <c r="Q71" s="668"/>
      <c r="R71" s="668"/>
      <c r="S71" s="579"/>
      <c r="T71" s="579"/>
      <c r="U71" s="579"/>
      <c r="V71" s="579"/>
      <c r="W71" s="579"/>
      <c r="Z71" s="14"/>
      <c r="AA71" s="14"/>
      <c r="AC71" s="3" t="s">
        <v>176</v>
      </c>
      <c r="AD71" s="3" cm="1">
        <f t="array" ref="AD71">angleConvert2Decimal(O70)*AD70</f>
        <v>180.03333333333333</v>
      </c>
    </row>
    <row r="72" spans="1:66" ht="17.25" hidden="1" customHeight="1" outlineLevel="1" thickTop="1" thickBot="1">
      <c r="C72" s="825"/>
      <c r="D72" s="414" t="e" cm="1">
        <f t="array" ref="D72">angleDecimal2Txt(D70)</f>
        <v>#VALUE!</v>
      </c>
      <c r="E72" s="414"/>
      <c r="F72" s="414"/>
      <c r="G72" s="414"/>
      <c r="H72" s="414"/>
      <c r="I72" s="579"/>
      <c r="J72" s="579"/>
      <c r="K72" s="603" t="str" cm="1">
        <f t="array" ref="K72">heureDecimal2Txt(K70)</f>
        <v>00:00:00.00(00.0000)</v>
      </c>
      <c r="L72" s="603"/>
      <c r="M72" s="604"/>
      <c r="N72" s="509" t="str" cm="1">
        <f t="array" ref="N72">angleDecimal2Txt(AD71)</f>
        <v>+180°02.00 (+180.0333) [+180°02'00.00]</v>
      </c>
      <c r="O72" s="416"/>
      <c r="P72" s="416"/>
      <c r="Q72" s="416"/>
      <c r="R72" s="416"/>
      <c r="S72" s="509" t="str" cm="1">
        <f t="array" ref="S72">angleDecimal2Txt(AD73)</f>
        <v>+14°59.87 (+14.9979) [+14°59'52.79]</v>
      </c>
      <c r="T72" s="672"/>
      <c r="U72" s="672"/>
      <c r="V72" s="672"/>
      <c r="W72" s="672"/>
      <c r="Z72" s="14"/>
      <c r="AC72" s="3" t="s">
        <v>177</v>
      </c>
      <c r="AD72" s="3">
        <f>VLOOKUP(S70,Outils!$D$9:$E$10,2)</f>
        <v>1</v>
      </c>
    </row>
    <row r="73" spans="1:66" ht="17.25" customHeight="1" collapsed="1">
      <c r="A73" s="34" t="s">
        <v>544</v>
      </c>
      <c r="F73" s="16"/>
      <c r="G73" s="16"/>
      <c r="Z73" s="14"/>
      <c r="AC73" s="3" t="s">
        <v>178</v>
      </c>
      <c r="AD73" s="3" cm="1">
        <f t="array" ref="AD73">angleConvert2Decimal(T70)*AD72</f>
        <v>14.997999999999999</v>
      </c>
    </row>
    <row r="74" spans="1:66" ht="17.25" hidden="1" customHeight="1" outlineLevel="1">
      <c r="C74" s="605" t="s">
        <v>627</v>
      </c>
      <c r="D74" s="585" t="s">
        <v>416</v>
      </c>
      <c r="E74" s="585"/>
      <c r="F74" s="585"/>
      <c r="G74" s="585"/>
      <c r="H74" s="585"/>
      <c r="I74" s="454" t="s">
        <v>563</v>
      </c>
      <c r="J74" s="454"/>
      <c r="K74" s="454"/>
      <c r="L74" s="454"/>
      <c r="M74" s="454"/>
      <c r="AC74" s="3" t="s">
        <v>268</v>
      </c>
      <c r="AD74" s="3">
        <f>IF(AF74&gt;360,AF74-360,AF74)</f>
        <v>57.251699999999971</v>
      </c>
      <c r="AE74" s="3" t="s">
        <v>37</v>
      </c>
      <c r="AF74" s="3">
        <f>MOD(AD71+AD73*(I70-K70),360)</f>
        <v>57.251699999999971</v>
      </c>
    </row>
    <row r="75" spans="1:66" ht="17.25" hidden="1" customHeight="1" outlineLevel="1">
      <c r="C75" s="605"/>
      <c r="D75" s="585"/>
      <c r="E75" s="585"/>
      <c r="F75" s="585"/>
      <c r="G75" s="585"/>
      <c r="H75" s="585"/>
      <c r="I75" s="454"/>
      <c r="J75" s="454"/>
      <c r="K75" s="454"/>
      <c r="L75" s="454"/>
      <c r="M75" s="454"/>
      <c r="S75" s="14"/>
      <c r="T75" s="14"/>
      <c r="U75" s="14"/>
      <c r="V75" s="14"/>
      <c r="W75" s="14"/>
      <c r="X75" s="14"/>
      <c r="AC75" s="3"/>
      <c r="AD75" s="3"/>
    </row>
    <row r="76" spans="1:66" ht="17.25" hidden="1" customHeight="1" outlineLevel="1">
      <c r="C76" s="605"/>
      <c r="D76" s="584" t="str">
        <f>IF(G60=AD59,AD77,"---")</f>
        <v>---</v>
      </c>
      <c r="E76" s="584"/>
      <c r="F76" s="584"/>
      <c r="G76" s="584"/>
      <c r="H76" s="584"/>
      <c r="I76" s="579" t="s">
        <v>5</v>
      </c>
      <c r="J76" s="597" t="s">
        <v>624</v>
      </c>
      <c r="K76" s="597"/>
      <c r="L76" s="597"/>
      <c r="M76" s="597"/>
      <c r="S76" s="14"/>
      <c r="T76" s="14"/>
      <c r="U76" s="14"/>
      <c r="V76" s="14"/>
      <c r="W76" s="14"/>
      <c r="X76" s="14"/>
      <c r="AC76" s="3" t="s">
        <v>175</v>
      </c>
      <c r="AD76" s="3">
        <f>VLOOKUP(I76,Outils!$D$9:$E$10,2)</f>
        <v>1</v>
      </c>
    </row>
    <row r="77" spans="1:66" ht="17.25" hidden="1" customHeight="1" outlineLevel="1" thickBot="1">
      <c r="C77" s="605"/>
      <c r="D77" s="584"/>
      <c r="E77" s="584"/>
      <c r="F77" s="584"/>
      <c r="G77" s="584"/>
      <c r="H77" s="584"/>
      <c r="I77" s="579"/>
      <c r="J77" s="597"/>
      <c r="K77" s="597"/>
      <c r="L77" s="597"/>
      <c r="M77" s="597"/>
      <c r="S77" s="14"/>
      <c r="T77" s="14"/>
      <c r="U77" s="14"/>
      <c r="V77" s="14"/>
      <c r="W77" s="14"/>
      <c r="X77" s="14"/>
      <c r="AC77" s="3" t="s">
        <v>176</v>
      </c>
      <c r="AD77" s="3" cm="1">
        <f t="array" ref="AD77">angleConvert2Decimal(J76)*AD76</f>
        <v>306.29816666666665</v>
      </c>
    </row>
    <row r="78" spans="1:66" ht="17.25" hidden="1" customHeight="1" outlineLevel="1" thickTop="1" thickBot="1">
      <c r="C78" s="605"/>
      <c r="D78" s="414" t="str" cm="1">
        <f t="array" ref="D78">angleDecimal2Txt(AD77)</f>
        <v>+306°17.88 (+306.2981) [+306°17'53.39]</v>
      </c>
      <c r="E78" s="414"/>
      <c r="F78" s="414"/>
      <c r="G78" s="414"/>
      <c r="H78" s="414"/>
      <c r="I78"/>
      <c r="J78"/>
      <c r="K78"/>
      <c r="L78"/>
      <c r="M78"/>
      <c r="S78" s="14"/>
      <c r="T78" s="14"/>
      <c r="U78" s="14"/>
      <c r="V78" s="14"/>
      <c r="W78" s="14"/>
      <c r="X78" s="14"/>
      <c r="AC78" s="3"/>
      <c r="AD78" s="3"/>
    </row>
    <row r="79" spans="1:66" ht="17.25" customHeight="1" collapsed="1" thickBot="1">
      <c r="C79"/>
      <c r="D79"/>
      <c r="E79"/>
      <c r="F79" s="16"/>
      <c r="G79" s="16"/>
      <c r="I79"/>
      <c r="J79"/>
      <c r="K79"/>
      <c r="L79"/>
      <c r="M79"/>
      <c r="S79" s="14"/>
      <c r="T79" s="14"/>
      <c r="U79" s="14"/>
      <c r="V79" s="14"/>
      <c r="W79" s="14"/>
      <c r="X79" s="14"/>
    </row>
    <row r="80" spans="1:66" s="14" customFormat="1" ht="17.25" customHeight="1" thickBot="1">
      <c r="A80" s="16"/>
      <c r="B80" s="25" t="s">
        <v>43</v>
      </c>
      <c r="C80" s="75"/>
      <c r="D80" s="75"/>
      <c r="E80" s="75"/>
      <c r="F80" s="478">
        <f>I81</f>
        <v>119.30530555555555</v>
      </c>
      <c r="G80" s="478"/>
      <c r="H80" s="478"/>
      <c r="I80" s="26"/>
      <c r="J80" s="683" t="s">
        <v>55</v>
      </c>
      <c r="K80" s="683"/>
      <c r="L80" s="683"/>
      <c r="M80" s="447" t="str">
        <f>J22</f>
        <v>Soleil</v>
      </c>
      <c r="N80" s="447"/>
      <c r="O80" s="447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64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31"/>
    </row>
    <row r="81" spans="1:30" ht="17.25" customHeight="1" thickTop="1" thickBot="1">
      <c r="C81" s="665" t="s">
        <v>21</v>
      </c>
      <c r="D81" s="665"/>
      <c r="E81" s="665"/>
      <c r="F81" s="665"/>
      <c r="G81" s="665"/>
      <c r="H81" s="665"/>
      <c r="I81" s="812">
        <f>AD82</f>
        <v>119.30530555555555</v>
      </c>
      <c r="J81" s="812"/>
      <c r="K81" s="812"/>
      <c r="L81" s="813"/>
      <c r="M81" s="36" t="s">
        <v>45</v>
      </c>
      <c r="N81" s="471">
        <f>AD81</f>
        <v>479.30530555555555</v>
      </c>
      <c r="O81" s="471"/>
      <c r="P81" s="471"/>
      <c r="Q81" s="471"/>
      <c r="R81" s="751" t="str" cm="1">
        <f t="array" ref="R81">angleDecimal2Txt(AD82)</f>
        <v>+119°18.31 (+119.3053) [+119°18'19.09]</v>
      </c>
      <c r="S81" s="809"/>
      <c r="T81" s="809"/>
      <c r="U81" s="809"/>
      <c r="V81" s="809"/>
      <c r="W81" s="810"/>
      <c r="AC81" s="3" t="s">
        <v>181</v>
      </c>
      <c r="AD81" s="5">
        <f>F59+G34</f>
        <v>479.30530555555555</v>
      </c>
    </row>
    <row r="82" spans="1:30" ht="17.25" customHeight="1" thickTop="1">
      <c r="A82" s="14"/>
      <c r="C82" s="14"/>
      <c r="D82" s="14"/>
      <c r="E82" s="14"/>
      <c r="F82" s="14"/>
      <c r="G82" s="14"/>
      <c r="H82" s="14"/>
      <c r="AB82" s="66"/>
      <c r="AC82" s="3" t="s">
        <v>182</v>
      </c>
      <c r="AD82" s="5" cm="1">
        <f t="array" ref="AD82">astroModuloEnDegre(AD81)</f>
        <v>119.30530555555555</v>
      </c>
    </row>
    <row r="83" spans="1:30" ht="17.25" customHeight="1" thickBot="1">
      <c r="B83" s="14"/>
      <c r="C83" s="16"/>
      <c r="D83" s="16"/>
      <c r="E83" s="16"/>
      <c r="F83" s="16"/>
      <c r="G83" s="16"/>
      <c r="AA83" s="14"/>
    </row>
    <row r="84" spans="1:30" ht="17.25" customHeight="1" thickBot="1">
      <c r="B84" s="25" t="s">
        <v>23</v>
      </c>
      <c r="C84" s="26"/>
      <c r="D84" s="653" t="s">
        <v>72</v>
      </c>
      <c r="E84" s="654"/>
      <c r="F84" s="498">
        <f>IF(G85=AD85,O122,O112)</f>
        <v>32.472894982603712</v>
      </c>
      <c r="G84" s="498"/>
      <c r="H84" s="498"/>
      <c r="I84" s="26"/>
      <c r="J84" s="26"/>
      <c r="K84" s="26"/>
      <c r="L84" s="26" t="s">
        <v>60</v>
      </c>
      <c r="M84" s="653">
        <f>O87</f>
        <v>32.366666666666667</v>
      </c>
      <c r="N84" s="653"/>
      <c r="O84" s="26"/>
      <c r="P84" s="60"/>
      <c r="Q84" s="26" t="s">
        <v>95</v>
      </c>
      <c r="R84" s="26"/>
      <c r="S84" s="674">
        <f>-O99+O94+O103</f>
        <v>0.23956164927037638</v>
      </c>
      <c r="T84" s="675"/>
      <c r="U84" s="676"/>
      <c r="V84" s="677" t="str" cm="1">
        <f t="array" ref="V84">angleDecimal2Txt(S84)</f>
        <v>+00°14.37 (+00.2395) [+00°14'22.42]</v>
      </c>
      <c r="W84" s="677"/>
      <c r="X84" s="677"/>
      <c r="Y84" s="677"/>
      <c r="Z84" s="677"/>
      <c r="AA84" s="26"/>
      <c r="AB84" s="64"/>
    </row>
    <row r="85" spans="1:30" ht="17.25" customHeight="1">
      <c r="C85" s="476" t="s">
        <v>35</v>
      </c>
      <c r="D85" s="476"/>
      <c r="E85" s="476"/>
      <c r="F85" s="476"/>
      <c r="G85" s="555" t="s">
        <v>51</v>
      </c>
      <c r="H85" s="555"/>
      <c r="I85" s="555"/>
      <c r="P85" s="16" t="s">
        <v>69</v>
      </c>
      <c r="V85" s="14"/>
      <c r="W85" s="14"/>
      <c r="X85" s="14"/>
      <c r="Y85" s="14"/>
      <c r="Z85" s="14"/>
      <c r="AC85" s="664" t="s">
        <v>36</v>
      </c>
      <c r="AD85" s="68" t="s">
        <v>50</v>
      </c>
    </row>
    <row r="86" spans="1:30" ht="17.25" customHeight="1" thickBot="1">
      <c r="C86" s="33"/>
      <c r="D86" s="33"/>
      <c r="E86" s="33"/>
      <c r="F86" s="726" t="s">
        <v>62</v>
      </c>
      <c r="G86" s="726"/>
      <c r="H86" s="757"/>
      <c r="I86" s="757"/>
      <c r="J86" s="673">
        <f>IF(G85=AD85,"---",O112)</f>
        <v>32.472894982603712</v>
      </c>
      <c r="K86" s="673"/>
      <c r="L86" s="673"/>
      <c r="M86" s="97"/>
      <c r="N86" s="97"/>
      <c r="O86" s="97"/>
      <c r="P86" s="97"/>
      <c r="Q86" s="97"/>
      <c r="R86" s="97"/>
      <c r="S86" s="97"/>
      <c r="T86" s="97"/>
      <c r="U86" s="97"/>
      <c r="V86" s="98"/>
      <c r="W86" s="98"/>
      <c r="X86" s="98"/>
      <c r="Y86" s="98"/>
      <c r="Z86" s="98"/>
      <c r="AC86" s="664"/>
      <c r="AD86" s="68" t="s">
        <v>51</v>
      </c>
    </row>
    <row r="87" spans="1:30" ht="17.25" customHeight="1" outlineLevel="1" thickTop="1" thickBot="1">
      <c r="C87" s="16"/>
      <c r="D87" s="16"/>
      <c r="E87" s="16"/>
      <c r="F87" s="16"/>
      <c r="G87" s="16"/>
      <c r="H87" s="485" t="s">
        <v>47</v>
      </c>
      <c r="I87" s="486"/>
      <c r="J87" s="486"/>
      <c r="K87" s="486"/>
      <c r="L87" s="486"/>
      <c r="M87" s="486"/>
      <c r="N87" s="487"/>
      <c r="O87" s="469">
        <f>J21</f>
        <v>32.366666666666667</v>
      </c>
      <c r="P87" s="469"/>
      <c r="Q87" s="469"/>
      <c r="R87" s="469"/>
      <c r="S87" s="16" t="s">
        <v>54</v>
      </c>
      <c r="U87" s="416" t="str" cm="1">
        <f t="array" ref="U87">angleDecimal2Txt(O87)</f>
        <v>+32°22.00 (+32.3666) [+32°22'00.00]</v>
      </c>
      <c r="V87" s="416"/>
      <c r="W87" s="416"/>
      <c r="X87" s="416"/>
      <c r="Y87" s="416"/>
      <c r="Z87" s="416"/>
    </row>
    <row r="88" spans="1:30" ht="17.25" customHeight="1" outlineLevel="1" thickTop="1" thickBot="1">
      <c r="C88" s="16"/>
      <c r="D88" s="16"/>
      <c r="E88" s="16"/>
      <c r="F88" s="16"/>
      <c r="G88" s="16"/>
      <c r="H88" s="485" t="s">
        <v>24</v>
      </c>
      <c r="I88" s="486"/>
      <c r="J88" s="486"/>
      <c r="K88" s="486"/>
      <c r="L88" s="486"/>
      <c r="M88" s="486"/>
      <c r="N88" s="487"/>
      <c r="O88" s="469">
        <f>J20</f>
        <v>0.13333333333333333</v>
      </c>
      <c r="P88" s="469"/>
      <c r="Q88" s="469"/>
      <c r="R88" s="469"/>
      <c r="S88" s="16" t="s">
        <v>54</v>
      </c>
      <c r="U88" s="416" t="str" cm="1">
        <f t="array" ref="U88">angleDecimal2Txt(O88)</f>
        <v>+00°08.00 (+00.1333) [+00°08'00.00]</v>
      </c>
      <c r="V88" s="416"/>
      <c r="W88" s="416"/>
      <c r="X88" s="416"/>
      <c r="Y88" s="416"/>
      <c r="Z88" s="416"/>
      <c r="AC88" s="3" t="s">
        <v>59</v>
      </c>
      <c r="AD88" s="5">
        <f>O88</f>
        <v>0.13333333333333333</v>
      </c>
    </row>
    <row r="89" spans="1:30" ht="17.25" customHeight="1" outlineLevel="1" thickTop="1" thickBot="1">
      <c r="G89" s="16"/>
      <c r="H89" s="485" t="s">
        <v>68</v>
      </c>
      <c r="I89" s="486"/>
      <c r="J89" s="486"/>
      <c r="K89" s="486"/>
      <c r="L89" s="486"/>
      <c r="M89" s="486"/>
      <c r="N89" s="487"/>
      <c r="O89" s="602">
        <f>AD90</f>
        <v>0</v>
      </c>
      <c r="P89" s="602"/>
      <c r="Q89" s="602"/>
      <c r="R89" s="602"/>
      <c r="S89" s="16" t="s">
        <v>54</v>
      </c>
      <c r="U89" s="416" t="str" cm="1">
        <f t="array" ref="U89">angleDecimal2Txt(O89)</f>
        <v>+00°00.00 (+00.0000) [+00°00'00.00]</v>
      </c>
      <c r="V89" s="416"/>
      <c r="W89" s="416"/>
      <c r="X89" s="416"/>
      <c r="Y89" s="416"/>
      <c r="Z89" s="416"/>
      <c r="AC89" s="3" t="s">
        <v>46</v>
      </c>
      <c r="AD89" s="3">
        <f>J19</f>
        <v>0</v>
      </c>
    </row>
    <row r="90" spans="1:30" ht="17.25" customHeight="1" outlineLevel="1" thickTop="1" thickBot="1">
      <c r="K90" s="14"/>
      <c r="L90" s="14"/>
      <c r="M90" s="658" t="s">
        <v>113</v>
      </c>
      <c r="N90" s="659"/>
      <c r="O90" s="659"/>
      <c r="P90" s="660"/>
      <c r="Q90" s="14"/>
      <c r="R90" s="14"/>
      <c r="U90" s="14"/>
      <c r="V90" s="14"/>
      <c r="W90" s="14"/>
      <c r="X90" s="14"/>
      <c r="Y90" s="14"/>
      <c r="Z90" s="14"/>
      <c r="AC90" s="72" t="s">
        <v>67</v>
      </c>
      <c r="AD90" s="3">
        <f>0.0293 * SQRT(AD89)</f>
        <v>0</v>
      </c>
    </row>
    <row r="91" spans="1:30" ht="17.25" customHeight="1" outlineLevel="1" thickTop="1" thickBot="1">
      <c r="G91" s="16"/>
      <c r="H91" s="460" t="s">
        <v>407</v>
      </c>
      <c r="I91" s="461"/>
      <c r="J91" s="461"/>
      <c r="K91" s="461"/>
      <c r="L91" s="461"/>
      <c r="M91" s="461"/>
      <c r="N91" s="462"/>
      <c r="O91" s="472">
        <f>O87-O88-O89</f>
        <v>32.233333333333334</v>
      </c>
      <c r="P91" s="473"/>
      <c r="Q91" s="16" t="s">
        <v>54</v>
      </c>
      <c r="R91" s="689">
        <f>O91*Outils!F4</f>
        <v>0.5625777955595056</v>
      </c>
      <c r="S91" s="689"/>
      <c r="T91" s="37" t="s">
        <v>64</v>
      </c>
      <c r="U91" s="416" t="str" cm="1">
        <f t="array" ref="U91">angleDecimal2Txt(O91)</f>
        <v>+32°14.00 (+32.2333) [+32°14'00.00]</v>
      </c>
      <c r="V91" s="416"/>
      <c r="W91" s="416"/>
      <c r="X91" s="416"/>
      <c r="Y91" s="416"/>
      <c r="Z91" s="416"/>
    </row>
    <row r="92" spans="1:30" ht="17.25" customHeight="1" outlineLevel="1" thickTop="1" thickBot="1">
      <c r="C92" s="16"/>
      <c r="D92" s="16"/>
      <c r="E92" s="16"/>
      <c r="F92" s="16"/>
      <c r="G92" s="16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U92" s="14"/>
      <c r="V92" s="14"/>
      <c r="W92" s="14"/>
      <c r="X92" s="14"/>
      <c r="Y92" s="14"/>
      <c r="Z92" s="14"/>
    </row>
    <row r="93" spans="1:30" ht="17.25" customHeight="1" outlineLevel="1" thickTop="1" thickBot="1">
      <c r="A93" s="14"/>
      <c r="B93" s="14"/>
      <c r="C93" s="14"/>
      <c r="D93" s="14"/>
      <c r="E93" s="14"/>
      <c r="F93" s="16"/>
      <c r="G93" s="16"/>
      <c r="H93" s="463" t="s">
        <v>52</v>
      </c>
      <c r="I93" s="464"/>
      <c r="J93" s="464"/>
      <c r="K93" s="464"/>
      <c r="L93" s="464"/>
      <c r="M93" s="464"/>
      <c r="N93" s="465"/>
      <c r="O93" s="474">
        <f>J24</f>
        <v>2.8833333333333302E-3</v>
      </c>
      <c r="P93" s="475"/>
      <c r="Q93" s="475"/>
      <c r="R93" s="475"/>
      <c r="S93" s="16" t="s">
        <v>54</v>
      </c>
      <c r="U93" s="416" t="str" cm="1">
        <f t="array" ref="U93">angleDecimal2Txt(O93)</f>
        <v>+00°00.17 (+00.0028) [+00°00'10.37]</v>
      </c>
      <c r="V93" s="416"/>
      <c r="W93" s="416"/>
      <c r="X93" s="416"/>
      <c r="Y93" s="416"/>
      <c r="Z93" s="416"/>
      <c r="AC93" s="3" t="s">
        <v>183</v>
      </c>
      <c r="AD93" s="3">
        <f>O93*COS(R91)</f>
        <v>2.4389626733302169E-3</v>
      </c>
    </row>
    <row r="94" spans="1:30" ht="17.25" customHeight="1" outlineLevel="1" thickTop="1" thickBot="1">
      <c r="A94" s="14"/>
      <c r="B94" s="14"/>
      <c r="C94" s="14"/>
      <c r="D94" s="14"/>
      <c r="E94" s="14"/>
      <c r="F94" s="16"/>
      <c r="G94" s="16"/>
      <c r="H94" s="663" t="s">
        <v>140</v>
      </c>
      <c r="I94" s="461"/>
      <c r="J94" s="461"/>
      <c r="K94" s="461"/>
      <c r="L94" s="461"/>
      <c r="M94" s="461"/>
      <c r="N94" s="462"/>
      <c r="O94" s="440">
        <f>AD94</f>
        <v>2.4389626730373618E-3</v>
      </c>
      <c r="P94" s="440"/>
      <c r="Q94" s="440"/>
      <c r="R94" s="440"/>
      <c r="S94" s="16" t="s">
        <v>54</v>
      </c>
      <c r="U94" s="416" t="str" cm="1">
        <f t="array" ref="U94">angleDecimal2Txt(O94)</f>
        <v>+00°00.14 (+00.0024) [+00°00'08.78]</v>
      </c>
      <c r="V94" s="416"/>
      <c r="W94" s="416"/>
      <c r="X94" s="416"/>
      <c r="Y94" s="416"/>
      <c r="Z94" s="416"/>
      <c r="AC94" s="11" t="s">
        <v>709</v>
      </c>
      <c r="AD94">
        <f>ASIN(SIN(O93*Outils!F4)*COS(R91))*Outils!F5</f>
        <v>2.4389626730373618E-3</v>
      </c>
    </row>
    <row r="95" spans="1:30" ht="17.25" customHeight="1" outlineLevel="1" thickTop="1">
      <c r="A95" s="14"/>
      <c r="B95" s="14"/>
      <c r="C95" s="14"/>
      <c r="D95" s="14"/>
      <c r="E95" s="14"/>
      <c r="F95" s="16"/>
      <c r="G95" s="16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30" ht="17.25" customHeight="1" outlineLevel="1">
      <c r="A96" s="14"/>
      <c r="B96" s="14"/>
      <c r="C96" s="14"/>
      <c r="D96" s="14"/>
      <c r="F96" s="16"/>
      <c r="G96" s="16"/>
      <c r="H96" s="14"/>
      <c r="I96" s="14"/>
      <c r="J96" s="14"/>
      <c r="K96" s="14"/>
      <c r="L96" s="14"/>
      <c r="M96" s="14"/>
      <c r="N96" s="14"/>
      <c r="O96" s="14"/>
      <c r="S96" s="510" t="s">
        <v>126</v>
      </c>
      <c r="T96" s="511"/>
      <c r="U96" s="512"/>
      <c r="Y96" s="14"/>
      <c r="Z96" s="14"/>
      <c r="AC96" s="3" t="s">
        <v>49</v>
      </c>
      <c r="AD96" s="3" t="s">
        <v>185</v>
      </c>
    </row>
    <row r="97" spans="1:31" ht="17.25" customHeight="1" outlineLevel="1">
      <c r="A97" s="14"/>
      <c r="B97" s="14"/>
      <c r="C97" s="14"/>
      <c r="D97" s="14"/>
      <c r="F97" s="16"/>
      <c r="G97" s="16"/>
      <c r="H97" s="463" t="s">
        <v>65</v>
      </c>
      <c r="I97" s="464"/>
      <c r="J97" s="464"/>
      <c r="K97" s="464"/>
      <c r="L97" s="464"/>
      <c r="M97" s="464"/>
      <c r="N97" s="465"/>
      <c r="O97" s="661">
        <f>S97</f>
        <v>10</v>
      </c>
      <c r="P97" s="662"/>
      <c r="Q97" s="662"/>
      <c r="R97" s="662"/>
      <c r="S97" s="655">
        <v>10</v>
      </c>
      <c r="T97" s="656"/>
      <c r="U97" s="657"/>
      <c r="Y97" s="14"/>
      <c r="Z97" s="14"/>
      <c r="AC97" s="3" t="s">
        <v>186</v>
      </c>
      <c r="AD97" s="3">
        <f>1/TAN((O91 + 7.31 / (O91 + 4.4)) * Outils!F4)</f>
        <v>1.573751005683109</v>
      </c>
    </row>
    <row r="98" spans="1:31" ht="17.25" customHeight="1" outlineLevel="1" thickBot="1">
      <c r="A98" s="14"/>
      <c r="B98" s="14"/>
      <c r="C98" s="14"/>
      <c r="D98" s="14"/>
      <c r="E98" s="14"/>
      <c r="F98" s="16"/>
      <c r="G98" s="16"/>
      <c r="H98" s="463" t="s">
        <v>66</v>
      </c>
      <c r="I98" s="464"/>
      <c r="J98" s="464"/>
      <c r="K98" s="464"/>
      <c r="L98" s="464"/>
      <c r="M98" s="464"/>
      <c r="N98" s="465"/>
      <c r="O98" s="661">
        <f>S98</f>
        <v>1010</v>
      </c>
      <c r="P98" s="662"/>
      <c r="Q98" s="662"/>
      <c r="R98" s="662"/>
      <c r="S98" s="655">
        <v>1010</v>
      </c>
      <c r="T98" s="656"/>
      <c r="U98" s="657"/>
      <c r="Y98" s="14"/>
      <c r="Z98" s="14"/>
      <c r="AC98" s="3" t="s">
        <v>187</v>
      </c>
      <c r="AD98" s="3">
        <f>AD97/60</f>
        <v>2.6229183428051816E-2</v>
      </c>
    </row>
    <row r="99" spans="1:31" ht="17.25" customHeight="1" outlineLevel="1" thickTop="1" thickBot="1">
      <c r="A99" s="14"/>
      <c r="B99" s="14"/>
      <c r="C99" s="14"/>
      <c r="D99" s="14"/>
      <c r="E99" s="14"/>
      <c r="F99" s="16"/>
      <c r="G99" s="16"/>
      <c r="H99" s="663" t="s">
        <v>141</v>
      </c>
      <c r="I99" s="461"/>
      <c r="J99" s="461"/>
      <c r="K99" s="461"/>
      <c r="L99" s="461"/>
      <c r="M99" s="461"/>
      <c r="N99" s="462"/>
      <c r="O99" s="440">
        <f>AD100</f>
        <v>2.6210646902660967E-2</v>
      </c>
      <c r="P99" s="440"/>
      <c r="Q99" s="440"/>
      <c r="R99" s="440"/>
      <c r="S99" s="16" t="s">
        <v>54</v>
      </c>
      <c r="U99" s="416" t="str" cm="1">
        <f t="array" ref="U99">angleDecimal2Txt(O99)</f>
        <v>+00°01.57 (+00.0262) [+00°01'34.35]</v>
      </c>
      <c r="V99" s="416"/>
      <c r="W99" s="416"/>
      <c r="X99" s="416"/>
      <c r="Y99" s="416"/>
      <c r="Z99" s="416"/>
      <c r="AC99" s="3" t="s">
        <v>96</v>
      </c>
      <c r="AD99" s="3">
        <f xml:space="preserve"> 0.28 * O98 / (273 + O97)</f>
        <v>0.99929328621908131</v>
      </c>
    </row>
    <row r="100" spans="1:31" ht="17.25" customHeight="1" outlineLevel="1" thickTop="1">
      <c r="A100" s="14"/>
      <c r="B100" s="14"/>
      <c r="C100" s="14"/>
      <c r="D100" s="14"/>
      <c r="E100" s="14"/>
      <c r="F100" s="16"/>
      <c r="G100" s="16"/>
      <c r="H100" s="14"/>
      <c r="I100" s="14"/>
      <c r="J100" s="14"/>
      <c r="K100" s="14"/>
      <c r="L100" s="14"/>
      <c r="M100" s="14"/>
      <c r="N100" s="14"/>
      <c r="O100" s="14"/>
      <c r="Y100" s="14"/>
      <c r="Z100" s="14"/>
      <c r="AC100" s="3" t="s">
        <v>184</v>
      </c>
      <c r="AD100" s="3">
        <f>AD99*AD98</f>
        <v>2.6210646902660967E-2</v>
      </c>
    </row>
    <row r="101" spans="1:31" ht="17.25" customHeight="1" outlineLevel="1">
      <c r="A101" s="14"/>
      <c r="B101" s="14"/>
      <c r="C101" s="14"/>
      <c r="D101" s="14"/>
      <c r="E101" s="14"/>
      <c r="F101" s="16"/>
      <c r="G101" s="16"/>
      <c r="H101" s="463" t="s">
        <v>100</v>
      </c>
      <c r="I101" s="464"/>
      <c r="J101" s="464"/>
      <c r="K101" s="464"/>
      <c r="L101" s="464"/>
      <c r="M101" s="464"/>
      <c r="N101" s="465"/>
      <c r="O101" s="692">
        <f>J27</f>
        <v>0.52666666699999998</v>
      </c>
      <c r="P101" s="692"/>
      <c r="Q101" s="692"/>
      <c r="R101" s="692"/>
    </row>
    <row r="102" spans="1:31" ht="17.25" customHeight="1" outlineLevel="1" thickBot="1">
      <c r="B102" s="14"/>
      <c r="C102" s="14"/>
      <c r="D102" s="14"/>
      <c r="H102" s="463" t="s">
        <v>70</v>
      </c>
      <c r="I102" s="464"/>
      <c r="J102" s="464"/>
      <c r="K102" s="464"/>
      <c r="L102" s="464"/>
      <c r="M102" s="464"/>
      <c r="N102" s="465"/>
      <c r="O102" s="692" t="str">
        <f>J23</f>
        <v>BordInf</v>
      </c>
      <c r="P102" s="692"/>
      <c r="Q102" s="692"/>
      <c r="R102" s="692"/>
      <c r="AC102" s="3" t="s">
        <v>30</v>
      </c>
      <c r="AD102" s="413" t="str">
        <f>J22</f>
        <v>Soleil</v>
      </c>
      <c r="AE102" s="413"/>
    </row>
    <row r="103" spans="1:31" ht="17.25" customHeight="1" outlineLevel="1" thickTop="1" thickBot="1">
      <c r="H103" s="663" t="s">
        <v>71</v>
      </c>
      <c r="I103" s="461"/>
      <c r="J103" s="461"/>
      <c r="K103" s="461"/>
      <c r="L103" s="461"/>
      <c r="M103" s="461"/>
      <c r="N103" s="462"/>
      <c r="O103" s="471">
        <f>AD104</f>
        <v>0.26333333349999999</v>
      </c>
      <c r="P103" s="471"/>
      <c r="Q103" s="471"/>
      <c r="R103" s="471"/>
      <c r="S103" s="16" t="s">
        <v>54</v>
      </c>
      <c r="U103" s="416" t="str" cm="1">
        <f t="array" ref="U103">angleDecimal2Txt(O103)</f>
        <v>+00°15.80 (+00.2633) [+00°15'48.00]</v>
      </c>
      <c r="V103" s="416"/>
      <c r="W103" s="416"/>
      <c r="X103" s="416"/>
      <c r="Y103" s="416"/>
      <c r="Z103" s="416"/>
      <c r="AC103" s="3" t="s">
        <v>190</v>
      </c>
      <c r="AD103" s="413" t="str">
        <f>O102</f>
        <v>BordInf</v>
      </c>
      <c r="AE103" s="413"/>
    </row>
    <row r="104" spans="1:31" ht="17.25" customHeight="1" outlineLevel="1" thickTop="1"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C104" s="3" t="s">
        <v>191</v>
      </c>
      <c r="AD104" s="652" cm="1">
        <f t="array" ref="AD104">astroDiametreSoleilEnDegre(AA7,AD103)</f>
        <v>0.26333333349999999</v>
      </c>
      <c r="AE104" s="652"/>
    </row>
    <row r="105" spans="1:31" ht="17.25" customHeight="1" outlineLevel="1">
      <c r="G105" s="740" t="s">
        <v>107</v>
      </c>
      <c r="H105" s="741"/>
      <c r="I105" s="741"/>
      <c r="J105" s="741"/>
      <c r="K105" s="741"/>
      <c r="L105" s="741"/>
      <c r="M105" s="741"/>
      <c r="N105" s="741"/>
      <c r="O105" s="741"/>
      <c r="P105" s="741"/>
      <c r="Q105" s="741"/>
      <c r="R105" s="741"/>
      <c r="S105" s="742"/>
      <c r="T105" s="14"/>
      <c r="U105" s="14"/>
      <c r="V105" s="14"/>
      <c r="W105" s="14"/>
      <c r="X105" s="14"/>
      <c r="Y105" s="14"/>
      <c r="Z105" s="14"/>
    </row>
    <row r="106" spans="1:31" ht="17.25" customHeight="1" outlineLevel="1">
      <c r="G106" s="693" t="s">
        <v>115</v>
      </c>
      <c r="H106" s="694"/>
      <c r="I106" s="737" t="s">
        <v>110</v>
      </c>
      <c r="J106" s="738"/>
      <c r="K106" s="738"/>
      <c r="L106" s="738"/>
      <c r="M106" s="738"/>
      <c r="N106" s="739"/>
      <c r="O106" s="743">
        <f>(O94-O99-O89+O101/2) * 60</f>
        <v>14.373698956222583</v>
      </c>
      <c r="P106" s="735"/>
      <c r="Q106" s="735"/>
      <c r="R106" s="735"/>
      <c r="S106" s="690" t="s">
        <v>108</v>
      </c>
      <c r="T106" s="14"/>
      <c r="U106" s="14"/>
      <c r="V106" s="14"/>
      <c r="W106" s="14"/>
      <c r="X106" s="14"/>
      <c r="Y106" s="14"/>
      <c r="Z106" s="14"/>
    </row>
    <row r="107" spans="1:31" ht="17.25" customHeight="1" outlineLevel="1">
      <c r="G107" s="695"/>
      <c r="H107" s="696"/>
      <c r="I107" s="748" t="s">
        <v>114</v>
      </c>
      <c r="J107" s="749"/>
      <c r="K107" s="749"/>
      <c r="L107" s="749"/>
      <c r="M107" s="749"/>
      <c r="N107" s="750"/>
      <c r="O107" s="744"/>
      <c r="P107" s="736"/>
      <c r="Q107" s="736"/>
      <c r="R107" s="736"/>
      <c r="S107" s="691"/>
      <c r="T107" s="14"/>
      <c r="U107" s="14"/>
      <c r="V107" s="14"/>
      <c r="W107" s="14"/>
      <c r="X107" s="14"/>
      <c r="Y107" s="14"/>
      <c r="Z107" s="14"/>
    </row>
    <row r="108" spans="1:31" ht="17.25" customHeight="1" outlineLevel="1">
      <c r="H108" s="14"/>
      <c r="I108" s="737" t="s">
        <v>111</v>
      </c>
      <c r="J108" s="738"/>
      <c r="K108" s="738"/>
      <c r="L108" s="738"/>
      <c r="M108" s="738"/>
      <c r="N108" s="739"/>
      <c r="O108" s="735">
        <f>(O94-O99+O101/2)*60</f>
        <v>14.373698956222583</v>
      </c>
      <c r="P108" s="735"/>
      <c r="Q108" s="735"/>
      <c r="R108" s="735"/>
      <c r="S108" s="690" t="s">
        <v>108</v>
      </c>
      <c r="T108" s="14"/>
      <c r="U108" s="14"/>
      <c r="V108" s="14"/>
      <c r="W108" s="14"/>
      <c r="X108" s="14"/>
      <c r="Y108" s="14"/>
      <c r="Z108" s="14"/>
    </row>
    <row r="109" spans="1:31" ht="17.25" customHeight="1" outlineLevel="1">
      <c r="H109" s="14"/>
      <c r="I109" s="748" t="s">
        <v>112</v>
      </c>
      <c r="J109" s="749"/>
      <c r="K109" s="749"/>
      <c r="L109" s="749"/>
      <c r="M109" s="749"/>
      <c r="N109" s="750"/>
      <c r="O109" s="736"/>
      <c r="P109" s="736"/>
      <c r="Q109" s="736"/>
      <c r="R109" s="736"/>
      <c r="S109" s="691"/>
      <c r="T109" s="14"/>
      <c r="U109" s="14"/>
      <c r="V109" s="14"/>
      <c r="W109" s="14"/>
      <c r="X109" s="14"/>
      <c r="Y109" s="14"/>
      <c r="Z109" s="14"/>
    </row>
    <row r="110" spans="1:31" ht="17.25" customHeight="1" outlineLevel="1">
      <c r="H110" s="14"/>
      <c r="I110" s="466" t="s">
        <v>71</v>
      </c>
      <c r="J110" s="467"/>
      <c r="K110" s="467"/>
      <c r="L110" s="467"/>
      <c r="M110" s="467"/>
      <c r="N110" s="468"/>
      <c r="O110" s="727">
        <f>O103*60</f>
        <v>15.80000001</v>
      </c>
      <c r="P110" s="728"/>
      <c r="Q110" s="728"/>
      <c r="R110" s="728"/>
      <c r="S110" s="73" t="s">
        <v>108</v>
      </c>
      <c r="T110" s="14"/>
      <c r="U110" s="14"/>
      <c r="V110" s="14"/>
      <c r="W110" s="14"/>
      <c r="X110" s="14"/>
      <c r="Y110" s="14"/>
      <c r="Z110" s="14"/>
    </row>
    <row r="111" spans="1:31" ht="17.25" customHeight="1" outlineLevel="1" thickBot="1"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</row>
    <row r="112" spans="1:31" ht="17.25" customHeight="1" outlineLevel="1" thickTop="1" thickBot="1">
      <c r="H112" s="745" t="s">
        <v>408</v>
      </c>
      <c r="I112" s="746"/>
      <c r="J112" s="746"/>
      <c r="K112" s="746"/>
      <c r="L112" s="746"/>
      <c r="M112" s="746"/>
      <c r="N112" s="747"/>
      <c r="O112" s="473">
        <f>O91-O99+O94+O103</f>
        <v>32.472894982603712</v>
      </c>
      <c r="P112" s="440"/>
      <c r="Q112" s="440"/>
      <c r="R112" s="440"/>
      <c r="S112" s="16" t="s">
        <v>54</v>
      </c>
      <c r="U112" s="416" t="str" cm="1">
        <f t="array" ref="U112">angleDecimal2Txt(O112)</f>
        <v>+32°28.37 (+32.4728) [+32°28'22.42]</v>
      </c>
      <c r="V112" s="416"/>
      <c r="W112" s="416"/>
      <c r="X112" s="416"/>
      <c r="Y112" s="416"/>
      <c r="Z112" s="416"/>
    </row>
    <row r="113" spans="2:28" ht="17.25" customHeight="1" outlineLevel="1" thickTop="1"/>
    <row r="114" spans="2:28" ht="17.25" customHeight="1" outlineLevel="1">
      <c r="F114" s="726" t="s">
        <v>63</v>
      </c>
      <c r="G114" s="726"/>
      <c r="H114" s="726"/>
      <c r="I114" s="726"/>
      <c r="J114" s="440" t="str">
        <f>IF(G85=AD85,O122,"---")</f>
        <v>---</v>
      </c>
      <c r="K114" s="440"/>
      <c r="L114" s="440"/>
      <c r="M114" s="97"/>
      <c r="N114" s="97"/>
      <c r="O114" s="97"/>
      <c r="P114" s="97"/>
      <c r="Q114" s="97"/>
      <c r="R114" s="97"/>
      <c r="S114" s="97"/>
      <c r="T114" s="97"/>
      <c r="U114" s="97"/>
      <c r="V114" s="97"/>
      <c r="W114" s="97"/>
      <c r="X114" s="97"/>
      <c r="Y114" s="97"/>
      <c r="Z114" s="97"/>
    </row>
    <row r="115" spans="2:28" ht="17.25" customHeight="1" outlineLevel="1">
      <c r="F115"/>
      <c r="G115"/>
      <c r="H115"/>
      <c r="I115"/>
      <c r="J115"/>
      <c r="K115"/>
      <c r="L115"/>
    </row>
    <row r="116" spans="2:28" ht="17.25" customHeight="1" outlineLevel="1">
      <c r="F116"/>
      <c r="G116"/>
      <c r="H116"/>
      <c r="I116"/>
      <c r="J116"/>
      <c r="K116"/>
      <c r="L116"/>
      <c r="T116" s="100" t="s">
        <v>82</v>
      </c>
      <c r="U116" s="435" t="s">
        <v>33</v>
      </c>
      <c r="V116" s="435"/>
    </row>
    <row r="117" spans="2:28" ht="17.25" customHeight="1" outlineLevel="1">
      <c r="T117" s="101" t="s">
        <v>78</v>
      </c>
      <c r="U117" s="435" t="s">
        <v>80</v>
      </c>
      <c r="V117" s="435"/>
    </row>
    <row r="118" spans="2:28" ht="17.25" customHeight="1" outlineLevel="1">
      <c r="H118" s="16" t="s">
        <v>72</v>
      </c>
      <c r="I118" s="40" t="s">
        <v>74</v>
      </c>
      <c r="J118" s="16" t="s">
        <v>60</v>
      </c>
      <c r="K118" s="437" t="s">
        <v>75</v>
      </c>
      <c r="L118" s="16" t="s">
        <v>59</v>
      </c>
      <c r="N118" s="437" t="s">
        <v>77</v>
      </c>
      <c r="O118" s="40" t="s">
        <v>231</v>
      </c>
      <c r="Q118" s="437" t="s">
        <v>77</v>
      </c>
      <c r="R118" s="16" t="s">
        <v>232</v>
      </c>
      <c r="T118" s="99" t="s">
        <v>79</v>
      </c>
      <c r="U118" s="436" t="s">
        <v>81</v>
      </c>
      <c r="V118" s="436"/>
      <c r="Z118"/>
      <c r="AA118"/>
    </row>
    <row r="119" spans="2:28" ht="17.25" customHeight="1" outlineLevel="1" thickBot="1">
      <c r="I119" s="40"/>
      <c r="J119" s="42">
        <f>O87</f>
        <v>32.366666666666667</v>
      </c>
      <c r="K119" s="437"/>
      <c r="L119" s="729">
        <f>O88</f>
        <v>0.13333333333333333</v>
      </c>
      <c r="M119" s="730"/>
      <c r="N119" s="437"/>
      <c r="O119" s="733" t="s">
        <v>146</v>
      </c>
      <c r="P119" s="734"/>
      <c r="Q119" s="437"/>
      <c r="R119" s="102" t="s">
        <v>79</v>
      </c>
      <c r="V119"/>
      <c r="W119"/>
      <c r="X119"/>
      <c r="Y119"/>
      <c r="Z119"/>
      <c r="AA119"/>
    </row>
    <row r="120" spans="2:28" ht="17.25" customHeight="1" outlineLevel="1" thickTop="1" thickBot="1">
      <c r="I120" s="40"/>
      <c r="J120"/>
      <c r="K120" s="40" t="s">
        <v>230</v>
      </c>
      <c r="L120" s="731" cm="1">
        <f t="array" ref="L120">angleConvert2Decimal(L119)</f>
        <v>0.133333333333333</v>
      </c>
      <c r="M120" s="732"/>
      <c r="O120" s="687" cm="1">
        <f t="array" ref="O120">angleConvert2Decimal(O119)</f>
        <v>0.17166666666666669</v>
      </c>
      <c r="P120" s="688"/>
      <c r="Q120" s="11"/>
      <c r="R120" s="93" cm="1">
        <f t="array" ref="R120">angleConvert2Decimal(R119)</f>
        <v>-0.53333333333333333</v>
      </c>
      <c r="S120"/>
      <c r="T120" s="7" t="s">
        <v>103</v>
      </c>
      <c r="U120" s="7"/>
      <c r="V120" s="7">
        <f>R120+O120</f>
        <v>-0.36166666666666664</v>
      </c>
      <c r="W120" s="751" t="str" cm="1">
        <f t="array" ref="W120">angleDecimal2Txt(V120)</f>
        <v>-00°21.69 (-00.3616) [-00°21'42.00]</v>
      </c>
      <c r="X120" s="752"/>
      <c r="Y120" s="752"/>
      <c r="Z120" s="752"/>
      <c r="AA120" s="438"/>
    </row>
    <row r="121" spans="2:28" ht="17.25" customHeight="1" outlineLevel="1" thickTop="1" thickBot="1">
      <c r="I121" s="40"/>
      <c r="K121" s="40"/>
      <c r="N121" s="40"/>
      <c r="Q121" s="40"/>
      <c r="R121" s="45"/>
    </row>
    <row r="122" spans="2:28" ht="17.25" customHeight="1" outlineLevel="1" thickTop="1" thickBot="1">
      <c r="H122" s="745" t="s">
        <v>145</v>
      </c>
      <c r="I122" s="746"/>
      <c r="J122" s="746"/>
      <c r="K122" s="746"/>
      <c r="L122" s="746"/>
      <c r="M122" s="746"/>
      <c r="N122" s="747"/>
      <c r="O122" s="473">
        <f>J119-L120+O120+R120</f>
        <v>31.871666666666666</v>
      </c>
      <c r="P122" s="440"/>
      <c r="Q122" s="440"/>
      <c r="R122" s="440"/>
      <c r="S122" s="16" t="s">
        <v>54</v>
      </c>
      <c r="U122" s="416" t="str" cm="1">
        <f t="array" ref="U122">angleDecimal2Txt(O122)</f>
        <v>+31°52.29 (+31.8716) [+31°52'18.00]</v>
      </c>
      <c r="V122" s="416"/>
      <c r="W122" s="416"/>
      <c r="X122" s="416"/>
      <c r="Y122" s="416"/>
      <c r="Z122" s="416"/>
    </row>
    <row r="123" spans="2:28" ht="17.25" customHeight="1" thickTop="1" thickBot="1">
      <c r="D123" s="46"/>
    </row>
    <row r="124" spans="2:28" ht="17.25" customHeight="1" thickBot="1">
      <c r="B124" s="25" t="s">
        <v>44</v>
      </c>
      <c r="C124" s="26"/>
      <c r="D124" s="47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62"/>
    </row>
    <row r="125" spans="2:28" ht="17.25" customHeight="1">
      <c r="C125" s="16"/>
      <c r="D125" s="16"/>
      <c r="E125" s="16"/>
      <c r="F125" s="16"/>
      <c r="G125" s="16"/>
      <c r="O125" s="576" t="s">
        <v>361</v>
      </c>
      <c r="P125" s="576"/>
      <c r="Q125" s="576"/>
      <c r="R125" s="576"/>
      <c r="S125" s="576"/>
      <c r="T125" s="576"/>
      <c r="U125" s="576"/>
      <c r="V125" s="576"/>
      <c r="W125" s="576"/>
      <c r="X125" s="576"/>
      <c r="Y125" s="576"/>
      <c r="Z125" s="576"/>
      <c r="AA125" s="576"/>
    </row>
    <row r="126" spans="2:28" ht="17.25" customHeight="1">
      <c r="C126" s="14"/>
      <c r="D126" s="14"/>
      <c r="E126" s="697" t="s">
        <v>22</v>
      </c>
      <c r="F126" s="698"/>
      <c r="G126" s="698"/>
      <c r="H126" s="698"/>
      <c r="I126" s="425" cm="1">
        <f t="array" ref="I126">astroCalculHc(Q127,Q126,Q128)</f>
        <v>-35.493382173533185</v>
      </c>
      <c r="J126" s="426"/>
      <c r="K126" s="426"/>
      <c r="L126" s="426"/>
      <c r="M126" s="427"/>
      <c r="O126" s="469" t="s">
        <v>84</v>
      </c>
      <c r="P126" s="469"/>
      <c r="Q126" s="469">
        <f>F38</f>
        <v>23.122277777777775</v>
      </c>
      <c r="R126" s="469"/>
      <c r="S126" s="469"/>
      <c r="T126" s="434" t="s">
        <v>54</v>
      </c>
      <c r="U126" s="519">
        <f>Q126*Outils!$F$4</f>
        <v>0.40355987778293995</v>
      </c>
      <c r="V126" s="520"/>
      <c r="W126" s="575"/>
      <c r="X126" s="434" t="s">
        <v>64</v>
      </c>
    </row>
    <row r="127" spans="2:28" ht="17.25" customHeight="1" thickBot="1">
      <c r="C127" s="14"/>
      <c r="D127" s="14"/>
      <c r="E127" s="699"/>
      <c r="F127" s="700"/>
      <c r="G127" s="700"/>
      <c r="H127" s="700"/>
      <c r="I127" s="606"/>
      <c r="J127" s="607"/>
      <c r="K127" s="607"/>
      <c r="L127" s="607"/>
      <c r="M127" s="715"/>
      <c r="N127" s="48" t="s">
        <v>116</v>
      </c>
      <c r="O127" s="469" t="s">
        <v>85</v>
      </c>
      <c r="P127" s="469"/>
      <c r="Q127" s="469">
        <f>G32</f>
        <v>-27.5</v>
      </c>
      <c r="R127" s="469"/>
      <c r="S127" s="469"/>
      <c r="T127" s="434"/>
      <c r="U127" s="519">
        <f>Q127*Outils!$F$4</f>
        <v>-0.47996554429844063</v>
      </c>
      <c r="V127" s="520"/>
      <c r="W127" s="575"/>
      <c r="X127" s="434"/>
    </row>
    <row r="128" spans="2:28" ht="17.25" customHeight="1" thickTop="1" thickBot="1">
      <c r="C128" s="14"/>
      <c r="D128" s="14"/>
      <c r="E128" s="701"/>
      <c r="F128" s="702"/>
      <c r="G128" s="702"/>
      <c r="H128" s="702"/>
      <c r="I128" s="751" t="str" cm="1">
        <f t="array" ref="I128">angleDecimal2Txt(I126)</f>
        <v>-35°29.60 (-35.4933) [-35°29'36.17]</v>
      </c>
      <c r="J128" s="752"/>
      <c r="K128" s="752"/>
      <c r="L128" s="752"/>
      <c r="M128" s="438"/>
      <c r="O128" s="469" t="s">
        <v>43</v>
      </c>
      <c r="P128" s="469"/>
      <c r="Q128" s="469">
        <f>F80</f>
        <v>119.30530555555555</v>
      </c>
      <c r="R128" s="469"/>
      <c r="S128" s="469"/>
      <c r="T128" s="434"/>
      <c r="U128" s="519">
        <f>Q128*Outils!$F$4</f>
        <v>2.0822703970423269</v>
      </c>
      <c r="V128" s="520"/>
      <c r="W128" s="575"/>
      <c r="X128" s="434"/>
    </row>
    <row r="129" spans="1:30" ht="17.25" customHeight="1" thickTop="1">
      <c r="C129" s="14"/>
      <c r="D129" s="14"/>
      <c r="E129" s="16"/>
      <c r="F129" s="16"/>
      <c r="G129" s="16"/>
    </row>
    <row r="130" spans="1:30" ht="17.25" customHeight="1">
      <c r="C130" s="14"/>
      <c r="D130" s="14"/>
      <c r="E130" s="697" t="s">
        <v>25</v>
      </c>
      <c r="F130" s="698"/>
      <c r="G130" s="698"/>
      <c r="H130" s="698"/>
      <c r="I130" s="425">
        <f>F84</f>
        <v>32.472894982603712</v>
      </c>
      <c r="J130" s="426"/>
      <c r="K130" s="426"/>
      <c r="L130" s="426"/>
      <c r="M130" s="427"/>
    </row>
    <row r="131" spans="1:30" ht="17.25" customHeight="1" thickBot="1">
      <c r="C131" s="14"/>
      <c r="D131" s="14"/>
      <c r="E131" s="699"/>
      <c r="F131" s="700"/>
      <c r="G131" s="700"/>
      <c r="H131" s="700"/>
      <c r="I131" s="606"/>
      <c r="J131" s="607"/>
      <c r="K131" s="607"/>
      <c r="L131" s="607"/>
      <c r="M131" s="715"/>
      <c r="O131" s="411" t="s">
        <v>27</v>
      </c>
      <c r="P131" s="412"/>
      <c r="Q131" s="412"/>
      <c r="R131" s="412"/>
      <c r="S131" s="577"/>
      <c r="T131" s="287">
        <f>I130-I126</f>
        <v>67.966277156136897</v>
      </c>
      <c r="U131" s="216" t="s">
        <v>28</v>
      </c>
      <c r="V131" s="217">
        <f>T131*60</f>
        <v>4077.9766293682137</v>
      </c>
      <c r="W131" s="216" t="s">
        <v>104</v>
      </c>
      <c r="X131" s="572" t="str">
        <f>IF(T131&gt;0,"Vers Pg", "Oppose de Pg")</f>
        <v>Vers Pg</v>
      </c>
      <c r="Y131" s="572"/>
    </row>
    <row r="132" spans="1:30" ht="17.25" customHeight="1" thickTop="1" thickBot="1">
      <c r="C132" s="14"/>
      <c r="D132" s="14"/>
      <c r="E132" s="701"/>
      <c r="F132" s="702"/>
      <c r="G132" s="702"/>
      <c r="H132" s="702"/>
      <c r="I132" s="751" t="str" cm="1">
        <f t="array" ref="I132">angleDecimal2Txt(I130)</f>
        <v>+32°28.37 (+32.4728) [+32°28'22.42]</v>
      </c>
      <c r="J132" s="752"/>
      <c r="K132" s="752"/>
      <c r="L132" s="752"/>
      <c r="M132" s="438"/>
      <c r="O132"/>
      <c r="P132"/>
      <c r="Q132"/>
      <c r="S132" s="703" t="s">
        <v>364</v>
      </c>
      <c r="T132" s="704" t="s">
        <v>382</v>
      </c>
      <c r="U132" s="704"/>
      <c r="V132" s="704">
        <f>F38</f>
        <v>23.122277777777775</v>
      </c>
      <c r="W132" s="704"/>
      <c r="X132" s="685" t="str">
        <f>latitudeDecimal2Txt(V132)</f>
        <v>N 23°07.33 (N 23.1222) [N 23°07'20.19]</v>
      </c>
      <c r="Y132" s="685"/>
      <c r="Z132" s="685"/>
      <c r="AA132" s="685"/>
      <c r="AB132" s="685"/>
      <c r="AC132" s="685"/>
    </row>
    <row r="133" spans="1:30" ht="17.25" customHeight="1" thickTop="1">
      <c r="C133" s="14"/>
      <c r="D133" s="14"/>
      <c r="E133" s="16"/>
      <c r="F133" s="16"/>
      <c r="G133" s="16"/>
      <c r="S133" s="703"/>
      <c r="T133" s="725" t="s">
        <v>383</v>
      </c>
      <c r="U133" s="725"/>
      <c r="V133" s="704" cm="1">
        <f t="array" ref="V133">longitudeHoraire2longitude(F59)</f>
        <v>-56.305305555555549</v>
      </c>
      <c r="W133" s="725"/>
      <c r="X133" s="686" t="str">
        <f>longitudeDecimal2Txt(V133)</f>
        <v>W 56°18.31 (W 56.3053) [W 56°18'19.09]</v>
      </c>
      <c r="Y133" s="686"/>
      <c r="Z133" s="686"/>
      <c r="AA133" s="686"/>
      <c r="AB133" s="686"/>
      <c r="AC133" s="686"/>
    </row>
    <row r="134" spans="1:30" ht="17.25" customHeight="1">
      <c r="C134" s="16"/>
      <c r="D134" s="16"/>
      <c r="E134" s="16"/>
      <c r="F134" s="16"/>
      <c r="T134" s="14"/>
      <c r="U134" s="14"/>
      <c r="V134" s="14"/>
      <c r="W134" s="14"/>
      <c r="X134" s="14"/>
      <c r="Y134" s="14"/>
    </row>
    <row r="135" spans="1:30" ht="17.25" customHeight="1">
      <c r="E135" s="16"/>
      <c r="F135" s="16"/>
      <c r="G135" s="16"/>
      <c r="T135" s="14"/>
      <c r="U135" s="14"/>
      <c r="V135" s="14"/>
      <c r="W135" s="14"/>
      <c r="X135" s="14"/>
      <c r="Y135" s="14"/>
    </row>
    <row r="136" spans="1:30" ht="17.25" customHeight="1">
      <c r="E136" s="16"/>
      <c r="O136" s="618" t="s">
        <v>86</v>
      </c>
      <c r="P136" s="619"/>
      <c r="Q136" s="619"/>
      <c r="R136" s="619"/>
      <c r="S136" s="619"/>
      <c r="T136" s="619"/>
      <c r="U136" s="619"/>
      <c r="V136" s="619"/>
      <c r="W136" s="619"/>
      <c r="X136" s="619"/>
      <c r="Y136" s="619"/>
      <c r="Z136" s="619"/>
      <c r="AA136" s="619"/>
    </row>
    <row r="137" spans="1:30" ht="17.25" customHeight="1">
      <c r="E137" s="16"/>
      <c r="F137" s="16"/>
      <c r="G137" s="16"/>
      <c r="O137" s="469" t="s">
        <v>223</v>
      </c>
      <c r="P137" s="469"/>
      <c r="Q137" s="469">
        <f>I126</f>
        <v>-35.493382173533185</v>
      </c>
      <c r="R137" s="469"/>
      <c r="S137" s="469"/>
      <c r="T137" s="459" t="s">
        <v>54</v>
      </c>
      <c r="U137" s="469">
        <f>Q137*Outils!$F$4</f>
        <v>-0.6194763815968154</v>
      </c>
      <c r="V137" s="469"/>
      <c r="W137" s="469"/>
      <c r="X137" s="434" t="s">
        <v>64</v>
      </c>
    </row>
    <row r="138" spans="1:30" ht="17.25" customHeight="1">
      <c r="A138" s="14"/>
      <c r="B138" s="14"/>
      <c r="C138" s="14"/>
      <c r="D138" s="14"/>
      <c r="E138" s="716" t="s">
        <v>92</v>
      </c>
      <c r="F138" s="717"/>
      <c r="G138" s="717"/>
      <c r="H138" s="718"/>
      <c r="I138" s="425" cm="1">
        <f t="array" ref="I138">astroCalculZ(Q139,Q138,Q140)</f>
        <v>99.934962582554917</v>
      </c>
      <c r="J138" s="426"/>
      <c r="K138" s="426"/>
      <c r="L138" s="426"/>
      <c r="M138" s="427"/>
      <c r="O138" s="469" t="s">
        <v>84</v>
      </c>
      <c r="P138" s="469"/>
      <c r="Q138" s="469">
        <f>F38</f>
        <v>23.122277777777775</v>
      </c>
      <c r="R138" s="469"/>
      <c r="S138" s="469"/>
      <c r="T138" s="459"/>
      <c r="U138" s="469">
        <f>Q138*Outils!$F$4</f>
        <v>0.40355987778293995</v>
      </c>
      <c r="V138" s="469"/>
      <c r="W138" s="469"/>
      <c r="X138" s="434"/>
    </row>
    <row r="139" spans="1:30" ht="17.25" customHeight="1" thickBot="1">
      <c r="C139" s="14"/>
      <c r="D139" s="14"/>
      <c r="E139" s="719"/>
      <c r="F139" s="720"/>
      <c r="G139" s="720"/>
      <c r="H139" s="721"/>
      <c r="I139" s="606"/>
      <c r="J139" s="607"/>
      <c r="K139" s="607"/>
      <c r="L139" s="607"/>
      <c r="M139" s="715"/>
      <c r="N139" s="48" t="s">
        <v>116</v>
      </c>
      <c r="O139" s="469" t="s">
        <v>85</v>
      </c>
      <c r="P139" s="469"/>
      <c r="Q139" s="469">
        <f>G32</f>
        <v>-27.5</v>
      </c>
      <c r="R139" s="469"/>
      <c r="S139" s="469"/>
      <c r="T139" s="459"/>
      <c r="U139" s="469">
        <f>Q139*Outils!$F$4</f>
        <v>-0.47996554429844063</v>
      </c>
      <c r="V139" s="469"/>
      <c r="W139" s="469"/>
      <c r="X139" s="434"/>
    </row>
    <row r="140" spans="1:30" ht="17.25" customHeight="1" thickTop="1" thickBot="1">
      <c r="C140" s="14"/>
      <c r="D140" s="14"/>
      <c r="E140" s="722"/>
      <c r="F140" s="723"/>
      <c r="G140" s="723"/>
      <c r="H140" s="724"/>
      <c r="I140" s="816" t="str" cm="1">
        <f t="array" ref="I140">angleDecimal2Txt(I138)</f>
        <v>+99°56.09 (+99.9349) [+99°56'05.86]</v>
      </c>
      <c r="J140" s="817"/>
      <c r="K140" s="817"/>
      <c r="L140" s="817"/>
      <c r="M140" s="818"/>
      <c r="O140" s="469" t="s">
        <v>43</v>
      </c>
      <c r="P140" s="469"/>
      <c r="Q140" s="469">
        <f>F80</f>
        <v>119.30530555555555</v>
      </c>
      <c r="R140" s="469"/>
      <c r="S140" s="469"/>
      <c r="T140" s="459"/>
      <c r="U140" s="469">
        <f>Q140*Outils!$F$4</f>
        <v>2.0822703970423269</v>
      </c>
      <c r="V140" s="469"/>
      <c r="W140" s="469"/>
      <c r="X140" s="434"/>
    </row>
    <row r="141" spans="1:30" ht="17.25" customHeight="1" thickTop="1">
      <c r="C141" s="14"/>
      <c r="D141" s="14"/>
      <c r="E141" s="16"/>
      <c r="F141" s="16"/>
      <c r="G141" s="16"/>
    </row>
    <row r="142" spans="1:30" ht="17.25" customHeight="1">
      <c r="C142" s="16"/>
      <c r="D142" s="16"/>
      <c r="F142" s="16"/>
      <c r="G142" s="16"/>
      <c r="I142" s="712" t="s">
        <v>143</v>
      </c>
      <c r="J142" s="713"/>
      <c r="K142" s="713"/>
      <c r="L142" s="713"/>
      <c r="M142" s="713"/>
      <c r="N142" s="714"/>
      <c r="O142" s="712" t="s">
        <v>144</v>
      </c>
      <c r="P142" s="713"/>
      <c r="Q142" s="713"/>
      <c r="R142" s="713"/>
      <c r="S142" s="713"/>
      <c r="T142" s="714"/>
      <c r="AD142" s="92"/>
    </row>
    <row r="143" spans="1:30" ht="17.25" customHeight="1">
      <c r="F143" s="16"/>
      <c r="G143" s="16"/>
      <c r="I143" s="807"/>
      <c r="J143" s="608" t="s">
        <v>117</v>
      </c>
      <c r="K143" s="609"/>
      <c r="L143" s="610"/>
      <c r="M143" s="614" t="s">
        <v>118</v>
      </c>
      <c r="N143" s="615"/>
      <c r="O143" s="807"/>
      <c r="P143" s="608" t="s">
        <v>117</v>
      </c>
      <c r="Q143" s="609"/>
      <c r="R143" s="610"/>
      <c r="S143" s="614" t="s">
        <v>119</v>
      </c>
      <c r="T143" s="615"/>
      <c r="AD143" s="92"/>
    </row>
    <row r="144" spans="1:30" ht="17.25" customHeight="1">
      <c r="F144" s="16"/>
      <c r="G144" s="16"/>
      <c r="I144" s="808"/>
      <c r="J144" s="611" t="s">
        <v>87</v>
      </c>
      <c r="K144" s="612"/>
      <c r="L144" s="613"/>
      <c r="M144" s="616" t="s">
        <v>88</v>
      </c>
      <c r="N144" s="617"/>
      <c r="O144" s="808"/>
      <c r="P144" s="611" t="s">
        <v>87</v>
      </c>
      <c r="Q144" s="612"/>
      <c r="R144" s="613"/>
      <c r="S144" s="616" t="s">
        <v>89</v>
      </c>
      <c r="T144" s="617"/>
      <c r="AD144" s="92"/>
    </row>
    <row r="145" spans="2:30" ht="17.25" customHeight="1">
      <c r="F145" s="14"/>
      <c r="G145" s="14"/>
      <c r="H145" s="14"/>
      <c r="I145" s="14"/>
      <c r="J145" s="14"/>
      <c r="K145" s="14"/>
      <c r="Q145" s="14"/>
      <c r="R145" s="14"/>
      <c r="S145" s="14"/>
      <c r="T145" s="409"/>
      <c r="U145" s="409"/>
      <c r="V145" s="409"/>
      <c r="W145" s="14"/>
      <c r="X145" s="409"/>
      <c r="Y145" s="409"/>
      <c r="Z145" s="409"/>
      <c r="AD145" s="92"/>
    </row>
    <row r="146" spans="2:30" ht="17.25" customHeight="1">
      <c r="F146" s="14"/>
      <c r="N146" s="711"/>
      <c r="O146" s="711"/>
      <c r="Q146" s="409"/>
      <c r="R146" s="409"/>
      <c r="S146" s="409"/>
      <c r="T146" s="409"/>
      <c r="U146" s="409"/>
      <c r="V146" s="409"/>
      <c r="W146" s="14"/>
      <c r="X146" s="409"/>
      <c r="Y146" s="409"/>
      <c r="Z146" s="409"/>
      <c r="AC146" t="s">
        <v>564</v>
      </c>
      <c r="AD146" t="b">
        <f>Q127&gt;0</f>
        <v>0</v>
      </c>
    </row>
    <row r="147" spans="2:30" ht="17.25" customHeight="1">
      <c r="I147" s="469" t="s">
        <v>85</v>
      </c>
      <c r="J147" s="469"/>
      <c r="K147" s="57">
        <f>G32</f>
        <v>-27.5</v>
      </c>
      <c r="L147" s="518" t="str">
        <f>CONCATENATE("Sens: ",IF(Q139&gt;0,"Nord","Sud"))</f>
        <v>Sens: Sud</v>
      </c>
      <c r="M147" s="473"/>
      <c r="AC147" t="s">
        <v>565</v>
      </c>
      <c r="AD147" t="b">
        <f>Q128&gt;180</f>
        <v>0</v>
      </c>
    </row>
    <row r="148" spans="2:30" ht="17.25" customHeight="1" thickBot="1">
      <c r="I148" s="469" t="s">
        <v>43</v>
      </c>
      <c r="J148" s="469"/>
      <c r="K148" s="57">
        <f>Q140</f>
        <v>119.30530555555555</v>
      </c>
      <c r="L148" s="518" t="str">
        <f>CONCATENATE("Is &gt; 180? ", IF(Q140&gt;180,"Y", "N"))</f>
        <v>Is &gt; 180? N</v>
      </c>
      <c r="M148" s="473"/>
      <c r="O148" s="411" t="s">
        <v>93</v>
      </c>
      <c r="P148" s="412"/>
      <c r="Q148" s="412"/>
      <c r="R148" s="412"/>
      <c r="S148" s="412"/>
      <c r="T148" s="417" cm="1">
        <f t="array" ref="T148">astroCalculZ2Zn(Q139,I138,Q140)</f>
        <v>279.93496258255493</v>
      </c>
      <c r="U148" s="418"/>
      <c r="V148" s="50" t="s">
        <v>28</v>
      </c>
      <c r="W148" s="14"/>
    </row>
    <row r="149" spans="2:30" ht="17.25" customHeight="1" thickTop="1" thickBot="1">
      <c r="I149" s="519" t="s">
        <v>120</v>
      </c>
      <c r="J149" s="520"/>
      <c r="K149" s="521"/>
      <c r="L149" s="518" t="str">
        <f>IF(K147&gt;0,IF(K148&gt;180,M143,M144),IF(K148&gt;180,S143,S144))</f>
        <v>Zn = 180 +  Z</v>
      </c>
      <c r="M149" s="473"/>
      <c r="T149" s="416" t="str" cm="1">
        <f t="array" ref="T149">angleDecimal2Txt(T148)</f>
        <v>+279°56.09 (+279.9349) [+279°56'05.86]</v>
      </c>
      <c r="U149" s="416"/>
      <c r="V149" s="416"/>
      <c r="W149" s="416"/>
      <c r="X149" s="416"/>
      <c r="Y149" s="416"/>
    </row>
    <row r="150" spans="2:30" ht="17.25" customHeight="1" thickTop="1"/>
    <row r="151" spans="2:30" ht="17.25" customHeight="1" thickBot="1"/>
    <row r="152" spans="2:30" ht="17.25" customHeight="1" thickBot="1">
      <c r="B152" s="25" t="s">
        <v>233</v>
      </c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85"/>
      <c r="AB152" s="62"/>
    </row>
    <row r="153" spans="2:30" ht="17.25" hidden="1" customHeight="1" outlineLevel="1"/>
    <row r="154" spans="2:30" ht="17.25" hidden="1" customHeight="1" outlineLevel="1" thickBot="1">
      <c r="C154" s="517" t="s">
        <v>234</v>
      </c>
      <c r="D154" s="517"/>
      <c r="E154" s="517"/>
      <c r="F154" s="517"/>
      <c r="G154" s="103"/>
      <c r="H154" s="517" t="s">
        <v>235</v>
      </c>
      <c r="I154" s="517"/>
      <c r="J154" s="517"/>
      <c r="L154" s="522" t="s">
        <v>224</v>
      </c>
      <c r="M154" s="523"/>
      <c r="N154" s="524"/>
      <c r="Q154" s="415" t="s">
        <v>236</v>
      </c>
      <c r="R154" s="415"/>
      <c r="S154" s="415"/>
      <c r="T154" s="415"/>
      <c r="U154" s="90"/>
      <c r="AC154" t="s">
        <v>221</v>
      </c>
      <c r="AD154" s="92">
        <f>I155/60</f>
        <v>67.966277156136897</v>
      </c>
    </row>
    <row r="155" spans="2:30" ht="17.25" hidden="1" customHeight="1" outlineLevel="1" thickTop="1" thickBot="1">
      <c r="D155" s="127" t="s">
        <v>41</v>
      </c>
      <c r="E155" s="525">
        <f>G32</f>
        <v>-27.5</v>
      </c>
      <c r="F155" s="525"/>
      <c r="I155" s="525">
        <f>V131</f>
        <v>4077.9766293682137</v>
      </c>
      <c r="J155" s="525"/>
      <c r="K155" s="16" t="s">
        <v>104</v>
      </c>
      <c r="M155" s="804">
        <f>T148</f>
        <v>279.93496258255493</v>
      </c>
      <c r="N155" s="805"/>
      <c r="R155" s="128" t="s">
        <v>41</v>
      </c>
      <c r="S155" s="413">
        <f>AD157</f>
        <v>-15.773765020704341</v>
      </c>
      <c r="T155" s="413"/>
      <c r="U155" s="414" t="str" cm="1">
        <f t="array" ref="U155">latitudeDecimal2Txt(S155)</f>
        <v>S 15°46.42 (S 15.7737) [S 15°46'25.55]</v>
      </c>
      <c r="V155" s="414"/>
      <c r="W155" s="414"/>
      <c r="X155" s="414"/>
      <c r="Y155" s="414"/>
      <c r="Z155" s="414"/>
      <c r="AC155" t="s">
        <v>222</v>
      </c>
      <c r="AD155" s="92">
        <f>M155</f>
        <v>279.93496258255493</v>
      </c>
    </row>
    <row r="156" spans="2:30" ht="17.25" hidden="1" customHeight="1" outlineLevel="1" thickTop="1" thickBot="1">
      <c r="D156" s="127" t="s">
        <v>42</v>
      </c>
      <c r="E156" s="525">
        <f>G34</f>
        <v>63</v>
      </c>
      <c r="F156" s="525"/>
      <c r="R156" s="128" t="s">
        <v>42</v>
      </c>
      <c r="S156" s="413">
        <f>AD159</f>
        <v>-9.0217733224140062</v>
      </c>
      <c r="T156" s="413"/>
      <c r="U156" s="414" t="str" cm="1">
        <f t="array" ref="U156">longitudeDecimal2Txt(S156)</f>
        <v>W 09°01.30 (W 09.0217) [W 09°01'18.38]</v>
      </c>
      <c r="V156" s="414"/>
      <c r="W156" s="414"/>
      <c r="X156" s="414"/>
      <c r="Y156" s="414"/>
      <c r="Z156" s="414"/>
      <c r="AC156" s="16"/>
      <c r="AD156" s="16"/>
    </row>
    <row r="157" spans="2:30" ht="17.25" hidden="1" customHeight="1" outlineLevel="1" thickTop="1">
      <c r="D157" s="16"/>
      <c r="AC157" t="s">
        <v>238</v>
      </c>
      <c r="AD157">
        <f>E155+AD154*COS(AD155*Outils!$F$4)</f>
        <v>-15.773765020704341</v>
      </c>
    </row>
    <row r="158" spans="2:30" ht="17.25" hidden="1" customHeight="1" outlineLevel="1">
      <c r="C158"/>
      <c r="D158"/>
      <c r="E158"/>
      <c r="Q158" s="415" t="s">
        <v>237</v>
      </c>
      <c r="R158" s="415"/>
      <c r="S158" s="415"/>
      <c r="AC158" t="s">
        <v>239</v>
      </c>
      <c r="AD158">
        <f>(E155+AD157)/2</f>
        <v>-21.636882510352169</v>
      </c>
    </row>
    <row r="159" spans="2:30" ht="17.25" hidden="1" customHeight="1" outlineLevel="1">
      <c r="R159" s="413">
        <f>M155-90</f>
        <v>189.93496258255493</v>
      </c>
      <c r="S159" s="413"/>
      <c r="T159" s="50" t="s">
        <v>28</v>
      </c>
      <c r="AC159" t="s">
        <v>240</v>
      </c>
      <c r="AD159">
        <f>E156+(AD154*SIN(M155*Outils!$F$4)/COS(AD158*Outils!$F$4))</f>
        <v>-9.0217733224140062</v>
      </c>
    </row>
    <row r="160" spans="2:30" customFormat="1" ht="17.25" hidden="1" customHeight="1" outlineLevel="1"/>
    <row r="161" spans="2:33" customFormat="1" ht="17.25" customHeight="1" collapsed="1" thickBot="1"/>
    <row r="162" spans="2:33" customFormat="1" ht="17.25" customHeight="1" thickBot="1">
      <c r="B162" s="109" t="s">
        <v>241</v>
      </c>
      <c r="C162" s="110"/>
      <c r="D162" s="110"/>
      <c r="E162" s="110"/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1"/>
    </row>
    <row r="163" spans="2:33" customFormat="1" ht="17.25" hidden="1" customHeight="1" outlineLevel="1">
      <c r="AD163" s="92"/>
    </row>
    <row r="164" spans="2:33" customFormat="1" ht="17.25" hidden="1" customHeight="1" outlineLevel="1" thickBot="1">
      <c r="C164" s="515" t="s">
        <v>236</v>
      </c>
      <c r="D164" s="515"/>
      <c r="E164" s="515"/>
      <c r="F164" s="515"/>
      <c r="G164" s="90"/>
      <c r="H164" s="16"/>
      <c r="I164" s="16"/>
      <c r="J164" s="16"/>
      <c r="K164" s="16"/>
      <c r="L164" s="16"/>
      <c r="Q164" s="104" t="s">
        <v>242</v>
      </c>
      <c r="R164" s="104"/>
      <c r="S164" s="104"/>
      <c r="T164" s="104"/>
      <c r="U164" s="104"/>
      <c r="V164" s="104"/>
      <c r="W164" s="104"/>
      <c r="AC164" t="s">
        <v>272</v>
      </c>
      <c r="AD164" s="92"/>
      <c r="AE164" t="b">
        <f>(ABS(D169-90)&lt;0.1)</f>
        <v>0</v>
      </c>
    </row>
    <row r="165" spans="2:33" customFormat="1" ht="17.25" hidden="1" customHeight="1" outlineLevel="1" thickTop="1" thickBot="1">
      <c r="D165" s="129" t="s">
        <v>41</v>
      </c>
      <c r="E165" s="516">
        <v>46</v>
      </c>
      <c r="F165" s="516"/>
      <c r="G165" s="414" t="str" cm="1">
        <f t="array" ref="G165">latitudeDecimal2Txt(E165)</f>
        <v>N 46°00.00 (N 46.0000) [N 46°00'00.00]</v>
      </c>
      <c r="H165" s="414"/>
      <c r="I165" s="414"/>
      <c r="J165" s="414"/>
      <c r="K165" s="414"/>
      <c r="L165" s="414"/>
      <c r="R165" s="128" t="s">
        <v>41</v>
      </c>
      <c r="S165" s="413">
        <f>AG169</f>
        <v>-4.6657836596343953</v>
      </c>
      <c r="T165" s="413"/>
      <c r="U165" s="414" t="str" cm="1">
        <f t="array" ref="U165">latitudeDecimal2Txt(S165)</f>
        <v>S 04°39.94 (S 04.6657) [S 04°39'56.82]</v>
      </c>
      <c r="V165" s="414"/>
      <c r="W165" s="414"/>
      <c r="X165" s="414"/>
      <c r="Y165" s="414"/>
      <c r="Z165" s="414"/>
      <c r="AC165" s="121" t="s">
        <v>273</v>
      </c>
      <c r="AD165" s="122">
        <f>R159</f>
        <v>189.93496258255493</v>
      </c>
    </row>
    <row r="166" spans="2:33" customFormat="1" ht="17.25" hidden="1" customHeight="1" outlineLevel="1" thickTop="1" thickBot="1">
      <c r="D166" s="129" t="s">
        <v>42</v>
      </c>
      <c r="E166" s="516">
        <v>-7</v>
      </c>
      <c r="F166" s="516"/>
      <c r="G166" s="414" t="str" cm="1">
        <f t="array" ref="G166">longitudeDecimal2Txt(E166)</f>
        <v>W 07°00.00 (W 07.0000) [W 07°00'00.00]</v>
      </c>
      <c r="H166" s="414"/>
      <c r="I166" s="414"/>
      <c r="J166" s="414"/>
      <c r="K166" s="414"/>
      <c r="L166" s="414"/>
      <c r="R166" s="128" t="s">
        <v>42</v>
      </c>
      <c r="S166" s="413">
        <f>AG170</f>
        <v>-6.9999999999999911</v>
      </c>
      <c r="T166" s="413"/>
      <c r="U166" s="414" t="str" cm="1">
        <f t="array" ref="U166">longitudeDecimal2Txt(S166)</f>
        <v>W 06°59.99 (W 06.9999) [W 06°59'59.99]</v>
      </c>
      <c r="V166" s="414"/>
      <c r="W166" s="414"/>
      <c r="X166" s="414"/>
      <c r="Y166" s="414"/>
      <c r="Z166" s="414"/>
      <c r="AC166" s="123" t="s">
        <v>275</v>
      </c>
      <c r="AD166" s="122">
        <f>S155</f>
        <v>-15.773765020704341</v>
      </c>
    </row>
    <row r="167" spans="2:33" customFormat="1" ht="17.25" hidden="1" customHeight="1" outlineLevel="1" thickTop="1"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AC167" s="121" t="s">
        <v>276</v>
      </c>
      <c r="AD167" s="122">
        <f>S156</f>
        <v>-9.0217733224140062</v>
      </c>
    </row>
    <row r="168" spans="2:33" customFormat="1" ht="17.25" hidden="1" customHeight="1" outlineLevel="1">
      <c r="C168" s="515" t="s">
        <v>237</v>
      </c>
      <c r="D168" s="515"/>
      <c r="E168" s="515"/>
      <c r="F168" s="108"/>
      <c r="G168" s="16"/>
      <c r="H168" s="16"/>
      <c r="I168" s="16"/>
      <c r="J168" s="16"/>
      <c r="K168" s="16"/>
      <c r="L168" s="16"/>
      <c r="AC168" s="121" t="s">
        <v>243</v>
      </c>
      <c r="AD168" s="121">
        <f>TAN(AD165*Outils!F4) * (1 / COS(AD166*Outils!F4))</f>
        <v>0.18201086738403327</v>
      </c>
    </row>
    <row r="169" spans="2:33" customFormat="1" ht="17.25" hidden="1" customHeight="1" outlineLevel="1">
      <c r="D169" s="516">
        <v>180</v>
      </c>
      <c r="E169" s="516"/>
      <c r="F169" s="130" t="s">
        <v>28</v>
      </c>
      <c r="G169" s="16"/>
      <c r="H169" s="16"/>
      <c r="I169" s="16"/>
      <c r="J169" s="16"/>
      <c r="K169" s="16"/>
      <c r="L169" s="16"/>
      <c r="AC169" s="121" t="s">
        <v>244</v>
      </c>
      <c r="AD169" s="121">
        <f>AD167-AD166*AD168</f>
        <v>-6.1507766690836858</v>
      </c>
      <c r="AE169" s="410" t="s">
        <v>280</v>
      </c>
      <c r="AF169" s="410"/>
      <c r="AG169" s="124">
        <f>(AD174-AD169)/(AD168-AD173)</f>
        <v>-4.6657836596343953</v>
      </c>
    </row>
    <row r="170" spans="2:33" customFormat="1" ht="15" hidden="1" outlineLevel="1">
      <c r="AC170" s="118" t="s">
        <v>274</v>
      </c>
      <c r="AD170" s="119">
        <f>D169</f>
        <v>180</v>
      </c>
      <c r="AE170" s="410"/>
      <c r="AF170" s="410"/>
      <c r="AG170" s="124">
        <f>AD168*AG169+AD169</f>
        <v>-6.9999999999999911</v>
      </c>
    </row>
    <row r="171" spans="2:33" customFormat="1" ht="18.75" hidden="1" outlineLevel="1">
      <c r="S171" s="16"/>
      <c r="T171" s="16"/>
      <c r="AC171" s="120" t="s">
        <v>275</v>
      </c>
      <c r="AD171" s="119">
        <f>E165</f>
        <v>46</v>
      </c>
    </row>
    <row r="172" spans="2:33" customFormat="1" ht="18" hidden="1" outlineLevel="1">
      <c r="AC172" s="118" t="s">
        <v>276</v>
      </c>
      <c r="AD172" s="119">
        <f>E166</f>
        <v>-7</v>
      </c>
      <c r="AE172" s="410" t="s">
        <v>281</v>
      </c>
      <c r="AF172" s="410"/>
      <c r="AG172" s="125">
        <f>E165</f>
        <v>46</v>
      </c>
    </row>
    <row r="173" spans="2:33" customFormat="1" ht="17.25" hidden="1" customHeight="1" outlineLevel="1">
      <c r="P173" s="16"/>
      <c r="Q173" s="16"/>
      <c r="AC173" s="118" t="s">
        <v>277</v>
      </c>
      <c r="AD173" s="118">
        <f>TAN(AD170*Outils!F4) * (1 / COS(AD171*Outils!F4))</f>
        <v>-1.7636704702760584E-16</v>
      </c>
      <c r="AE173" s="410"/>
      <c r="AF173" s="410"/>
      <c r="AG173" s="124">
        <f>E166+(E165-S155)*TAN(R159*Outils!F4)/COS(Outils!F4*S155)</f>
        <v>4.2434965529958522</v>
      </c>
    </row>
    <row r="174" spans="2:33" customFormat="1" ht="17.25" hidden="1" customHeight="1" outlineLevel="1">
      <c r="AC174" s="118" t="s">
        <v>278</v>
      </c>
      <c r="AD174" s="118">
        <f>AD172-AD171*AD173</f>
        <v>-6.999999999999992</v>
      </c>
    </row>
    <row r="175" spans="2:33" customFormat="1" ht="15" hidden="1" outlineLevel="1">
      <c r="K175" s="16"/>
      <c r="L175" s="16"/>
      <c r="AE175" s="410" t="s">
        <v>279</v>
      </c>
      <c r="AF175" s="410"/>
      <c r="AG175" s="124">
        <f>IF($AE$164,AG172,AG169)</f>
        <v>-4.6657836596343953</v>
      </c>
    </row>
    <row r="176" spans="2:33" customFormat="1" ht="15" hidden="1" outlineLevel="1">
      <c r="K176" s="16"/>
      <c r="L176" s="16"/>
      <c r="AC176" s="118"/>
      <c r="AE176" s="410"/>
      <c r="AF176" s="410"/>
      <c r="AG176" s="124">
        <f>IF($AE$164,AG173,AG170)</f>
        <v>-6.9999999999999911</v>
      </c>
    </row>
    <row r="177" spans="2:65" customFormat="1" ht="15" hidden="1" outlineLevel="1">
      <c r="K177" s="16"/>
      <c r="L177" s="16"/>
    </row>
    <row r="178" spans="2:65" customFormat="1" ht="15.75" collapsed="1" thickBot="1">
      <c r="K178" s="16"/>
      <c r="L178" s="16"/>
    </row>
    <row r="179" spans="2:65" customFormat="1" ht="15.75" thickBot="1">
      <c r="B179" s="109" t="s">
        <v>542</v>
      </c>
      <c r="C179" s="110"/>
      <c r="D179" s="110"/>
      <c r="E179" s="110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1"/>
    </row>
    <row r="180" spans="2:65" customFormat="1" ht="15">
      <c r="K180" s="92"/>
      <c r="L180" s="92"/>
    </row>
    <row r="181" spans="2:65" customFormat="1" ht="15">
      <c r="B181" s="705" t="s">
        <v>1</v>
      </c>
      <c r="C181" s="705"/>
      <c r="D181" s="705" t="str">
        <f>E7</f>
        <v>2025/05/09</v>
      </c>
      <c r="E181" s="705"/>
      <c r="F181" s="705"/>
      <c r="G181" s="705"/>
      <c r="H181" s="234" t="s">
        <v>2</v>
      </c>
      <c r="I181" s="705" t="str">
        <f>I7</f>
        <v>15:48:59.99(15.8166)</v>
      </c>
      <c r="J181" s="705"/>
      <c r="K181" s="705"/>
      <c r="L181" s="705"/>
    </row>
    <row r="182" spans="2:65" customFormat="1" ht="15">
      <c r="B182" s="706" t="s">
        <v>30</v>
      </c>
      <c r="C182" s="706"/>
      <c r="D182" s="707" t="str">
        <f>J22</f>
        <v>Soleil</v>
      </c>
      <c r="E182" s="706"/>
      <c r="F182" s="228"/>
      <c r="G182" s="228"/>
      <c r="H182" s="228"/>
      <c r="I182" s="228"/>
      <c r="J182" s="228"/>
      <c r="K182" s="228"/>
      <c r="L182" s="228"/>
      <c r="AA182" s="225"/>
    </row>
    <row r="183" spans="2:65" customFormat="1" ht="15">
      <c r="B183" s="224"/>
      <c r="C183" s="224"/>
      <c r="D183" s="227"/>
      <c r="E183" s="224"/>
      <c r="AA183" s="225"/>
    </row>
    <row r="184" spans="2:65" s="92" customFormat="1" ht="17.25" customHeight="1" thickBot="1">
      <c r="B184" s="231" t="s">
        <v>401</v>
      </c>
      <c r="C184" s="231"/>
      <c r="D184" s="231"/>
      <c r="E184" s="231"/>
      <c r="F184" s="230"/>
      <c r="G184" s="230"/>
      <c r="H184" s="229"/>
      <c r="I184" s="229"/>
      <c r="J184" s="229"/>
      <c r="K184" s="229"/>
      <c r="L184" s="229"/>
      <c r="M184" s="229"/>
      <c r="N184" s="229"/>
      <c r="O184" s="229"/>
      <c r="P184" s="229"/>
      <c r="Q184" s="229"/>
      <c r="AB184" s="61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</row>
    <row r="185" spans="2:65" s="92" customFormat="1" ht="17.25" customHeight="1" thickTop="1">
      <c r="C185" s="759" t="s">
        <v>481</v>
      </c>
      <c r="D185" s="759"/>
      <c r="E185" s="759" t="str" cm="1">
        <f t="array" ref="E185">angleDecimal2Txt(angleConvert2Decimal(M21))</f>
        <v>+46°47.10 (+46.7849) [+46°47'06.00]</v>
      </c>
      <c r="F185" s="759"/>
      <c r="G185" s="759"/>
      <c r="H185" s="759"/>
      <c r="I185" s="759"/>
      <c r="AB185" s="61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</row>
    <row r="186" spans="2:65" s="92" customFormat="1" ht="17.25" customHeight="1">
      <c r="C186" s="758" t="s">
        <v>70</v>
      </c>
      <c r="D186" s="758"/>
      <c r="E186" s="758" t="str">
        <f>J23</f>
        <v>BordInf</v>
      </c>
      <c r="F186" s="758"/>
      <c r="G186" s="758"/>
      <c r="H186" s="758"/>
      <c r="I186" s="758"/>
      <c r="AB186" s="61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</row>
    <row r="187" spans="2:65" s="92" customFormat="1" ht="17.25" customHeight="1">
      <c r="C187" s="753" t="s">
        <v>403</v>
      </c>
      <c r="D187" s="753"/>
      <c r="E187" s="814" t="str" cm="1">
        <f t="array" ref="E187">angleDecimal2Txt(angleConvert2Decimal(M20))</f>
        <v>+00°08.00 (+00.1333) [+00°08'00.00]</v>
      </c>
      <c r="F187" s="814"/>
      <c r="G187" s="814"/>
      <c r="H187" s="814"/>
      <c r="I187" s="814"/>
      <c r="AB187" s="61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</row>
    <row r="188" spans="2:65" s="92" customFormat="1" ht="17.25" customHeight="1">
      <c r="C188" s="705" t="s">
        <v>404</v>
      </c>
      <c r="D188" s="705"/>
      <c r="E188" s="815" t="str">
        <f>CONCATENATE(M19, " m")</f>
        <v>0 m</v>
      </c>
      <c r="F188" s="815"/>
      <c r="G188" s="815"/>
      <c r="H188" s="815"/>
      <c r="I188" s="815"/>
      <c r="AB188" s="61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</row>
    <row r="189" spans="2:65" s="92" customFormat="1" ht="17.25" customHeight="1">
      <c r="E189" s="754" t="str" cm="1">
        <f t="array" ref="E189">angleDecimal2Txt(O91)</f>
        <v>+32°14.00 (+32.2333) [+32°14'00.00]</v>
      </c>
      <c r="F189" s="754"/>
      <c r="G189" s="754"/>
      <c r="H189" s="754"/>
      <c r="I189" s="754"/>
      <c r="J189" s="754" t="s">
        <v>482</v>
      </c>
      <c r="K189" s="754"/>
      <c r="L189" s="754"/>
      <c r="AB189" s="61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</row>
    <row r="190" spans="2:65" s="92" customFormat="1" ht="17.25" customHeight="1">
      <c r="E190" s="232"/>
      <c r="F190" s="766" t="s">
        <v>404</v>
      </c>
      <c r="G190" s="768"/>
      <c r="H190" s="755" t="str">
        <f>angleDecimal2Txt($O$89)</f>
        <v>+00°00.00 (+00.0000) [+00°00'00.00]</v>
      </c>
      <c r="I190" s="755"/>
      <c r="J190" s="755"/>
      <c r="K190" s="755"/>
      <c r="L190" s="755"/>
      <c r="AB190" s="61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</row>
    <row r="191" spans="2:65" s="92" customFormat="1" ht="17.25" customHeight="1">
      <c r="F191" s="756" t="s">
        <v>411</v>
      </c>
      <c r="G191" s="756"/>
      <c r="H191" s="755" t="str">
        <f>angleDecimal2Txt(O99)</f>
        <v>+00°01.57 (+00.0262) [+00°01'34.35]</v>
      </c>
      <c r="I191" s="755"/>
      <c r="J191" s="755"/>
      <c r="K191" s="755"/>
      <c r="L191" s="755"/>
      <c r="AB191" s="6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</row>
    <row r="192" spans="2:65" s="92" customFormat="1" ht="17.25" customHeight="1">
      <c r="F192" s="756" t="s">
        <v>412</v>
      </c>
      <c r="G192" s="756"/>
      <c r="H192" s="756" t="str">
        <f>angleDecimal2Txt(O94)</f>
        <v>+00°00.14 (+00.0024) [+00°00'08.78]</v>
      </c>
      <c r="I192" s="756"/>
      <c r="J192" s="756"/>
      <c r="K192" s="756"/>
      <c r="L192" s="756"/>
      <c r="AB192" s="61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</row>
    <row r="193" spans="2:65" s="92" customFormat="1" ht="17.25" customHeight="1">
      <c r="F193" s="756" t="s">
        <v>100</v>
      </c>
      <c r="G193" s="756"/>
      <c r="H193" s="756" t="str" cm="1">
        <f t="array" ref="H193">angleDecimal2Txt(O101)</f>
        <v>+00°31.60 (+00.5266) [+00°31'36.00]</v>
      </c>
      <c r="I193" s="756"/>
      <c r="J193" s="756"/>
      <c r="K193" s="756"/>
      <c r="L193" s="756"/>
      <c r="AB193" s="61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2:65" s="92" customFormat="1" ht="17.25" customHeight="1">
      <c r="F194" s="756" t="s">
        <v>71</v>
      </c>
      <c r="G194" s="756"/>
      <c r="H194" s="756" t="str" cm="1">
        <f t="array" ref="H194">angleDecimal2Txt(O103)</f>
        <v>+00°15.80 (+00.2633) [+00°15'48.00]</v>
      </c>
      <c r="I194" s="756"/>
      <c r="J194" s="756"/>
      <c r="K194" s="756"/>
      <c r="L194" s="756"/>
      <c r="AB194" s="61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2:65" s="92" customFormat="1" ht="17.25" customHeight="1">
      <c r="D195" s="226"/>
      <c r="E195" s="754" t="str" cm="1">
        <f t="array" ref="E195">angleDecimal2Txt(F84)</f>
        <v>+32°28.37 (+32.4728) [+32°28'22.42]</v>
      </c>
      <c r="F195" s="754"/>
      <c r="G195" s="754"/>
      <c r="H195" s="754"/>
      <c r="I195" s="754"/>
      <c r="J195" s="754" t="s">
        <v>483</v>
      </c>
      <c r="K195" s="754"/>
      <c r="L195" s="754"/>
      <c r="AB195" s="61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2:65" s="92" customFormat="1" ht="17.25" customHeight="1">
      <c r="D196" s="226"/>
      <c r="F196" s="756" t="str" cm="1">
        <f t="array" ref="F196">angleDecimal2Txt(-1*(O89+O99-O94))</f>
        <v>-00°01.42 (-00.0237) [-00°01'25.57]</v>
      </c>
      <c r="G196" s="756"/>
      <c r="H196" s="756"/>
      <c r="I196" s="756"/>
      <c r="J196" s="756"/>
      <c r="K196" s="766" t="s">
        <v>413</v>
      </c>
      <c r="L196" s="767"/>
      <c r="M196" s="768"/>
      <c r="N196" s="797" t="s">
        <v>428</v>
      </c>
      <c r="O196" s="797"/>
      <c r="P196" s="797"/>
      <c r="AB196" s="61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2:65" s="92" customFormat="1" ht="17.25" customHeight="1">
      <c r="D197" s="226"/>
      <c r="F197" s="756" t="str" cm="1">
        <f t="array" ref="F197">angleDecimal2Txt(-1*O89-O99+O94+O103)</f>
        <v>+00°14.37 (+00.2395) [+00°14'22.42]</v>
      </c>
      <c r="G197" s="756"/>
      <c r="H197" s="756"/>
      <c r="I197" s="756"/>
      <c r="J197" s="756"/>
      <c r="K197" s="766" t="s">
        <v>409</v>
      </c>
      <c r="L197" s="767"/>
      <c r="M197" s="768"/>
      <c r="N197" s="797"/>
      <c r="O197" s="797"/>
      <c r="P197" s="797"/>
      <c r="AB197" s="61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2:65" s="92" customFormat="1" ht="17.25" customHeight="1">
      <c r="D198" s="226"/>
      <c r="F198" s="756" t="str">
        <f>angleDecimal2Txt(O94-O99+O103)</f>
        <v>+00°14.37 (+00.2395) [+00°14'22.42]</v>
      </c>
      <c r="G198" s="756"/>
      <c r="H198" s="756"/>
      <c r="I198" s="756"/>
      <c r="J198" s="756"/>
      <c r="K198" s="766" t="s">
        <v>410</v>
      </c>
      <c r="L198" s="767"/>
      <c r="M198" s="768"/>
      <c r="N198" s="797"/>
      <c r="O198" s="797"/>
      <c r="P198" s="797"/>
      <c r="AB198" s="61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2:65" s="92" customFormat="1" ht="17.25" customHeight="1">
      <c r="AB199" s="61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2:65" s="92" customFormat="1" ht="17.25" customHeight="1">
      <c r="C200" s="226"/>
      <c r="AB200" s="61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2:65" s="92" customFormat="1" ht="17.25" customHeight="1" thickBot="1">
      <c r="B201" s="229" t="s">
        <v>62</v>
      </c>
      <c r="C201" s="230"/>
      <c r="D201" s="230"/>
      <c r="E201" s="230"/>
      <c r="F201" s="230"/>
      <c r="G201" s="230"/>
      <c r="H201" s="229"/>
      <c r="I201" s="229"/>
      <c r="J201" s="229"/>
      <c r="K201" s="229"/>
      <c r="L201" s="229"/>
      <c r="M201" s="229"/>
      <c r="N201" s="229"/>
      <c r="O201" s="229"/>
      <c r="P201" s="229"/>
      <c r="Q201" s="229"/>
      <c r="AB201" s="6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2:65" s="92" customFormat="1" ht="17.25" customHeight="1" thickTop="1">
      <c r="C202" s="819" t="s">
        <v>414</v>
      </c>
      <c r="D202" s="819"/>
      <c r="E202" s="819" t="str" cm="1">
        <f t="array" ref="E202">latitudeDecimal2Txt(G32)</f>
        <v>S 27°30.00 (S 27.5000) [S 27°30'00.00]</v>
      </c>
      <c r="F202" s="819"/>
      <c r="G202" s="819"/>
      <c r="H202" s="819"/>
      <c r="I202" s="819"/>
      <c r="J202" s="819"/>
      <c r="AB202" s="61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2:65" s="92" customFormat="1" ht="17.25" customHeight="1">
      <c r="C203" s="758" t="s">
        <v>415</v>
      </c>
      <c r="D203" s="758"/>
      <c r="E203" s="758" t="str" cm="1">
        <f t="array" ref="E203">longitudeDecimal2Txt(G34)</f>
        <v>E 63°00.00 (E 63.0000) [E 63°00'00.00]</v>
      </c>
      <c r="F203" s="758"/>
      <c r="G203" s="758"/>
      <c r="H203" s="758"/>
      <c r="I203" s="758"/>
      <c r="J203" s="758"/>
      <c r="AB203" s="61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2:65" s="92" customFormat="1" ht="17.25" customHeight="1">
      <c r="F204" s="797" t="str">
        <f>CONCATENATE("GHA - ", G60)</f>
        <v>GHA - Par interval</v>
      </c>
      <c r="G204" s="797"/>
      <c r="H204" s="756">
        <f>IF($G$60=$AD$60,K63,CONCATENATE("T0:",K70))</f>
        <v>10</v>
      </c>
      <c r="I204" s="756"/>
      <c r="J204" s="756"/>
      <c r="K204" s="766" t="str" cm="1">
        <f t="array" ref="K204">IF($G$60=$AD$60,angleDecimal2Txt(angleConvert2Decimal(O63),0),CONCATENATE("Pos. à T0:",angleDecimal2Txt(angleConvert2Decimal(O70),0)))</f>
        <v>+329°03.89</v>
      </c>
      <c r="L204" s="767"/>
      <c r="M204" s="768"/>
      <c r="AB204" s="61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2:65" s="92" customFormat="1" ht="17.25" customHeight="1">
      <c r="F205" s="797"/>
      <c r="G205" s="797"/>
      <c r="H205" s="756">
        <f>IF($G$60=$AD$60,K65,CONCATENATE("V:",AD73,0))</f>
        <v>11</v>
      </c>
      <c r="I205" s="756"/>
      <c r="J205" s="756"/>
      <c r="K205" s="766" t="str" cm="1">
        <f t="array" ref="K205">IF($G$60=$AD$60,angleDecimal2Txt(angleConvert2Decimal(O65),0),CONCATENATE("dt:",TEXT((I70-K70),"0.000")," h"))</f>
        <v>+344°03.79</v>
      </c>
      <c r="L205" s="767"/>
      <c r="M205" s="768"/>
      <c r="AB205" s="61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2:65" s="92" customFormat="1" ht="17.25" customHeight="1">
      <c r="C206" s="806" t="s">
        <v>416</v>
      </c>
      <c r="D206" s="806"/>
      <c r="E206" s="806" t="str" cm="1">
        <f t="array" ref="E206">angleDecimal2Txt(F59)</f>
        <v>+416°18.31 (+416.3053) [+416°18'19.09]</v>
      </c>
      <c r="F206" s="806"/>
      <c r="G206" s="806"/>
      <c r="H206" s="806"/>
      <c r="I206" s="806"/>
      <c r="J206" s="806"/>
      <c r="AB206" s="61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92" customFormat="1" ht="17.25" customHeight="1">
      <c r="C207" s="806" t="s">
        <v>43</v>
      </c>
      <c r="D207" s="806"/>
      <c r="E207" s="806" t="str" cm="1">
        <f t="array" ref="E207">angleDecimal2Txt(F80)</f>
        <v>+119°18.31 (+119.3053) [+119°18'19.09]</v>
      </c>
      <c r="F207" s="806"/>
      <c r="G207" s="806"/>
      <c r="H207" s="806"/>
      <c r="I207" s="806"/>
      <c r="J207" s="806"/>
      <c r="AB207" s="61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92" customFormat="1" ht="17.25" customHeight="1">
      <c r="F208" s="797" t="str">
        <f>CONCATENATE("Déc. - ", G39)</f>
        <v>Déc. - Par interval</v>
      </c>
      <c r="G208" s="797"/>
      <c r="H208" s="756">
        <f>IF($G$39=$AD$39,K42,CONCATENATE("T0:",K49))</f>
        <v>10</v>
      </c>
      <c r="I208" s="756"/>
      <c r="J208" s="766" t="str" cm="1">
        <f t="array" ref="J208">IF($G$39=$AD$39,angleDecimal2Txt(AE42,0),CONCATENATE("Pos. à T0:",AD50,0))</f>
        <v>+23°08.50</v>
      </c>
      <c r="K208" s="767"/>
      <c r="L208" s="767"/>
      <c r="M208" s="768"/>
      <c r="AB208" s="61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3:65" s="92" customFormat="1" ht="17.25" customHeight="1">
      <c r="F209" s="797"/>
      <c r="G209" s="797"/>
      <c r="H209" s="756" cm="1">
        <f t="array" ref="H209">IF($G$39=$AD$39,K44,CONCATENATE("V:",angleDecimal2Txt(AD52,0)))</f>
        <v>11</v>
      </c>
      <c r="I209" s="756"/>
      <c r="J209" s="766" t="str" cm="1">
        <f t="array" ref="J209">IF($G$39=$AD$39,angleDecimal2Txt(AE43,0),CONCATENATE("dt:",TEXT((I49-K49),"0.000")," h"))</f>
        <v>+23°08.30</v>
      </c>
      <c r="K209" s="767"/>
      <c r="L209" s="767"/>
      <c r="M209" s="768"/>
      <c r="AB209" s="61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3:65" s="92" customFormat="1" ht="17.25" customHeight="1">
      <c r="C210" s="806" t="s">
        <v>9</v>
      </c>
      <c r="D210" s="806"/>
      <c r="E210" s="806" t="str" cm="1">
        <f t="array" ref="E210">latitudeDecimal2Txt(F38)</f>
        <v>N 23°07.33 (N 23.1222) [N 23°07'20.19]</v>
      </c>
      <c r="F210" s="806"/>
      <c r="G210" s="806"/>
      <c r="H210" s="806"/>
      <c r="I210" s="806"/>
      <c r="J210" s="806"/>
      <c r="AB210" s="61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3:65" s="92" customFormat="1" ht="17.25" customHeight="1">
      <c r="F211" s="756" t="s">
        <v>418</v>
      </c>
      <c r="G211" s="756"/>
      <c r="H211" s="756">
        <f>SIN(U126)</f>
        <v>0.39269473245846198</v>
      </c>
      <c r="I211" s="756"/>
      <c r="J211" s="756">
        <f>SIN(U139)</f>
        <v>-0.46174861323503391</v>
      </c>
      <c r="K211" s="756"/>
      <c r="L211" s="766" t="s">
        <v>419</v>
      </c>
      <c r="M211" s="768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3:65" s="92" customFormat="1" ht="17.25" customHeight="1">
      <c r="F212" s="756" t="s">
        <v>417</v>
      </c>
      <c r="G212" s="756"/>
      <c r="H212" s="756">
        <f>COS(U138)</f>
        <v>0.91966887905342154</v>
      </c>
      <c r="I212" s="756"/>
      <c r="J212" s="756">
        <f>COS(U139)</f>
        <v>0.88701083317822171</v>
      </c>
      <c r="K212" s="756"/>
      <c r="L212" s="766" t="s">
        <v>420</v>
      </c>
      <c r="M212" s="768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3:65" s="92" customFormat="1" ht="17.25" customHeight="1">
      <c r="F213" s="800" t="s">
        <v>421</v>
      </c>
      <c r="G213" s="800"/>
      <c r="H213" s="800">
        <f>COS(U128)</f>
        <v>-0.48946320275339139</v>
      </c>
      <c r="I213" s="800"/>
      <c r="J213" s="233"/>
      <c r="K213" s="233"/>
      <c r="L213" s="233"/>
      <c r="M213" s="233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3:65" s="92" customFormat="1" ht="17.25" customHeight="1">
      <c r="F214" s="801" t="s">
        <v>422</v>
      </c>
      <c r="G214" s="802"/>
      <c r="H214" s="802"/>
      <c r="I214" s="802"/>
      <c r="J214" s="802"/>
      <c r="K214" s="802"/>
      <c r="L214" s="802"/>
      <c r="M214" s="803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3:65" s="92" customFormat="1" ht="17.25" customHeight="1">
      <c r="F215" s="756" t="s">
        <v>429</v>
      </c>
      <c r="G215" s="756"/>
      <c r="H215" s="766">
        <f>H211*J211+H212*J212*H213</f>
        <v>-0.58060891916590229</v>
      </c>
      <c r="I215" s="767"/>
      <c r="J215" s="767"/>
      <c r="K215" s="767"/>
      <c r="L215" s="767"/>
      <c r="M215" s="768"/>
      <c r="AB215" s="61"/>
      <c r="AC215">
        <f>ASIN(H215)*Outils!F5</f>
        <v>-35.493382173533256</v>
      </c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3:65" s="92" customFormat="1" ht="17.25" customHeight="1">
      <c r="C216" s="754" t="s">
        <v>423</v>
      </c>
      <c r="D216" s="754"/>
      <c r="E216" s="754" t="str">
        <f>angleDecimal2Txt(I126)</f>
        <v>-35°29.60 (-35.4933) [-35°29'36.17]</v>
      </c>
      <c r="F216" s="754"/>
      <c r="G216" s="754"/>
      <c r="H216" s="754"/>
      <c r="I216" s="754"/>
      <c r="J216" s="754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3:65" s="92" customFormat="1" ht="17.25" customHeight="1">
      <c r="C217" s="776" t="s">
        <v>663</v>
      </c>
      <c r="D217" s="777"/>
      <c r="E217" s="754" t="str">
        <f>angleDecimal2Txt((F84-I126),0)</f>
        <v>+67°57.97</v>
      </c>
      <c r="F217" s="754"/>
      <c r="G217" s="754"/>
      <c r="H217" s="754"/>
      <c r="I217" s="754"/>
      <c r="J217" s="754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3:65" ht="17.25" customHeight="1">
      <c r="C218" s="778"/>
      <c r="D218" s="779"/>
      <c r="E218" s="775" t="str">
        <f>CONCATENATE(V131,"  Mn")</f>
        <v>4077,97662936821  Mn</v>
      </c>
      <c r="F218" s="775"/>
      <c r="G218" s="775"/>
      <c r="H218" s="775"/>
      <c r="I218" s="775"/>
      <c r="J218" s="775"/>
      <c r="O218" s="764" t="s">
        <v>364</v>
      </c>
      <c r="P218" s="764" t="str" cm="1">
        <f t="array" ref="P218">latitudeDecimal2Txt(V132,0)</f>
        <v>N 23°07.33</v>
      </c>
      <c r="Q218" s="764"/>
      <c r="AC218" s="248">
        <f>V131</f>
        <v>4077.9766293682137</v>
      </c>
    </row>
    <row r="219" spans="3:65" ht="17.25" customHeight="1">
      <c r="C219" s="780"/>
      <c r="D219" s="781"/>
      <c r="E219" s="775" t="str">
        <f>X131</f>
        <v>Vers Pg</v>
      </c>
      <c r="F219" s="811"/>
      <c r="G219" s="811"/>
      <c r="H219" s="811"/>
      <c r="I219" s="811"/>
      <c r="J219" s="811"/>
      <c r="O219" s="765"/>
      <c r="P219" s="765" t="str" cm="1">
        <f t="array" ref="P219">longitudeDecimal2Txt(V133,0)</f>
        <v>W 56°18.31</v>
      </c>
      <c r="Q219" s="764"/>
    </row>
    <row r="220" spans="3:65" ht="17.25" customHeight="1">
      <c r="F220" s="801" t="s">
        <v>573</v>
      </c>
      <c r="G220" s="802"/>
      <c r="H220" s="802"/>
      <c r="I220" s="802"/>
      <c r="J220" s="802"/>
      <c r="K220" s="802"/>
      <c r="L220" s="802"/>
      <c r="M220" s="802"/>
      <c r="N220" s="802"/>
      <c r="O220" s="802"/>
      <c r="P220" s="803"/>
      <c r="Q220" s="233"/>
    </row>
    <row r="221" spans="3:65" ht="17.25" customHeight="1">
      <c r="D221" s="798" t="s">
        <v>574</v>
      </c>
      <c r="E221" s="799"/>
      <c r="F221" s="774" t="s">
        <v>583</v>
      </c>
      <c r="G221" s="774"/>
      <c r="H221" s="774">
        <f>SIGN(Q139*Q138)*ABS(Q138)</f>
        <v>-23.122277777777775</v>
      </c>
      <c r="I221" s="774"/>
      <c r="J221" s="772" t="s">
        <v>581</v>
      </c>
      <c r="K221" s="773"/>
      <c r="L221" s="772">
        <f>SIN(H221*Outils!$F$4)</f>
        <v>-0.39269473245846198</v>
      </c>
      <c r="M221" s="773"/>
      <c r="N221" s="772" t="s">
        <v>582</v>
      </c>
      <c r="O221" s="773"/>
      <c r="P221" s="772">
        <f>COS(H221*Outils!$F$4)</f>
        <v>0.91966887905342154</v>
      </c>
      <c r="Q221" s="773"/>
    </row>
    <row r="222" spans="3:65" ht="17.25" customHeight="1">
      <c r="D222" s="798"/>
      <c r="E222" s="799"/>
      <c r="F222" s="772" t="s">
        <v>578</v>
      </c>
      <c r="G222" s="794"/>
      <c r="H222" s="774">
        <f>ABS(Q139)</f>
        <v>27.5</v>
      </c>
      <c r="I222" s="774"/>
      <c r="J222" s="795" t="s">
        <v>579</v>
      </c>
      <c r="K222" s="796"/>
      <c r="L222" s="772">
        <f>SIN(H222*Outils!$F$4)</f>
        <v>0.46174861323503391</v>
      </c>
      <c r="M222" s="773"/>
      <c r="N222" s="795" t="s">
        <v>580</v>
      </c>
      <c r="O222" s="796"/>
      <c r="P222" s="772">
        <f>COS(H222*Outils!$F$4)</f>
        <v>0.88701083317822171</v>
      </c>
      <c r="Q222" s="773"/>
    </row>
    <row r="223" spans="3:65" ht="17.25" customHeight="1">
      <c r="D223" s="798"/>
      <c r="E223" s="799"/>
      <c r="F223" s="772" t="s">
        <v>575</v>
      </c>
      <c r="G223" s="773"/>
      <c r="H223" s="772">
        <f>IF(Q140&gt;180,(-1)*Q140,Q140)</f>
        <v>119.30530555555555</v>
      </c>
      <c r="I223" s="773"/>
      <c r="J223" s="772" t="s">
        <v>576</v>
      </c>
      <c r="K223" s="773"/>
      <c r="L223" s="772">
        <f>SIN(H223*Outils!$F$4)</f>
        <v>0.87202395216553108</v>
      </c>
      <c r="M223" s="773"/>
      <c r="N223" s="772" t="s">
        <v>577</v>
      </c>
      <c r="O223" s="773"/>
      <c r="P223" s="772">
        <f>COS(H223*Outils!$F$4)</f>
        <v>-0.48946320275339139</v>
      </c>
      <c r="Q223" s="773"/>
    </row>
    <row r="224" spans="3:65" ht="17.25" customHeight="1">
      <c r="F224" s="771" t="s">
        <v>572</v>
      </c>
      <c r="G224" s="771"/>
      <c r="H224" s="766">
        <f>(P221*L223)/((P222*L221)-(L222*P221*P223))</f>
        <v>-5.7091701285136098</v>
      </c>
      <c r="I224" s="767"/>
      <c r="J224" s="767"/>
      <c r="K224" s="767"/>
      <c r="L224" s="767"/>
      <c r="M224" s="768"/>
      <c r="N224" s="233"/>
      <c r="O224" s="233"/>
      <c r="P224" s="233"/>
      <c r="Q224" s="233"/>
      <c r="AC224">
        <f>ATAN(H224)*Outils!F5</f>
        <v>-80.065037417445026</v>
      </c>
      <c r="AD224">
        <f>IF(AC224&lt;0,AC224+180,AC224)</f>
        <v>99.934962582554974</v>
      </c>
    </row>
    <row r="225" spans="3:17" ht="17.25" customHeight="1">
      <c r="F225" s="756" t="s">
        <v>92</v>
      </c>
      <c r="G225" s="756"/>
      <c r="H225" s="766" t="str" cm="1">
        <f t="array" ref="H225">angleDecimal2Txt(I138,0)</f>
        <v>+99°56.09</v>
      </c>
      <c r="I225" s="767"/>
      <c r="J225" s="767"/>
      <c r="K225" s="767"/>
      <c r="L225" s="767"/>
      <c r="M225" s="768"/>
      <c r="N225" s="233"/>
      <c r="O225" s="233"/>
      <c r="P225" s="233"/>
      <c r="Q225" s="233"/>
    </row>
    <row r="226" spans="3:17" ht="17.25" customHeight="1">
      <c r="F226" s="782" t="s">
        <v>143</v>
      </c>
      <c r="G226" s="783"/>
      <c r="H226" s="783"/>
      <c r="I226" s="783"/>
      <c r="J226" s="783"/>
      <c r="K226" s="784"/>
      <c r="L226" s="782" t="s">
        <v>144</v>
      </c>
      <c r="M226" s="783"/>
      <c r="N226" s="783"/>
      <c r="O226" s="783"/>
      <c r="P226" s="783"/>
      <c r="Q226" s="784"/>
    </row>
    <row r="227" spans="3:17" ht="17.25" customHeight="1">
      <c r="F227" s="785"/>
      <c r="G227" s="787" t="s">
        <v>117</v>
      </c>
      <c r="H227" s="788"/>
      <c r="I227" s="789"/>
      <c r="J227" s="769" t="s">
        <v>118</v>
      </c>
      <c r="K227" s="770"/>
      <c r="L227" s="785"/>
      <c r="M227" s="787" t="s">
        <v>117</v>
      </c>
      <c r="N227" s="788"/>
      <c r="O227" s="789"/>
      <c r="P227" s="769" t="s">
        <v>119</v>
      </c>
      <c r="Q227" s="770"/>
    </row>
    <row r="228" spans="3:17" ht="17.25" customHeight="1">
      <c r="F228" s="786"/>
      <c r="G228" s="790" t="s">
        <v>87</v>
      </c>
      <c r="H228" s="791"/>
      <c r="I228" s="792"/>
      <c r="J228" s="762" t="s">
        <v>88</v>
      </c>
      <c r="K228" s="763"/>
      <c r="L228" s="786"/>
      <c r="M228" s="790" t="s">
        <v>87</v>
      </c>
      <c r="N228" s="791"/>
      <c r="O228" s="792"/>
      <c r="P228" s="762" t="s">
        <v>89</v>
      </c>
      <c r="Q228" s="763"/>
    </row>
    <row r="229" spans="3:17" ht="17.25" customHeight="1">
      <c r="F229" s="756" t="s">
        <v>427</v>
      </c>
      <c r="G229" s="756"/>
      <c r="H229" s="766" t="str">
        <f>IF(G32&gt;0,"Nord","Sud")</f>
        <v>Sud</v>
      </c>
      <c r="I229" s="767"/>
      <c r="J229" s="767"/>
      <c r="K229" s="767"/>
      <c r="L229" s="767"/>
      <c r="M229" s="768"/>
      <c r="N229" s="233"/>
      <c r="O229" s="233"/>
      <c r="P229" s="233"/>
      <c r="Q229" s="233"/>
    </row>
    <row r="230" spans="3:17" ht="17.25" customHeight="1">
      <c r="F230" s="756" t="s">
        <v>426</v>
      </c>
      <c r="G230" s="756"/>
      <c r="H230" s="766" t="b">
        <f>(F80&gt;180)</f>
        <v>0</v>
      </c>
      <c r="I230" s="767"/>
      <c r="J230" s="767"/>
      <c r="K230" s="767"/>
      <c r="L230" s="767"/>
      <c r="M230" s="768"/>
      <c r="N230" s="233"/>
      <c r="O230" s="233"/>
      <c r="P230" s="233"/>
      <c r="Q230" s="233"/>
    </row>
    <row r="231" spans="3:17" ht="17.25" customHeight="1">
      <c r="C231" s="775" t="s">
        <v>425</v>
      </c>
      <c r="D231" s="775"/>
      <c r="E231" s="775" t="str">
        <f>angleDecimal2Txt(T148,0)</f>
        <v>+279°56.09</v>
      </c>
      <c r="F231" s="775"/>
      <c r="G231" s="775"/>
      <c r="H231" s="775"/>
      <c r="I231" s="775"/>
      <c r="J231" s="775"/>
      <c r="O231" s="313" t="s">
        <v>628</v>
      </c>
      <c r="P231" s="793" t="str">
        <f>angleDecimal2Txt(astroModuloEnDegre(90+T148),0)</f>
        <v>+09°56.09</v>
      </c>
      <c r="Q231" s="793"/>
    </row>
    <row r="232" spans="3:17" ht="17.25" customHeight="1">
      <c r="O232"/>
      <c r="P232"/>
    </row>
    <row r="236" spans="3:17" ht="17.25" customHeight="1">
      <c r="P236" s="92"/>
    </row>
  </sheetData>
  <sheetProtection selectLockedCells="1"/>
  <protectedRanges>
    <protectedRange sqref="I11:Y11" name="Heure visee" securityDescriptor="O:WDG:WDD:(A;;CC;;;WD)"/>
  </protectedRanges>
  <dataConsolidate/>
  <mergeCells count="477">
    <mergeCell ref="A33:A34"/>
    <mergeCell ref="C40:C45"/>
    <mergeCell ref="I42:J45"/>
    <mergeCell ref="I40:J41"/>
    <mergeCell ref="D40:H41"/>
    <mergeCell ref="D42:H44"/>
    <mergeCell ref="D45:H45"/>
    <mergeCell ref="C74:C78"/>
    <mergeCell ref="D74:H75"/>
    <mergeCell ref="D76:H77"/>
    <mergeCell ref="D78:H78"/>
    <mergeCell ref="I76:I77"/>
    <mergeCell ref="I74:M75"/>
    <mergeCell ref="J76:M77"/>
    <mergeCell ref="C61:C66"/>
    <mergeCell ref="I61:J62"/>
    <mergeCell ref="I63:J66"/>
    <mergeCell ref="D61:H62"/>
    <mergeCell ref="D66:H66"/>
    <mergeCell ref="D63:H65"/>
    <mergeCell ref="C68:C72"/>
    <mergeCell ref="I68:J69"/>
    <mergeCell ref="I70:J72"/>
    <mergeCell ref="K72:M72"/>
    <mergeCell ref="E185:I185"/>
    <mergeCell ref="C202:D202"/>
    <mergeCell ref="C203:D203"/>
    <mergeCell ref="C210:D210"/>
    <mergeCell ref="C206:D206"/>
    <mergeCell ref="K196:M196"/>
    <mergeCell ref="K197:M197"/>
    <mergeCell ref="K198:M198"/>
    <mergeCell ref="J195:L195"/>
    <mergeCell ref="K204:M204"/>
    <mergeCell ref="K205:M205"/>
    <mergeCell ref="F204:G205"/>
    <mergeCell ref="C207:D207"/>
    <mergeCell ref="F208:G209"/>
    <mergeCell ref="E202:J202"/>
    <mergeCell ref="I143:I144"/>
    <mergeCell ref="O143:O144"/>
    <mergeCell ref="F220:P220"/>
    <mergeCell ref="R81:W81"/>
    <mergeCell ref="E217:J217"/>
    <mergeCell ref="E218:J218"/>
    <mergeCell ref="E219:J219"/>
    <mergeCell ref="E203:J203"/>
    <mergeCell ref="H204:J204"/>
    <mergeCell ref="H205:J205"/>
    <mergeCell ref="E206:J206"/>
    <mergeCell ref="E207:J207"/>
    <mergeCell ref="J208:M208"/>
    <mergeCell ref="J209:M209"/>
    <mergeCell ref="I81:L81"/>
    <mergeCell ref="F190:G190"/>
    <mergeCell ref="E187:I187"/>
    <mergeCell ref="E188:I188"/>
    <mergeCell ref="I140:M140"/>
    <mergeCell ref="I130:M131"/>
    <mergeCell ref="I132:M132"/>
    <mergeCell ref="F211:G211"/>
    <mergeCell ref="F212:G212"/>
    <mergeCell ref="F213:G213"/>
    <mergeCell ref="N196:P198"/>
    <mergeCell ref="D221:E223"/>
    <mergeCell ref="F196:J196"/>
    <mergeCell ref="J212:K212"/>
    <mergeCell ref="H213:I213"/>
    <mergeCell ref="F214:M214"/>
    <mergeCell ref="H215:M215"/>
    <mergeCell ref="F194:G194"/>
    <mergeCell ref="M155:N155"/>
    <mergeCell ref="H212:I212"/>
    <mergeCell ref="H194:L194"/>
    <mergeCell ref="E210:J210"/>
    <mergeCell ref="C216:D216"/>
    <mergeCell ref="E216:J216"/>
    <mergeCell ref="N223:O223"/>
    <mergeCell ref="F223:G223"/>
    <mergeCell ref="H223:I223"/>
    <mergeCell ref="L223:M223"/>
    <mergeCell ref="P223:Q223"/>
    <mergeCell ref="F197:J197"/>
    <mergeCell ref="F198:J198"/>
    <mergeCell ref="H190:L190"/>
    <mergeCell ref="L221:M221"/>
    <mergeCell ref="N221:O221"/>
    <mergeCell ref="C231:D231"/>
    <mergeCell ref="E231:J231"/>
    <mergeCell ref="F229:G229"/>
    <mergeCell ref="H229:M229"/>
    <mergeCell ref="F230:G230"/>
    <mergeCell ref="H230:M230"/>
    <mergeCell ref="C217:D219"/>
    <mergeCell ref="F226:K226"/>
    <mergeCell ref="L226:Q226"/>
    <mergeCell ref="F227:F228"/>
    <mergeCell ref="G227:I227"/>
    <mergeCell ref="J227:K227"/>
    <mergeCell ref="L227:L228"/>
    <mergeCell ref="M227:O227"/>
    <mergeCell ref="G228:I228"/>
    <mergeCell ref="J228:K228"/>
    <mergeCell ref="M228:O228"/>
    <mergeCell ref="P231:Q231"/>
    <mergeCell ref="P221:Q221"/>
    <mergeCell ref="F222:G222"/>
    <mergeCell ref="H222:I222"/>
    <mergeCell ref="J222:K222"/>
    <mergeCell ref="L222:M222"/>
    <mergeCell ref="N222:O222"/>
    <mergeCell ref="P228:Q228"/>
    <mergeCell ref="O218:O219"/>
    <mergeCell ref="P218:Q218"/>
    <mergeCell ref="P219:Q219"/>
    <mergeCell ref="F225:G225"/>
    <mergeCell ref="H225:M225"/>
    <mergeCell ref="P227:Q227"/>
    <mergeCell ref="H208:I208"/>
    <mergeCell ref="H209:I209"/>
    <mergeCell ref="F215:G215"/>
    <mergeCell ref="H211:I211"/>
    <mergeCell ref="J211:K211"/>
    <mergeCell ref="L211:M211"/>
    <mergeCell ref="L212:M212"/>
    <mergeCell ref="F224:G224"/>
    <mergeCell ref="H224:M224"/>
    <mergeCell ref="P222:Q222"/>
    <mergeCell ref="J223:K223"/>
    <mergeCell ref="F221:G221"/>
    <mergeCell ref="H221:I221"/>
    <mergeCell ref="J221:K221"/>
    <mergeCell ref="AC60:AC61"/>
    <mergeCell ref="C187:D187"/>
    <mergeCell ref="C188:D188"/>
    <mergeCell ref="E189:I189"/>
    <mergeCell ref="H191:L191"/>
    <mergeCell ref="H192:L192"/>
    <mergeCell ref="H193:L193"/>
    <mergeCell ref="E195:I195"/>
    <mergeCell ref="G85:I85"/>
    <mergeCell ref="F86:I86"/>
    <mergeCell ref="I108:N108"/>
    <mergeCell ref="I107:N107"/>
    <mergeCell ref="F191:G191"/>
    <mergeCell ref="F192:G192"/>
    <mergeCell ref="F193:G193"/>
    <mergeCell ref="C186:D186"/>
    <mergeCell ref="E186:I186"/>
    <mergeCell ref="I181:L181"/>
    <mergeCell ref="D181:G181"/>
    <mergeCell ref="J189:L189"/>
    <mergeCell ref="C185:D185"/>
    <mergeCell ref="N68:R69"/>
    <mergeCell ref="S68:W69"/>
    <mergeCell ref="T133:U133"/>
    <mergeCell ref="V132:W132"/>
    <mergeCell ref="V133:W133"/>
    <mergeCell ref="F114:I114"/>
    <mergeCell ref="H101:N101"/>
    <mergeCell ref="O110:R110"/>
    <mergeCell ref="L119:M119"/>
    <mergeCell ref="L120:M120"/>
    <mergeCell ref="O119:P119"/>
    <mergeCell ref="O108:R109"/>
    <mergeCell ref="I106:N106"/>
    <mergeCell ref="G105:S105"/>
    <mergeCell ref="S106:S107"/>
    <mergeCell ref="O106:R107"/>
    <mergeCell ref="H112:N112"/>
    <mergeCell ref="O112:R112"/>
    <mergeCell ref="H122:N122"/>
    <mergeCell ref="O122:R122"/>
    <mergeCell ref="I126:M127"/>
    <mergeCell ref="U122:Z122"/>
    <mergeCell ref="I109:N109"/>
    <mergeCell ref="W120:AA120"/>
    <mergeCell ref="X126:X128"/>
    <mergeCell ref="T126:T128"/>
    <mergeCell ref="I128:M128"/>
    <mergeCell ref="B181:C181"/>
    <mergeCell ref="B182:C182"/>
    <mergeCell ref="D182:E182"/>
    <mergeCell ref="T70:W71"/>
    <mergeCell ref="S70:S71"/>
    <mergeCell ref="N70:N71"/>
    <mergeCell ref="N61:R62"/>
    <mergeCell ref="N63:N64"/>
    <mergeCell ref="G34:I35"/>
    <mergeCell ref="C34:F35"/>
    <mergeCell ref="E166:F166"/>
    <mergeCell ref="G166:L166"/>
    <mergeCell ref="I147:J147"/>
    <mergeCell ref="I148:J148"/>
    <mergeCell ref="N146:O146"/>
    <mergeCell ref="L147:M147"/>
    <mergeCell ref="L148:M148"/>
    <mergeCell ref="O142:T142"/>
    <mergeCell ref="I142:N142"/>
    <mergeCell ref="I138:M139"/>
    <mergeCell ref="E138:H140"/>
    <mergeCell ref="O137:P137"/>
    <mergeCell ref="Q137:S137"/>
    <mergeCell ref="U137:W137"/>
    <mergeCell ref="X132:AC132"/>
    <mergeCell ref="X133:AC133"/>
    <mergeCell ref="M84:N84"/>
    <mergeCell ref="O120:P120"/>
    <mergeCell ref="U99:Z99"/>
    <mergeCell ref="H89:N89"/>
    <mergeCell ref="R91:S91"/>
    <mergeCell ref="U112:Z112"/>
    <mergeCell ref="S108:S109"/>
    <mergeCell ref="O102:R102"/>
    <mergeCell ref="O97:R97"/>
    <mergeCell ref="G106:H107"/>
    <mergeCell ref="O89:R89"/>
    <mergeCell ref="H93:N93"/>
    <mergeCell ref="E126:H128"/>
    <mergeCell ref="E130:H132"/>
    <mergeCell ref="Q126:S126"/>
    <mergeCell ref="Q127:S127"/>
    <mergeCell ref="H94:N94"/>
    <mergeCell ref="O103:R103"/>
    <mergeCell ref="S132:S133"/>
    <mergeCell ref="S96:U96"/>
    <mergeCell ref="O101:R101"/>
    <mergeCell ref="T132:U132"/>
    <mergeCell ref="AC39:AC40"/>
    <mergeCell ref="AC85:AC86"/>
    <mergeCell ref="C81:H81"/>
    <mergeCell ref="K49:M50"/>
    <mergeCell ref="K47:M48"/>
    <mergeCell ref="O70:R71"/>
    <mergeCell ref="T49:W50"/>
    <mergeCell ref="O49:R50"/>
    <mergeCell ref="N47:R48"/>
    <mergeCell ref="S51:W51"/>
    <mergeCell ref="S72:W72"/>
    <mergeCell ref="N72:R72"/>
    <mergeCell ref="J86:L86"/>
    <mergeCell ref="S84:U84"/>
    <mergeCell ref="V84:Z84"/>
    <mergeCell ref="K65:M66"/>
    <mergeCell ref="C39:F39"/>
    <mergeCell ref="O63:R64"/>
    <mergeCell ref="J80:L80"/>
    <mergeCell ref="C47:C51"/>
    <mergeCell ref="I47:J48"/>
    <mergeCell ref="D47:H48"/>
    <mergeCell ref="D49:H50"/>
    <mergeCell ref="D51:H51"/>
    <mergeCell ref="AD102:AE102"/>
    <mergeCell ref="AD103:AE103"/>
    <mergeCell ref="AD104:AE104"/>
    <mergeCell ref="D84:E84"/>
    <mergeCell ref="S97:U97"/>
    <mergeCell ref="S98:U98"/>
    <mergeCell ref="U87:Z87"/>
    <mergeCell ref="H97:N97"/>
    <mergeCell ref="O87:R87"/>
    <mergeCell ref="H87:N87"/>
    <mergeCell ref="F84:H84"/>
    <mergeCell ref="U103:Z103"/>
    <mergeCell ref="U88:Z88"/>
    <mergeCell ref="M90:P90"/>
    <mergeCell ref="U91:Z91"/>
    <mergeCell ref="U93:Z93"/>
    <mergeCell ref="O88:R88"/>
    <mergeCell ref="H98:N98"/>
    <mergeCell ref="U94:Z94"/>
    <mergeCell ref="O94:R94"/>
    <mergeCell ref="O98:R98"/>
    <mergeCell ref="H99:N99"/>
    <mergeCell ref="O99:R99"/>
    <mergeCell ref="H103:N103"/>
    <mergeCell ref="Q9:U10"/>
    <mergeCell ref="C18:I18"/>
    <mergeCell ref="J20:L20"/>
    <mergeCell ref="J19:L19"/>
    <mergeCell ref="C16:I16"/>
    <mergeCell ref="J16:L16"/>
    <mergeCell ref="C15:I15"/>
    <mergeCell ref="J15:O15"/>
    <mergeCell ref="P18:X18"/>
    <mergeCell ref="J18:L18"/>
    <mergeCell ref="C19:I19"/>
    <mergeCell ref="V11:Y11"/>
    <mergeCell ref="L11:P11"/>
    <mergeCell ref="Q11:U11"/>
    <mergeCell ref="M16:O16"/>
    <mergeCell ref="V9:Y10"/>
    <mergeCell ref="I11:K11"/>
    <mergeCell ref="I9:K10"/>
    <mergeCell ref="E12:H12"/>
    <mergeCell ref="P16:X16"/>
    <mergeCell ref="C20:I20"/>
    <mergeCell ref="P20:X20"/>
    <mergeCell ref="E11:H11"/>
    <mergeCell ref="X145:Z145"/>
    <mergeCell ref="J143:L143"/>
    <mergeCell ref="J144:L144"/>
    <mergeCell ref="M143:N143"/>
    <mergeCell ref="M144:N144"/>
    <mergeCell ref="P143:R143"/>
    <mergeCell ref="P144:R144"/>
    <mergeCell ref="S143:T143"/>
    <mergeCell ref="O136:AA136"/>
    <mergeCell ref="O139:P139"/>
    <mergeCell ref="Q139:S139"/>
    <mergeCell ref="U139:W139"/>
    <mergeCell ref="O140:P140"/>
    <mergeCell ref="Q140:S140"/>
    <mergeCell ref="U140:W140"/>
    <mergeCell ref="T145:V145"/>
    <mergeCell ref="S144:T144"/>
    <mergeCell ref="O138:P138"/>
    <mergeCell ref="Q138:S138"/>
    <mergeCell ref="P27:R27"/>
    <mergeCell ref="F24:I26"/>
    <mergeCell ref="G60:I60"/>
    <mergeCell ref="J55:M56"/>
    <mergeCell ref="C32:F33"/>
    <mergeCell ref="M21:O21"/>
    <mergeCell ref="K32:O33"/>
    <mergeCell ref="S28:X28"/>
    <mergeCell ref="P25:R25"/>
    <mergeCell ref="P28:R28"/>
    <mergeCell ref="C23:I23"/>
    <mergeCell ref="P32:Y33"/>
    <mergeCell ref="M27:O29"/>
    <mergeCell ref="J34:J35"/>
    <mergeCell ref="S44:W45"/>
    <mergeCell ref="P29:X29"/>
    <mergeCell ref="M23:O23"/>
    <mergeCell ref="J23:L23"/>
    <mergeCell ref="I49:J51"/>
    <mergeCell ref="K51:M51"/>
    <mergeCell ref="C53:C57"/>
    <mergeCell ref="D53:H54"/>
    <mergeCell ref="D55:H56"/>
    <mergeCell ref="D57:H57"/>
    <mergeCell ref="X131:Y131"/>
    <mergeCell ref="P34:Y35"/>
    <mergeCell ref="G32:I33"/>
    <mergeCell ref="U126:W126"/>
    <mergeCell ref="O125:AA125"/>
    <mergeCell ref="U127:W127"/>
    <mergeCell ref="U128:W128"/>
    <mergeCell ref="O126:P126"/>
    <mergeCell ref="O127:P127"/>
    <mergeCell ref="O128:P128"/>
    <mergeCell ref="O131:S131"/>
    <mergeCell ref="S63:X64"/>
    <mergeCell ref="S65:X66"/>
    <mergeCell ref="N65:N66"/>
    <mergeCell ref="O65:R66"/>
    <mergeCell ref="K68:M69"/>
    <mergeCell ref="D70:H71"/>
    <mergeCell ref="D68:H69"/>
    <mergeCell ref="D72:H72"/>
    <mergeCell ref="G1:Y2"/>
    <mergeCell ref="C8:D8"/>
    <mergeCell ref="C9:D11"/>
    <mergeCell ref="G3:I4"/>
    <mergeCell ref="J3:L4"/>
    <mergeCell ref="C1:F4"/>
    <mergeCell ref="L59:M59"/>
    <mergeCell ref="C60:F60"/>
    <mergeCell ref="F59:H59"/>
    <mergeCell ref="K40:M41"/>
    <mergeCell ref="E9:H10"/>
    <mergeCell ref="G39:I39"/>
    <mergeCell ref="M18:O18"/>
    <mergeCell ref="S49:S50"/>
    <mergeCell ref="P21:X21"/>
    <mergeCell ref="K34:O35"/>
    <mergeCell ref="N40:R41"/>
    <mergeCell ref="N49:N50"/>
    <mergeCell ref="S25:X25"/>
    <mergeCell ref="N3:P4"/>
    <mergeCell ref="C24:E26"/>
    <mergeCell ref="C22:I22"/>
    <mergeCell ref="J22:L22"/>
    <mergeCell ref="K44:M45"/>
    <mergeCell ref="Q3:S4"/>
    <mergeCell ref="I8:K8"/>
    <mergeCell ref="L8:O8"/>
    <mergeCell ref="C168:E168"/>
    <mergeCell ref="D169:E169"/>
    <mergeCell ref="C154:F154"/>
    <mergeCell ref="L149:M149"/>
    <mergeCell ref="I149:K149"/>
    <mergeCell ref="H154:J154"/>
    <mergeCell ref="L154:N154"/>
    <mergeCell ref="E155:F155"/>
    <mergeCell ref="E156:F156"/>
    <mergeCell ref="I155:J155"/>
    <mergeCell ref="C164:F164"/>
    <mergeCell ref="E165:F165"/>
    <mergeCell ref="G165:L165"/>
    <mergeCell ref="N118:N119"/>
    <mergeCell ref="L9:P10"/>
    <mergeCell ref="M20:O20"/>
    <mergeCell ref="M19:O19"/>
    <mergeCell ref="E8:G8"/>
    <mergeCell ref="I53:M54"/>
    <mergeCell ref="Q118:Q119"/>
    <mergeCell ref="Q128:S128"/>
    <mergeCell ref="X7:Y7"/>
    <mergeCell ref="N81:Q81"/>
    <mergeCell ref="O91:P91"/>
    <mergeCell ref="O93:R93"/>
    <mergeCell ref="C85:F85"/>
    <mergeCell ref="C17:I17"/>
    <mergeCell ref="F80:H80"/>
    <mergeCell ref="K42:M43"/>
    <mergeCell ref="H88:N88"/>
    <mergeCell ref="U89:Z89"/>
    <mergeCell ref="K63:M64"/>
    <mergeCell ref="I55:I56"/>
    <mergeCell ref="N44:N45"/>
    <mergeCell ref="O44:R45"/>
    <mergeCell ref="C21:I21"/>
    <mergeCell ref="S42:W43"/>
    <mergeCell ref="M22:O22"/>
    <mergeCell ref="F38:H38"/>
    <mergeCell ref="J32:J33"/>
    <mergeCell ref="C27:I29"/>
    <mergeCell ref="T7:V7"/>
    <mergeCell ref="P26:X26"/>
    <mergeCell ref="P24:R24"/>
    <mergeCell ref="J24:L26"/>
    <mergeCell ref="M24:O26"/>
    <mergeCell ref="J27:L29"/>
    <mergeCell ref="X137:X140"/>
    <mergeCell ref="U116:V116"/>
    <mergeCell ref="U117:V117"/>
    <mergeCell ref="U118:V118"/>
    <mergeCell ref="K118:K119"/>
    <mergeCell ref="P17:X17"/>
    <mergeCell ref="M17:O17"/>
    <mergeCell ref="J17:L17"/>
    <mergeCell ref="K70:M71"/>
    <mergeCell ref="M80:O80"/>
    <mergeCell ref="J21:L21"/>
    <mergeCell ref="N51:R51"/>
    <mergeCell ref="K61:M62"/>
    <mergeCell ref="S47:W48"/>
    <mergeCell ref="N42:N43"/>
    <mergeCell ref="O42:R43"/>
    <mergeCell ref="T137:T140"/>
    <mergeCell ref="H91:N91"/>
    <mergeCell ref="J114:L114"/>
    <mergeCell ref="H102:N102"/>
    <mergeCell ref="I110:N110"/>
    <mergeCell ref="U138:W138"/>
    <mergeCell ref="X146:Z146"/>
    <mergeCell ref="AE169:AF170"/>
    <mergeCell ref="AE172:AF173"/>
    <mergeCell ref="AE175:AF176"/>
    <mergeCell ref="O148:S148"/>
    <mergeCell ref="S166:T166"/>
    <mergeCell ref="U166:Z166"/>
    <mergeCell ref="S155:T155"/>
    <mergeCell ref="S156:T156"/>
    <mergeCell ref="R159:S159"/>
    <mergeCell ref="Q154:T154"/>
    <mergeCell ref="Q158:S158"/>
    <mergeCell ref="U155:Z155"/>
    <mergeCell ref="U156:Z156"/>
    <mergeCell ref="S165:T165"/>
    <mergeCell ref="U165:Z165"/>
    <mergeCell ref="T149:Y149"/>
    <mergeCell ref="T146:V146"/>
    <mergeCell ref="Q146:S146"/>
    <mergeCell ref="T148:U148"/>
  </mergeCells>
  <dataValidations disablePrompts="1" count="5">
    <dataValidation type="list" allowBlank="1" showInputMessage="1" showErrorMessage="1" sqref="G39:I39" xr:uid="{00000000-0002-0000-0000-000001000000}">
      <formula1>$AD$38:$AD$40</formula1>
    </dataValidation>
    <dataValidation type="list" allowBlank="1" showInputMessage="1" showErrorMessage="1" sqref="G60:I60" xr:uid="{50D1CF2E-A52D-457F-A9A8-4919FA8F17C2}">
      <formula1>$AD$59:$AD$61</formula1>
    </dataValidation>
    <dataValidation type="list" allowBlank="1" showInputMessage="1" showErrorMessage="1" sqref="G85:I85" xr:uid="{00000000-0002-0000-0000-000005000000}">
      <formula1>$AD$85:$AD$86</formula1>
    </dataValidation>
    <dataValidation type="list" allowBlank="1" showInputMessage="1" showErrorMessage="1" sqref="M23:O23" xr:uid="{00000000-0002-0000-0000-000004000000}">
      <formula1>$AD$26:$AF$26</formula1>
    </dataValidation>
    <dataValidation type="list" allowBlank="1" showInputMessage="1" showErrorMessage="1" sqref="J15:O15" xr:uid="{7F049D0D-1AEC-4237-A687-FB2106A4CD47}">
      <formula1>$AC$15:$AD$15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7_Click">
                <anchor moveWithCells="1" sizeWithCells="1">
                  <from>
                    <xdr:col>5</xdr:col>
                    <xdr:colOff>285750</xdr:colOff>
                    <xdr:row>177</xdr:row>
                    <xdr:rowOff>104775</xdr:rowOff>
                  </from>
                  <to>
                    <xdr:col>7</xdr:col>
                    <xdr:colOff>295275</xdr:colOff>
                    <xdr:row>178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53</xdr:row>
                    <xdr:rowOff>38100</xdr:rowOff>
                  </from>
                  <to>
                    <xdr:col>16</xdr:col>
                    <xdr:colOff>9525</xdr:colOff>
                    <xdr:row>54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653191E-CB98-4522-A51F-7CD06FB15694}">
          <x14:formula1>
            <xm:f>Outils!$C$9:$C$10</xm:f>
          </x14:formula1>
          <xm:sqref>J32:J33 N42:N45 N49:N50 S49:S50 I55:I56</xm:sqref>
        </x14:dataValidation>
        <x14:dataValidation type="list" allowBlank="1" showInputMessage="1" showErrorMessage="1" xr:uid="{D41A90F5-AEDE-4C75-85CA-F3CD60CD75C9}">
          <x14:formula1>
            <xm:f>Outils!$D$9:$D$10</xm:f>
          </x14:formula1>
          <xm:sqref>J34:J35</xm:sqref>
        </x14:dataValidation>
        <x14:dataValidation type="list" allowBlank="1" showInputMessage="1" showErrorMessage="1" xr:uid="{E874DA1D-555D-4BA2-A636-6E55CD76AAEB}">
          <x14:formula1>
            <xm:f>Outils!$D$9</xm:f>
          </x14:formula1>
          <xm:sqref>N63:N66 N70:N71 S70:S71 I76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sheetPr codeName="Feuil2">
    <pageSetUpPr fitToPage="1"/>
  </sheetPr>
  <dimension ref="A1:BO244"/>
  <sheetViews>
    <sheetView topLeftCell="A217" zoomScaleNormal="100" workbookViewId="0">
      <selection activeCell="H232" sqref="H232:M232"/>
    </sheetView>
  </sheetViews>
  <sheetFormatPr baseColWidth="10" defaultColWidth="6" defaultRowHeight="15" outlineLevelRow="1"/>
  <cols>
    <col min="3" max="4" width="7" customWidth="1"/>
    <col min="6" max="6" width="8.42578125" bestFit="1" customWidth="1"/>
    <col min="9" max="9" width="8.5703125" bestFit="1" customWidth="1"/>
    <col min="11" max="11" width="8" bestFit="1" customWidth="1"/>
    <col min="14" max="14" width="8.5703125" bestFit="1" customWidth="1"/>
    <col min="21" max="21" width="11.5703125" bestFit="1" customWidth="1"/>
    <col min="22" max="22" width="6.28515625" customWidth="1"/>
    <col min="23" max="23" width="7.140625" bestFit="1" customWidth="1"/>
    <col min="28" max="28" width="1.28515625" style="334" customWidth="1"/>
    <col min="29" max="30" width="16.140625" customWidth="1"/>
    <col min="31" max="31" width="22.28515625" customWidth="1"/>
    <col min="33" max="33" width="9.5703125" bestFit="1" customWidth="1"/>
  </cols>
  <sheetData>
    <row r="1" spans="1:66" s="16" customFormat="1" ht="9" customHeight="1">
      <c r="C1" s="549" t="s">
        <v>132</v>
      </c>
      <c r="D1" s="549"/>
      <c r="E1" s="549"/>
      <c r="F1" s="549"/>
      <c r="G1" s="537" t="s">
        <v>133</v>
      </c>
      <c r="H1" s="537"/>
      <c r="I1" s="537"/>
      <c r="J1" s="537"/>
      <c r="K1" s="537"/>
      <c r="L1" s="537"/>
      <c r="M1" s="537"/>
      <c r="N1" s="537"/>
      <c r="O1" s="537"/>
      <c r="P1" s="537"/>
      <c r="Q1" s="537"/>
      <c r="R1" s="537"/>
      <c r="S1" s="537"/>
      <c r="T1" s="537"/>
      <c r="U1" s="537"/>
      <c r="V1" s="537"/>
      <c r="W1" s="537"/>
      <c r="X1" s="537"/>
      <c r="Y1" s="537"/>
      <c r="AB1" s="34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9" customHeight="1">
      <c r="C2" s="549"/>
      <c r="D2" s="549"/>
      <c r="E2" s="549"/>
      <c r="F2" s="549"/>
      <c r="G2" s="537"/>
      <c r="H2" s="537"/>
      <c r="I2" s="537"/>
      <c r="J2" s="537"/>
      <c r="K2" s="537"/>
      <c r="L2" s="537"/>
      <c r="M2" s="537"/>
      <c r="N2" s="537"/>
      <c r="O2" s="537"/>
      <c r="P2" s="537"/>
      <c r="Q2" s="537"/>
      <c r="R2" s="537"/>
      <c r="S2" s="537"/>
      <c r="T2" s="537"/>
      <c r="U2" s="537"/>
      <c r="V2" s="537"/>
      <c r="W2" s="537"/>
      <c r="X2" s="537"/>
      <c r="Y2" s="537"/>
      <c r="AB2" s="341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9" customHeight="1">
      <c r="C3" s="549"/>
      <c r="D3" s="549"/>
      <c r="E3" s="549"/>
      <c r="F3" s="549"/>
      <c r="G3" s="546" t="s">
        <v>137</v>
      </c>
      <c r="H3" s="546"/>
      <c r="I3" s="546"/>
      <c r="J3" s="547" t="s">
        <v>136</v>
      </c>
      <c r="K3" s="547"/>
      <c r="L3" s="547"/>
      <c r="N3" s="561" t="s">
        <v>227</v>
      </c>
      <c r="O3" s="561"/>
      <c r="P3" s="561"/>
      <c r="Q3" s="513" t="s">
        <v>192</v>
      </c>
      <c r="R3" s="513"/>
      <c r="S3" s="513"/>
      <c r="AB3" s="341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9" customHeight="1">
      <c r="C4" s="549"/>
      <c r="D4" s="549"/>
      <c r="E4" s="549"/>
      <c r="F4" s="549"/>
      <c r="G4" s="429"/>
      <c r="H4" s="429"/>
      <c r="I4" s="429"/>
      <c r="J4" s="548"/>
      <c r="K4" s="548"/>
      <c r="L4" s="548"/>
      <c r="N4" s="561"/>
      <c r="O4" s="561"/>
      <c r="P4" s="561"/>
      <c r="Q4" s="513"/>
      <c r="R4" s="513"/>
      <c r="S4" s="513"/>
      <c r="AB4" s="341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>
      <c r="C5" s="59"/>
      <c r="D5" s="59"/>
      <c r="E5" s="59"/>
      <c r="F5" s="59"/>
      <c r="G5" s="59"/>
      <c r="AB5" s="34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ht="15.75" thickBot="1"/>
    <row r="7" spans="1:66" s="16" customFormat="1" ht="17.25" customHeight="1" thickBot="1">
      <c r="B7" s="249" t="s">
        <v>259</v>
      </c>
      <c r="C7" s="250"/>
      <c r="D7" s="250"/>
      <c r="E7" s="250"/>
      <c r="F7" s="250"/>
      <c r="G7" s="250"/>
      <c r="H7" s="250"/>
      <c r="I7" s="250"/>
      <c r="J7" s="250"/>
      <c r="K7" s="250"/>
      <c r="L7" s="94" t="str">
        <f>dateDecimale2txt(dateConvert2Decimal(F8),0)</f>
        <v>2025/06/30</v>
      </c>
      <c r="M7" s="310"/>
      <c r="N7" s="26" t="s">
        <v>317</v>
      </c>
      <c r="O7" s="26"/>
      <c r="P7" s="26"/>
      <c r="Q7" s="26"/>
      <c r="R7" s="26"/>
      <c r="S7" s="26" t="s">
        <v>318</v>
      </c>
      <c r="T7" s="508">
        <f>dateConvert2Decimal(F8)</f>
        <v>1751241600</v>
      </c>
      <c r="U7" s="508"/>
      <c r="V7" s="508"/>
      <c r="W7" s="26" t="s">
        <v>319</v>
      </c>
      <c r="X7" s="470">
        <f>(T7/86400)+DATE(1970,1,1)</f>
        <v>45838</v>
      </c>
      <c r="Y7" s="470"/>
      <c r="Z7" s="26" t="s">
        <v>320</v>
      </c>
      <c r="AA7" s="247">
        <f>INT(MONTH(X7))</f>
        <v>6</v>
      </c>
      <c r="AB7" s="342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7.25" customHeight="1" thickBot="1">
      <c r="C8" s="946" t="s">
        <v>1</v>
      </c>
      <c r="D8" s="947"/>
      <c r="E8" s="947"/>
      <c r="F8" s="529" t="s">
        <v>228</v>
      </c>
      <c r="G8" s="530"/>
      <c r="H8" s="530"/>
      <c r="L8"/>
      <c r="M8"/>
      <c r="N8"/>
      <c r="O8"/>
      <c r="AB8" s="343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 thickTop="1" thickBot="1">
      <c r="C9" s="938" t="s">
        <v>251</v>
      </c>
      <c r="D9" s="939"/>
      <c r="E9" s="940"/>
      <c r="F9" s="573">
        <f>heureConvert2Decimal(I9)</f>
        <v>10.343055555555557</v>
      </c>
      <c r="G9" s="574"/>
      <c r="H9" s="574"/>
      <c r="I9" s="899" t="s">
        <v>545</v>
      </c>
      <c r="J9" s="679"/>
      <c r="K9" s="679"/>
      <c r="L9" s="679"/>
      <c r="M9" s="679"/>
      <c r="N9" s="900"/>
      <c r="O9" s="493" t="str">
        <f>heureDecimal2Txt(F9)</f>
        <v>10:20:35.00(10.3430)</v>
      </c>
      <c r="P9" s="493"/>
      <c r="Q9" s="493"/>
      <c r="R9" s="493"/>
      <c r="S9" s="493"/>
      <c r="T9" s="493"/>
      <c r="U9" s="493"/>
      <c r="V9" s="493"/>
      <c r="W9" s="493"/>
      <c r="X9" s="493"/>
      <c r="Y9" s="14"/>
      <c r="Z9" s="14"/>
      <c r="AB9" s="341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Top="1" thickBot="1">
      <c r="C10" s="941"/>
      <c r="D10" s="942"/>
      <c r="E10" s="943"/>
      <c r="F10" s="574"/>
      <c r="G10" s="574"/>
      <c r="H10" s="574"/>
      <c r="I10" s="901"/>
      <c r="J10" s="445"/>
      <c r="K10" s="445"/>
      <c r="L10" s="445"/>
      <c r="M10" s="445"/>
      <c r="N10" s="902"/>
      <c r="O10" s="493"/>
      <c r="P10" s="493"/>
      <c r="Q10" s="493"/>
      <c r="R10" s="493"/>
      <c r="S10" s="493"/>
      <c r="T10" s="493"/>
      <c r="U10" s="493"/>
      <c r="V10" s="493"/>
      <c r="W10" s="493"/>
      <c r="X10" s="493"/>
      <c r="Y10" s="14"/>
      <c r="Z10" s="14"/>
      <c r="AB10" s="341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2" customHeight="1" thickTop="1" thickBot="1">
      <c r="A11"/>
      <c r="B11"/>
      <c r="C11" s="933" t="s">
        <v>7</v>
      </c>
      <c r="D11" s="824"/>
      <c r="E11" s="934"/>
      <c r="F11" s="573">
        <f>AD12</f>
        <v>46.1</v>
      </c>
      <c r="G11" s="574"/>
      <c r="H11" s="574"/>
      <c r="I11" s="455" t="s">
        <v>3</v>
      </c>
      <c r="J11" s="558" t="s">
        <v>269</v>
      </c>
      <c r="K11" s="455"/>
      <c r="L11" s="455"/>
      <c r="M11" s="455"/>
      <c r="N11" s="455"/>
      <c r="O11" s="493" t="str" cm="1">
        <f t="array" ref="O11">latitudeDecimal2Txt(F11)</f>
        <v>N 46°06.00 (N 46.1000) [N 46°06'00.00]</v>
      </c>
      <c r="P11" s="493"/>
      <c r="Q11" s="493"/>
      <c r="R11" s="493"/>
      <c r="S11" s="493"/>
      <c r="T11" s="493"/>
      <c r="U11" s="493"/>
      <c r="V11" s="493"/>
      <c r="W11" s="493"/>
      <c r="X11" s="493"/>
      <c r="AB11" s="344"/>
      <c r="AC11" s="117" t="s">
        <v>168</v>
      </c>
      <c r="AD11" s="3">
        <f>VLOOKUP(I11,Outils!$C$9:$E$10,3)</f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C12" s="935"/>
      <c r="D12" s="936"/>
      <c r="E12" s="937"/>
      <c r="F12" s="574"/>
      <c r="G12" s="574"/>
      <c r="H12" s="574"/>
      <c r="I12" s="455"/>
      <c r="J12" s="455"/>
      <c r="K12" s="455"/>
      <c r="L12" s="455"/>
      <c r="M12" s="455"/>
      <c r="N12" s="455"/>
      <c r="O12" s="493"/>
      <c r="P12" s="493"/>
      <c r="Q12" s="493"/>
      <c r="R12" s="493"/>
      <c r="S12" s="493"/>
      <c r="T12" s="493"/>
      <c r="U12" s="493"/>
      <c r="V12" s="493"/>
      <c r="W12" s="493"/>
      <c r="X12" s="493"/>
      <c r="AB12" s="344"/>
      <c r="AC12" s="117" t="s">
        <v>169</v>
      </c>
      <c r="AD12" s="3" cm="1">
        <f t="array" ref="AD12">angleConvert2Decimal(J11)*AD11</f>
        <v>46.1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 thickBot="1">
      <c r="C13" s="938" t="s">
        <v>8</v>
      </c>
      <c r="D13" s="939"/>
      <c r="E13" s="940"/>
      <c r="F13" s="573">
        <f>AD14</f>
        <v>-7.083333333333333</v>
      </c>
      <c r="G13" s="574"/>
      <c r="H13" s="574"/>
      <c r="I13" s="954" t="s">
        <v>6</v>
      </c>
      <c r="J13" s="558" t="s">
        <v>270</v>
      </c>
      <c r="K13" s="455"/>
      <c r="L13" s="455"/>
      <c r="M13" s="455"/>
      <c r="N13" s="455"/>
      <c r="O13" s="493" t="str" cm="1">
        <f t="array" ref="O13">longitudeDecimal2Txt(F13)</f>
        <v>W 07°05.00 (W 07.0833) [W 07°05'00.00]</v>
      </c>
      <c r="P13" s="493"/>
      <c r="Q13" s="493"/>
      <c r="R13" s="493"/>
      <c r="S13" s="493"/>
      <c r="T13" s="493"/>
      <c r="U13" s="493"/>
      <c r="V13" s="493"/>
      <c r="W13" s="493"/>
      <c r="X13" s="493"/>
      <c r="AB13" s="341"/>
      <c r="AC13" s="117" t="s">
        <v>170</v>
      </c>
      <c r="AD13" s="3">
        <f>VLOOKUP(I13,Outils!$D$9:$E$10,2)</f>
        <v>-1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Top="1" thickBot="1">
      <c r="A14"/>
      <c r="B14"/>
      <c r="C14" s="941"/>
      <c r="D14" s="942"/>
      <c r="E14" s="943"/>
      <c r="F14" s="574"/>
      <c r="G14" s="574"/>
      <c r="H14" s="574"/>
      <c r="I14" s="670"/>
      <c r="J14" s="455"/>
      <c r="K14" s="455"/>
      <c r="L14" s="455"/>
      <c r="M14" s="455"/>
      <c r="N14" s="455"/>
      <c r="O14" s="493"/>
      <c r="P14" s="493"/>
      <c r="Q14" s="493"/>
      <c r="R14" s="493"/>
      <c r="S14" s="493"/>
      <c r="T14" s="493"/>
      <c r="U14" s="493"/>
      <c r="V14" s="493"/>
      <c r="W14" s="493"/>
      <c r="X14" s="493"/>
      <c r="AB14" s="341"/>
      <c r="AC14" s="117" t="s">
        <v>171</v>
      </c>
      <c r="AD14" s="3" cm="1">
        <f t="array" ref="AD14">angleConvert2Decimal(J13)*AD13</f>
        <v>-7.083333333333333</v>
      </c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2" customHeight="1" thickTop="1" thickBot="1">
      <c r="C15" s="14"/>
      <c r="D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AB15" s="341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31"/>
    </row>
    <row r="16" spans="1:66" s="16" customFormat="1" ht="17.25" customHeight="1" thickBot="1">
      <c r="B16" s="25" t="s">
        <v>260</v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85"/>
      <c r="AB16" s="342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:33" ht="12.75" customHeight="1" thickBot="1">
      <c r="C17" s="944" t="s">
        <v>630</v>
      </c>
      <c r="D17" s="945"/>
      <c r="E17" s="945"/>
      <c r="F17" s="948">
        <f>angleConvert2Decimal(I17)</f>
        <v>260</v>
      </c>
      <c r="G17" s="949"/>
      <c r="H17" s="949"/>
      <c r="I17" s="952">
        <v>260</v>
      </c>
      <c r="J17" s="953"/>
      <c r="K17" s="953"/>
      <c r="L17" s="953"/>
      <c r="M17" s="953"/>
      <c r="N17" s="953"/>
      <c r="O17" s="951" t="str" cm="1">
        <f t="array" ref="O17">angleDecimal2Txt(F17)</f>
        <v>+260°00.00 (+260.0000) [+260°00'00.00]</v>
      </c>
      <c r="P17" s="951"/>
      <c r="Q17" s="951"/>
      <c r="R17" s="951"/>
      <c r="S17" s="951"/>
      <c r="T17" s="951"/>
      <c r="U17" s="951"/>
      <c r="V17" s="951"/>
      <c r="W17" s="951"/>
      <c r="X17" s="951"/>
    </row>
    <row r="18" spans="2:33" ht="12.75" customHeight="1" thickTop="1" thickBot="1">
      <c r="C18" s="585"/>
      <c r="D18" s="585"/>
      <c r="E18" s="585"/>
      <c r="F18" s="950"/>
      <c r="G18" s="950"/>
      <c r="H18" s="950"/>
      <c r="I18" s="490"/>
      <c r="J18" s="490"/>
      <c r="K18" s="490"/>
      <c r="L18" s="490"/>
      <c r="M18" s="490"/>
      <c r="N18" s="490"/>
      <c r="O18" s="578"/>
      <c r="P18" s="578"/>
      <c r="Q18" s="578"/>
      <c r="R18" s="578"/>
      <c r="S18" s="578"/>
      <c r="T18" s="578"/>
      <c r="U18" s="578"/>
      <c r="V18" s="578"/>
      <c r="W18" s="578"/>
      <c r="X18" s="578"/>
    </row>
    <row r="19" spans="2:33" ht="12.75" customHeight="1" thickTop="1" thickBot="1">
      <c r="C19" s="826" t="s">
        <v>631</v>
      </c>
      <c r="D19" s="585"/>
      <c r="E19" s="585"/>
      <c r="F19" s="584">
        <f>I19</f>
        <v>5</v>
      </c>
      <c r="G19" s="950"/>
      <c r="H19" s="950"/>
      <c r="I19" s="597">
        <v>5</v>
      </c>
      <c r="J19" s="490"/>
      <c r="K19" s="490"/>
      <c r="L19" s="490"/>
      <c r="M19" s="490"/>
      <c r="N19" s="490"/>
      <c r="O19" s="578"/>
      <c r="P19" s="578"/>
      <c r="Q19" s="578"/>
      <c r="R19" s="578"/>
      <c r="S19" s="578"/>
      <c r="T19" s="578"/>
      <c r="U19" s="578"/>
      <c r="V19" s="578"/>
      <c r="W19" s="578"/>
      <c r="X19" s="578"/>
    </row>
    <row r="20" spans="2:33" ht="12.75" customHeight="1" thickTop="1" thickBot="1">
      <c r="C20" s="585"/>
      <c r="D20" s="585"/>
      <c r="E20" s="585"/>
      <c r="F20" s="950"/>
      <c r="G20" s="950"/>
      <c r="H20" s="950"/>
      <c r="I20" s="490"/>
      <c r="J20" s="490"/>
      <c r="K20" s="490"/>
      <c r="L20" s="490"/>
      <c r="M20" s="490"/>
      <c r="N20" s="490"/>
      <c r="O20" s="578"/>
      <c r="P20" s="578"/>
      <c r="Q20" s="578"/>
      <c r="R20" s="578"/>
      <c r="S20" s="578"/>
      <c r="T20" s="578"/>
      <c r="U20" s="578"/>
      <c r="V20" s="578"/>
      <c r="W20" s="578"/>
      <c r="X20" s="578"/>
    </row>
    <row r="21" spans="2:33" ht="12.75" customHeight="1" thickTop="1" thickBot="1">
      <c r="C21" s="972" t="s">
        <v>632</v>
      </c>
      <c r="D21" s="973"/>
      <c r="E21" s="973"/>
      <c r="F21" s="897">
        <f>heureConvert2Decimal(I21)</f>
        <v>12.062777777777779</v>
      </c>
      <c r="G21" s="574"/>
      <c r="H21" s="574"/>
      <c r="I21" s="899" t="s">
        <v>550</v>
      </c>
      <c r="J21" s="679"/>
      <c r="K21" s="679"/>
      <c r="L21" s="679"/>
      <c r="M21" s="679"/>
      <c r="N21" s="900"/>
      <c r="O21" s="493" t="str">
        <f>heureDecimal2Txt(F21)</f>
        <v>12:03:46.00(12.0627)</v>
      </c>
      <c r="P21" s="493"/>
      <c r="Q21" s="493"/>
      <c r="R21" s="493"/>
      <c r="S21" s="493"/>
      <c r="T21" s="493"/>
      <c r="U21" s="493"/>
      <c r="V21" s="493"/>
      <c r="W21" s="493"/>
      <c r="X21" s="493"/>
    </row>
    <row r="22" spans="2:33" ht="12.75" customHeight="1" thickTop="1" thickBot="1">
      <c r="C22" s="973"/>
      <c r="D22" s="973"/>
      <c r="E22" s="973"/>
      <c r="F22" s="898"/>
      <c r="G22" s="574"/>
      <c r="H22" s="574"/>
      <c r="I22" s="901"/>
      <c r="J22" s="445"/>
      <c r="K22" s="445"/>
      <c r="L22" s="445"/>
      <c r="M22" s="445"/>
      <c r="N22" s="902"/>
      <c r="O22" s="493"/>
      <c r="P22" s="493"/>
      <c r="Q22" s="493"/>
      <c r="R22" s="493"/>
      <c r="S22" s="493"/>
      <c r="T22" s="493"/>
      <c r="U22" s="493"/>
      <c r="V22" s="493"/>
      <c r="W22" s="493"/>
      <c r="X22" s="493"/>
    </row>
    <row r="23" spans="2:33" ht="12.75" customHeight="1" thickTop="1"/>
    <row r="24" spans="2:33" ht="12.75" customHeight="1">
      <c r="C24" s="974" t="s">
        <v>430</v>
      </c>
      <c r="D24" s="975"/>
      <c r="E24" s="975"/>
      <c r="F24" s="975"/>
      <c r="G24" s="975"/>
      <c r="H24" s="975"/>
      <c r="I24" s="975"/>
      <c r="J24" s="975"/>
      <c r="K24" s="976"/>
    </row>
    <row r="25" spans="2:33" ht="12.75" customHeight="1" thickBot="1">
      <c r="C25" s="977"/>
      <c r="D25" s="978"/>
      <c r="E25" s="978"/>
      <c r="F25" s="978"/>
      <c r="G25" s="978"/>
      <c r="H25" s="978"/>
      <c r="I25" s="978"/>
      <c r="J25" s="978"/>
      <c r="K25" s="979"/>
    </row>
    <row r="26" spans="2:33" ht="12.75" customHeight="1" thickTop="1" thickBot="1">
      <c r="C26" s="126"/>
      <c r="D26" s="126"/>
      <c r="E26" s="126"/>
      <c r="F26" s="903">
        <f>IF(C27=AC27,F11,(F11+F28)/2)</f>
        <v>46.092764659263878</v>
      </c>
      <c r="G26" s="904"/>
      <c r="H26" s="904"/>
      <c r="I26" s="907" t="str" cm="1">
        <f t="array" ref="I26">latitudeDecimal2Txt(F26)</f>
        <v>N 46°05.56 (N 46.0927) [N 46°05'33.95]</v>
      </c>
      <c r="J26" s="907"/>
      <c r="K26" s="907"/>
      <c r="L26" s="907"/>
      <c r="M26" s="907"/>
      <c r="N26" s="907"/>
      <c r="O26" s="907"/>
      <c r="P26" s="907"/>
      <c r="Q26" s="907"/>
      <c r="R26" s="907"/>
    </row>
    <row r="27" spans="2:33" ht="12.75" customHeight="1" thickTop="1" thickBot="1">
      <c r="C27" s="908" t="s">
        <v>608</v>
      </c>
      <c r="D27" s="908"/>
      <c r="E27" s="908"/>
      <c r="F27" s="905"/>
      <c r="G27" s="906"/>
      <c r="H27" s="906"/>
      <c r="I27" s="907"/>
      <c r="J27" s="907"/>
      <c r="K27" s="907"/>
      <c r="L27" s="907"/>
      <c r="M27" s="907"/>
      <c r="N27" s="907"/>
      <c r="O27" s="907"/>
      <c r="P27" s="907"/>
      <c r="Q27" s="907"/>
      <c r="R27" s="907"/>
      <c r="AC27" s="304" t="s">
        <v>597</v>
      </c>
    </row>
    <row r="28" spans="2:33" ht="12.75" customHeight="1" thickTop="1">
      <c r="C28" s="908"/>
      <c r="D28" s="908"/>
      <c r="E28" s="909"/>
      <c r="F28" s="910">
        <f>F11+SIN((90-F17)*Outils!$F$4)*F19/60</f>
        <v>46.085529318527755</v>
      </c>
      <c r="G28" s="885"/>
      <c r="H28" s="885"/>
      <c r="AC28" s="304" t="s">
        <v>607</v>
      </c>
    </row>
    <row r="29" spans="2:33" s="126" customFormat="1" ht="12.75" customHeight="1">
      <c r="F29" s="885"/>
      <c r="G29" s="885"/>
      <c r="H29" s="885"/>
      <c r="I29"/>
      <c r="J29"/>
      <c r="K29"/>
      <c r="L29"/>
      <c r="M29"/>
      <c r="N29"/>
      <c r="AB29" s="345"/>
      <c r="AD29"/>
      <c r="AE29" s="14"/>
      <c r="AF29" s="14"/>
      <c r="AG29" s="14"/>
    </row>
    <row r="30" spans="2:33" s="126" customFormat="1" ht="12.75" customHeight="1" thickBot="1">
      <c r="I30"/>
      <c r="J30"/>
      <c r="K30"/>
      <c r="L30"/>
      <c r="M30"/>
      <c r="N30"/>
      <c r="AB30" s="345"/>
      <c r="AD30"/>
      <c r="AE30" s="14"/>
      <c r="AF30" s="14"/>
      <c r="AG30" s="14"/>
    </row>
    <row r="31" spans="2:33" ht="15.75" thickBot="1">
      <c r="B31" s="926" t="s">
        <v>633</v>
      </c>
      <c r="C31" s="927"/>
      <c r="D31" s="927"/>
      <c r="E31" s="927"/>
      <c r="F31" s="927"/>
      <c r="G31" s="927"/>
      <c r="H31" s="927"/>
      <c r="I31" s="927"/>
      <c r="J31" s="927"/>
      <c r="K31" s="927"/>
      <c r="L31" s="927"/>
      <c r="M31" s="927"/>
      <c r="N31" s="927"/>
      <c r="O31" s="927"/>
      <c r="P31" s="927"/>
      <c r="Q31" s="927"/>
      <c r="R31" s="927"/>
      <c r="S31" s="927"/>
      <c r="T31" s="927"/>
      <c r="U31" s="927"/>
      <c r="V31" s="927"/>
      <c r="W31" s="927"/>
      <c r="X31" s="927"/>
      <c r="Y31" s="927"/>
      <c r="Z31" s="927"/>
      <c r="AA31" s="927"/>
      <c r="AB31" s="342"/>
    </row>
    <row r="32" spans="2:33" hidden="1" outlineLevel="1"/>
    <row r="33" spans="3:27" hidden="1" outlineLevel="1">
      <c r="C33" s="893" t="s">
        <v>261</v>
      </c>
      <c r="D33" s="894"/>
      <c r="E33" s="894"/>
      <c r="F33" s="894"/>
      <c r="G33" s="894"/>
      <c r="H33" s="894"/>
      <c r="I33" s="894"/>
      <c r="J33" s="894"/>
      <c r="K33" s="894"/>
      <c r="L33" s="894"/>
      <c r="M33" s="894"/>
      <c r="N33" s="894"/>
      <c r="O33" s="894"/>
      <c r="P33" s="894"/>
      <c r="Q33" s="894"/>
      <c r="R33" s="1032"/>
    </row>
    <row r="34" spans="3:27" hidden="1" outlineLevel="1">
      <c r="C34" s="847" t="s">
        <v>106</v>
      </c>
      <c r="D34" s="847"/>
      <c r="E34" s="847">
        <f>F17</f>
        <v>260</v>
      </c>
      <c r="F34" s="847"/>
      <c r="G34" s="847"/>
      <c r="I34" s="890" t="s">
        <v>262</v>
      </c>
      <c r="J34" s="890"/>
      <c r="K34" s="924" t="b">
        <f>IF(E34&lt;180,TRUE,FALSE)</f>
        <v>0</v>
      </c>
      <c r="L34" s="924"/>
      <c r="N34" s="1033" t="s">
        <v>247</v>
      </c>
      <c r="O34" s="1033"/>
      <c r="P34" s="1034">
        <f>E35*ABS(SIN(Outils!$F$4*Meridienne!E34))*(IF(K34,1,-1))</f>
        <v>-4.9240387650610398</v>
      </c>
      <c r="Q34" s="1035"/>
      <c r="R34" s="1038" t="s">
        <v>246</v>
      </c>
    </row>
    <row r="35" spans="3:27" hidden="1" outlineLevel="1">
      <c r="C35" s="469" t="s">
        <v>105</v>
      </c>
      <c r="D35" s="469"/>
      <c r="E35" s="469">
        <f>F19</f>
        <v>5</v>
      </c>
      <c r="F35" s="469"/>
      <c r="G35" s="469"/>
      <c r="I35" s="891"/>
      <c r="J35" s="891"/>
      <c r="K35" s="925"/>
      <c r="L35" s="925"/>
      <c r="N35" s="963"/>
      <c r="O35" s="963"/>
      <c r="P35" s="1036"/>
      <c r="Q35" s="1037"/>
      <c r="R35" s="1039"/>
    </row>
    <row r="36" spans="3:27" hidden="1" outlineLevel="1"/>
    <row r="37" spans="3:27" hidden="1" outlineLevel="1"/>
    <row r="38" spans="3:27" hidden="1" outlineLevel="1">
      <c r="C38" s="893" t="s">
        <v>249</v>
      </c>
      <c r="D38" s="894"/>
      <c r="E38" s="894"/>
      <c r="F38" s="894"/>
      <c r="G38" s="894"/>
      <c r="H38" s="894"/>
      <c r="I38" s="894"/>
      <c r="J38" s="894"/>
      <c r="K38" s="895"/>
      <c r="L38" s="895"/>
      <c r="M38" s="895"/>
      <c r="N38" s="895"/>
      <c r="O38" s="896"/>
    </row>
    <row r="39" spans="3:27" hidden="1" outlineLevel="1">
      <c r="C39" s="847" t="s">
        <v>239</v>
      </c>
      <c r="D39" s="847"/>
      <c r="E39" s="847">
        <f>F26</f>
        <v>46.092764659263878</v>
      </c>
      <c r="F39" s="847"/>
      <c r="G39" s="847"/>
      <c r="I39" s="962" t="s">
        <v>248</v>
      </c>
      <c r="J39" s="962"/>
      <c r="K39" s="959" t="s">
        <v>74</v>
      </c>
      <c r="L39" s="960">
        <f>$P$34/(60 * COS($E$39*Outils!$F$4))</f>
        <v>-0.11833909603247456</v>
      </c>
      <c r="M39" s="960"/>
      <c r="N39" s="960"/>
      <c r="O39" s="961" t="s">
        <v>250</v>
      </c>
      <c r="P39" s="963" t="str">
        <f>IF(K34,"Vers l'Est","Vers l'Ouest")</f>
        <v>Vers l'Ouest</v>
      </c>
      <c r="Q39" s="963"/>
      <c r="R39" s="963"/>
      <c r="U39" s="964" t="s">
        <v>264</v>
      </c>
      <c r="V39" s="965"/>
      <c r="W39" s="966"/>
      <c r="X39" s="886">
        <f>IF(K34,-1*ABS(L39),ABS(L39))</f>
        <v>0.11833909603247456</v>
      </c>
      <c r="Y39" s="887"/>
      <c r="Z39" s="887"/>
      <c r="AA39" s="929" t="s">
        <v>250</v>
      </c>
    </row>
    <row r="40" spans="3:27" hidden="1" outlineLevel="1">
      <c r="C40" s="469" t="str">
        <f>N34</f>
        <v>VLong.</v>
      </c>
      <c r="D40" s="469"/>
      <c r="E40" s="469">
        <f>P34</f>
        <v>-4.9240387650610398</v>
      </c>
      <c r="F40" s="469"/>
      <c r="G40" s="469"/>
      <c r="I40" s="962"/>
      <c r="J40" s="962"/>
      <c r="K40" s="959"/>
      <c r="L40" s="960"/>
      <c r="M40" s="960"/>
      <c r="N40" s="960"/>
      <c r="O40" s="961"/>
      <c r="P40" s="963"/>
      <c r="Q40" s="963"/>
      <c r="R40" s="963"/>
      <c r="U40" s="967"/>
      <c r="V40" s="968"/>
      <c r="W40" s="969"/>
      <c r="X40" s="888"/>
      <c r="Y40" s="889"/>
      <c r="Z40" s="889"/>
      <c r="AA40" s="930"/>
    </row>
    <row r="41" spans="3:27" hidden="1" outlineLevel="1"/>
    <row r="42" spans="3:27" hidden="1" outlineLevel="1"/>
    <row r="43" spans="3:27" ht="18.75" hidden="1" customHeight="1" outlineLevel="1">
      <c r="C43" s="956" t="s">
        <v>611</v>
      </c>
      <c r="D43" s="957"/>
      <c r="E43" s="957"/>
      <c r="F43" s="957"/>
      <c r="G43" s="957"/>
      <c r="H43" s="957"/>
      <c r="I43" s="957"/>
      <c r="J43" s="957"/>
      <c r="K43" s="957"/>
      <c r="L43" s="957"/>
      <c r="M43" s="957"/>
      <c r="N43" s="957"/>
      <c r="O43" s="958"/>
    </row>
    <row r="44" spans="3:27" ht="15" hidden="1" customHeight="1" outlineLevel="1">
      <c r="C44" s="847" t="s">
        <v>171</v>
      </c>
      <c r="D44" s="847"/>
      <c r="E44" s="847">
        <f>F13</f>
        <v>-7.083333333333333</v>
      </c>
      <c r="F44" s="847"/>
      <c r="G44" s="847"/>
      <c r="I44" s="970" t="s">
        <v>252</v>
      </c>
      <c r="J44" s="971"/>
      <c r="K44" s="955">
        <f>longitude2LongitudeHoraire(E44)</f>
        <v>7.083333333333333</v>
      </c>
      <c r="L44" s="955"/>
      <c r="M44" s="955"/>
      <c r="N44" s="955"/>
      <c r="O44" s="114" t="s">
        <v>28</v>
      </c>
      <c r="P44" s="931" t="str">
        <f>longitudeDecimal2Txt(E44)</f>
        <v>W 07°05.00 (W 07.0833) [W 07°05'00.00]</v>
      </c>
      <c r="Q44" s="932"/>
      <c r="R44" s="932"/>
      <c r="S44" s="932"/>
      <c r="T44" s="932"/>
      <c r="U44" s="932"/>
    </row>
    <row r="45" spans="3:27" hidden="1" outlineLevel="1"/>
    <row r="46" spans="3:27" hidden="1" outlineLevel="1"/>
    <row r="47" spans="3:27" hidden="1" outlineLevel="1">
      <c r="C47" s="928" t="s">
        <v>253</v>
      </c>
      <c r="D47" s="928"/>
      <c r="E47" s="928"/>
      <c r="F47" s="928"/>
      <c r="G47" s="928"/>
      <c r="H47" s="928"/>
      <c r="I47" s="928"/>
      <c r="J47" s="928"/>
      <c r="K47" s="928"/>
      <c r="L47" s="928"/>
      <c r="M47" s="928"/>
      <c r="N47" s="928"/>
      <c r="O47" s="928"/>
    </row>
    <row r="48" spans="3:27" ht="15" hidden="1" customHeight="1" outlineLevel="1" thickBot="1">
      <c r="C48" s="922" t="s">
        <v>263</v>
      </c>
      <c r="D48" s="922"/>
      <c r="E48" s="922"/>
      <c r="F48" s="922"/>
      <c r="G48" s="922"/>
      <c r="H48" s="922"/>
      <c r="I48" s="922"/>
      <c r="J48" s="922"/>
      <c r="K48" s="922"/>
      <c r="L48" s="922"/>
      <c r="M48" s="922"/>
      <c r="N48" s="922"/>
      <c r="O48" s="922"/>
      <c r="P48" s="251" t="s">
        <v>266</v>
      </c>
      <c r="Q48" s="923" t="s">
        <v>265</v>
      </c>
      <c r="R48" s="923"/>
      <c r="S48" s="923"/>
      <c r="T48" s="923"/>
      <c r="U48" s="923"/>
      <c r="V48" s="115">
        <v>15.002000000000001</v>
      </c>
      <c r="W48" s="116" t="s">
        <v>250</v>
      </c>
    </row>
    <row r="49" spans="3:32" ht="15.75" hidden="1" outlineLevel="1" thickTop="1">
      <c r="C49" s="922"/>
      <c r="D49" s="922"/>
      <c r="E49" s="922"/>
      <c r="F49" s="922"/>
      <c r="G49" s="922"/>
      <c r="H49" s="922"/>
      <c r="I49" s="922"/>
      <c r="J49" s="922"/>
      <c r="K49" s="922"/>
      <c r="L49" s="922"/>
      <c r="M49" s="922"/>
      <c r="N49" s="922"/>
      <c r="O49" s="922"/>
    </row>
    <row r="50" spans="3:32" hidden="1" outlineLevel="1">
      <c r="C50" s="922"/>
      <c r="D50" s="922"/>
      <c r="E50" s="922"/>
      <c r="F50" s="922"/>
      <c r="G50" s="922"/>
      <c r="H50" s="922"/>
      <c r="I50" s="922"/>
      <c r="J50" s="922"/>
      <c r="K50" s="922"/>
      <c r="L50" s="922"/>
      <c r="M50" s="922"/>
      <c r="N50" s="922"/>
      <c r="O50" s="922"/>
    </row>
    <row r="51" spans="3:32" hidden="1" outlineLevel="1"/>
    <row r="52" spans="3:32" hidden="1" outlineLevel="1"/>
    <row r="53" spans="3:32" hidden="1" outlineLevel="1">
      <c r="AC53" s="3" t="s">
        <v>643</v>
      </c>
      <c r="AD53" s="5">
        <f>F21</f>
        <v>12.062777777777779</v>
      </c>
      <c r="AE53" t="s">
        <v>258</v>
      </c>
    </row>
    <row r="54" spans="3:32" ht="15" hidden="1" customHeight="1" outlineLevel="1">
      <c r="H54" s="885" t="str">
        <f>CONCATENATE("T = Temps pour que le soleil passe a la meridienne locale: ",P44)</f>
        <v>T = Temps pour que le soleil passe a la meridienne locale: W 07°05.00 (W 07.0833) [W 07°05'00.00]</v>
      </c>
      <c r="I54" s="885"/>
      <c r="J54" s="885"/>
      <c r="K54" s="885"/>
      <c r="L54" s="885"/>
      <c r="M54" s="885"/>
      <c r="N54" s="885"/>
      <c r="O54" s="885"/>
      <c r="P54" s="885"/>
      <c r="Q54" s="885"/>
      <c r="R54" s="885"/>
      <c r="S54" s="885"/>
      <c r="T54" s="885"/>
      <c r="U54" s="885"/>
      <c r="V54" s="892">
        <f>AD59</f>
        <v>2.2093090082659446</v>
      </c>
      <c r="W54" s="892"/>
      <c r="X54" s="892" t="s">
        <v>258</v>
      </c>
      <c r="AB54" s="327"/>
      <c r="AC54" s="3" t="s">
        <v>644</v>
      </c>
      <c r="AD54" s="5">
        <f>F9</f>
        <v>10.343055555555557</v>
      </c>
      <c r="AE54" t="s">
        <v>258</v>
      </c>
    </row>
    <row r="55" spans="3:32" hidden="1" outlineLevel="1">
      <c r="H55" s="885"/>
      <c r="I55" s="885"/>
      <c r="J55" s="885"/>
      <c r="K55" s="885"/>
      <c r="L55" s="885"/>
      <c r="M55" s="885"/>
      <c r="N55" s="885"/>
      <c r="O55" s="885"/>
      <c r="P55" s="885"/>
      <c r="Q55" s="885"/>
      <c r="R55" s="885"/>
      <c r="S55" s="885"/>
      <c r="T55" s="885"/>
      <c r="U55" s="885"/>
      <c r="V55" s="892"/>
      <c r="W55" s="892"/>
      <c r="X55" s="918"/>
      <c r="AB55" s="327"/>
      <c r="AC55" s="3" t="s">
        <v>645</v>
      </c>
      <c r="AD55" s="3">
        <f>(AD54-AD53)*((-1)*V48)</f>
        <v>25.799272777777773</v>
      </c>
      <c r="AE55" t="s">
        <v>28</v>
      </c>
    </row>
    <row r="56" spans="3:32" hidden="1" outlineLevel="1">
      <c r="H56" s="837" t="s">
        <v>271</v>
      </c>
      <c r="I56" s="837"/>
      <c r="J56" s="837"/>
      <c r="K56" s="837"/>
      <c r="L56" s="837"/>
      <c r="M56" s="837"/>
      <c r="N56" s="837"/>
      <c r="O56" s="837"/>
      <c r="P56" s="837"/>
      <c r="Q56" s="837"/>
      <c r="R56" s="837"/>
      <c r="S56" s="837"/>
      <c r="T56" s="837"/>
      <c r="U56" s="837"/>
      <c r="V56" s="883">
        <f>AD59*E35</f>
        <v>11.046545041329722</v>
      </c>
      <c r="W56" s="884"/>
      <c r="X56" s="913" t="s">
        <v>104</v>
      </c>
      <c r="AB56" s="327"/>
      <c r="AC56" s="3" t="s">
        <v>648</v>
      </c>
      <c r="AD56" s="3">
        <f>(-1)*V48</f>
        <v>-15.002000000000001</v>
      </c>
      <c r="AE56" t="s">
        <v>557</v>
      </c>
    </row>
    <row r="57" spans="3:32" hidden="1" outlineLevel="1">
      <c r="H57" s="837"/>
      <c r="I57" s="837"/>
      <c r="J57" s="837"/>
      <c r="K57" s="837"/>
      <c r="L57" s="837"/>
      <c r="M57" s="837"/>
      <c r="N57" s="837"/>
      <c r="O57" s="837"/>
      <c r="P57" s="837"/>
      <c r="Q57" s="837"/>
      <c r="R57" s="837"/>
      <c r="S57" s="837"/>
      <c r="T57" s="837"/>
      <c r="U57" s="837"/>
      <c r="V57" s="884"/>
      <c r="W57" s="884"/>
      <c r="X57" s="914"/>
      <c r="AB57" s="327"/>
      <c r="AC57" s="3" t="s">
        <v>646</v>
      </c>
      <c r="AD57" s="5">
        <f>E44</f>
        <v>-7.083333333333333</v>
      </c>
      <c r="AE57" t="s">
        <v>28</v>
      </c>
    </row>
    <row r="58" spans="3:32" hidden="1" outlineLevel="1">
      <c r="H58" s="837" t="s">
        <v>486</v>
      </c>
      <c r="I58" s="837"/>
      <c r="J58" s="837"/>
      <c r="K58" s="837"/>
      <c r="L58" s="837"/>
      <c r="M58" s="837"/>
      <c r="N58" s="837"/>
      <c r="O58" s="837"/>
      <c r="P58" s="837"/>
      <c r="Q58" s="837"/>
      <c r="R58" s="837"/>
      <c r="S58" s="837"/>
      <c r="T58" s="837"/>
      <c r="U58" s="837"/>
      <c r="V58" s="883">
        <f>AD59*L39</f>
        <v>-0.26144763089459472</v>
      </c>
      <c r="W58" s="915"/>
      <c r="X58" s="916" t="s">
        <v>28</v>
      </c>
      <c r="AB58" s="327"/>
      <c r="AC58" s="3" t="s">
        <v>647</v>
      </c>
      <c r="AD58" s="3">
        <f>L39</f>
        <v>-0.11833909603247456</v>
      </c>
      <c r="AE58" t="s">
        <v>557</v>
      </c>
    </row>
    <row r="59" spans="3:32" hidden="1" outlineLevel="1">
      <c r="H59" s="837"/>
      <c r="I59" s="837"/>
      <c r="J59" s="837"/>
      <c r="K59" s="837"/>
      <c r="L59" s="837"/>
      <c r="M59" s="837"/>
      <c r="N59" s="837"/>
      <c r="O59" s="837"/>
      <c r="P59" s="837"/>
      <c r="Q59" s="837"/>
      <c r="R59" s="837"/>
      <c r="S59" s="837"/>
      <c r="T59" s="837"/>
      <c r="U59" s="837"/>
      <c r="V59" s="884"/>
      <c r="W59" s="915"/>
      <c r="X59" s="917"/>
      <c r="AB59" s="327"/>
      <c r="AC59" s="3" t="s">
        <v>642</v>
      </c>
      <c r="AD59" s="3">
        <f>(AD55-AD57)/(AD58-AD56)</f>
        <v>2.2093090082659446</v>
      </c>
      <c r="AE59" t="s">
        <v>258</v>
      </c>
    </row>
    <row r="60" spans="3:32" collapsed="1">
      <c r="H60" s="837" t="s">
        <v>485</v>
      </c>
      <c r="I60" s="837"/>
      <c r="J60" s="837"/>
      <c r="K60" s="837"/>
      <c r="L60" s="837"/>
      <c r="M60" s="837"/>
      <c r="N60" s="837"/>
      <c r="O60" s="837"/>
      <c r="P60" s="837"/>
      <c r="Q60" s="837"/>
      <c r="R60" s="837"/>
      <c r="S60" s="837"/>
      <c r="T60" s="837"/>
      <c r="U60" s="837"/>
      <c r="V60" s="838">
        <f>E44+AD59*L39</f>
        <v>-7.3447809642279278</v>
      </c>
      <c r="W60" s="839"/>
      <c r="X60" s="842" t="str">
        <f>longitudeDecimal2Txt(V60)</f>
        <v>W 07°20.68 (W 07.3447) [W 07°20'41.21]</v>
      </c>
      <c r="Y60" s="842"/>
      <c r="Z60" s="842"/>
      <c r="AA60" s="842"/>
      <c r="AB60" s="842"/>
      <c r="AC60" s="842"/>
      <c r="AD60" s="827" t="str" cm="1">
        <f t="array" ref="AD60">CONCATENATE("Memo depart: ", longitudeDecimal2Txt(E44))</f>
        <v>Memo depart: W 07°05.00 (W 07.0833) [W 07°05'00.00]</v>
      </c>
      <c r="AE60" s="828"/>
      <c r="AF60" s="828"/>
    </row>
    <row r="61" spans="3:32">
      <c r="H61" s="837"/>
      <c r="I61" s="837"/>
      <c r="J61" s="837"/>
      <c r="K61" s="837"/>
      <c r="L61" s="837"/>
      <c r="M61" s="837"/>
      <c r="N61" s="837"/>
      <c r="O61" s="837"/>
      <c r="P61" s="837"/>
      <c r="Q61" s="837"/>
      <c r="R61" s="837"/>
      <c r="S61" s="837"/>
      <c r="T61" s="837"/>
      <c r="U61" s="837"/>
      <c r="V61" s="840"/>
      <c r="W61" s="841"/>
      <c r="X61" s="842"/>
      <c r="Y61" s="842"/>
      <c r="Z61" s="842"/>
      <c r="AA61" s="842"/>
      <c r="AB61" s="842"/>
      <c r="AC61" s="842"/>
      <c r="AD61" s="827"/>
      <c r="AE61" s="828"/>
      <c r="AF61" s="828"/>
    </row>
    <row r="62" spans="3:32">
      <c r="H62" s="1042" t="s">
        <v>267</v>
      </c>
      <c r="I62" s="1042"/>
      <c r="J62" s="1042"/>
      <c r="K62" s="1042"/>
      <c r="L62" s="1042"/>
      <c r="M62" s="1042"/>
      <c r="N62" s="1042"/>
      <c r="O62" s="1042"/>
      <c r="P62" s="1042"/>
      <c r="Q62" s="1042"/>
      <c r="R62" s="1042"/>
      <c r="S62" s="1042"/>
      <c r="T62" s="1042"/>
      <c r="U62" s="1042"/>
      <c r="V62" s="919">
        <f>AD54+AD59</f>
        <v>12.552364563821502</v>
      </c>
      <c r="W62" s="920"/>
      <c r="X62" s="1043" t="str">
        <f>heureDecimal2Txt(V62)</f>
        <v>12:33:08.51(12.5523)</v>
      </c>
      <c r="Y62" s="1043"/>
      <c r="Z62" s="1043"/>
      <c r="AA62" s="1043"/>
      <c r="AB62" s="1043"/>
      <c r="AC62" s="1043"/>
    </row>
    <row r="63" spans="3:32">
      <c r="H63" s="1042"/>
      <c r="I63" s="1042"/>
      <c r="J63" s="1042"/>
      <c r="K63" s="1042"/>
      <c r="L63" s="1042"/>
      <c r="M63" s="1042"/>
      <c r="N63" s="1042"/>
      <c r="O63" s="1042"/>
      <c r="P63" s="1042"/>
      <c r="Q63" s="1042"/>
      <c r="R63" s="1042"/>
      <c r="S63" s="1042"/>
      <c r="T63" s="1042"/>
      <c r="U63" s="1042"/>
      <c r="V63" s="921"/>
      <c r="W63" s="920"/>
      <c r="X63" s="1043"/>
      <c r="Y63" s="1043"/>
      <c r="Z63" s="1043"/>
      <c r="AA63" s="1043"/>
      <c r="AB63" s="1043"/>
      <c r="AC63" s="1043"/>
    </row>
    <row r="65" spans="2:66" ht="15.75" thickBot="1"/>
    <row r="66" spans="2:66" s="16" customFormat="1" ht="17.25" customHeight="1" thickBot="1">
      <c r="B66" s="314" t="s">
        <v>634</v>
      </c>
      <c r="C66" s="317"/>
      <c r="D66" s="317"/>
      <c r="E66" s="317"/>
      <c r="F66" s="317"/>
      <c r="G66" s="317"/>
      <c r="H66" s="315"/>
      <c r="I66" s="94" t="str">
        <f>L7</f>
        <v>2025/06/30</v>
      </c>
      <c r="J66" s="94"/>
      <c r="K66" s="95"/>
      <c r="L66" s="96"/>
      <c r="M66" s="94" t="str">
        <f>heureDecimal2Txt(E68)</f>
        <v>12:33:08.51(12.5523)</v>
      </c>
      <c r="N66" s="94"/>
      <c r="O66" s="94"/>
      <c r="P66" s="315"/>
      <c r="Q66" s="315"/>
      <c r="R66" s="315"/>
      <c r="S66" s="315"/>
      <c r="T66" s="315"/>
      <c r="U66" s="315"/>
      <c r="V66" s="316"/>
      <c r="W66" s="315"/>
      <c r="X66" s="315"/>
      <c r="Y66" s="315"/>
      <c r="Z66" s="315"/>
      <c r="AA66" s="316"/>
      <c r="AB66" s="34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2:66" s="16" customFormat="1" ht="17.25" customHeight="1" thickBot="1">
      <c r="C67" s="665" t="s">
        <v>1</v>
      </c>
      <c r="D67" s="665"/>
      <c r="E67" s="986" t="s">
        <v>228</v>
      </c>
      <c r="F67" s="987"/>
      <c r="G67" s="987"/>
      <c r="H67" s="59"/>
      <c r="AB67" s="343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2:66" s="16" customFormat="1" ht="17.25" customHeight="1" thickTop="1" thickBot="1">
      <c r="C68" s="312" t="s">
        <v>635</v>
      </c>
      <c r="D68" s="312"/>
      <c r="E68" s="991">
        <f>V62</f>
        <v>12.552364563821502</v>
      </c>
      <c r="F68" s="991"/>
      <c r="G68" s="991"/>
      <c r="H68" s="993" t="str" cm="1">
        <f t="array" ref="H68">heureDecimal2Txt(E68)</f>
        <v>12:33:08.51(12.5523)</v>
      </c>
      <c r="I68" s="993"/>
      <c r="J68" s="993"/>
      <c r="K68" s="993"/>
      <c r="L68" s="993"/>
      <c r="M68" s="993"/>
      <c r="N68"/>
      <c r="O68"/>
      <c r="P68"/>
      <c r="Q68"/>
      <c r="R68"/>
      <c r="S68"/>
      <c r="T68"/>
      <c r="U68"/>
      <c r="V68"/>
      <c r="W68"/>
      <c r="X68"/>
      <c r="Y68"/>
      <c r="AB68" s="347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2:66" s="16" customFormat="1" ht="17.25" customHeight="1" thickTop="1" thickBot="1">
      <c r="C69" s="312" t="s">
        <v>7</v>
      </c>
      <c r="D69" s="312"/>
      <c r="E69" s="992">
        <f>F26</f>
        <v>46.092764659263878</v>
      </c>
      <c r="F69" s="992"/>
      <c r="G69" s="992"/>
      <c r="H69" s="993" t="str" cm="1">
        <f t="array" ref="H69">latitudeDecimal2Txt(E69)</f>
        <v>N 46°05.56 (N 46.0927) [N 46°05'33.95]</v>
      </c>
      <c r="I69" s="993"/>
      <c r="J69" s="993"/>
      <c r="K69" s="993"/>
      <c r="L69" s="993"/>
      <c r="M69" s="993"/>
      <c r="N69"/>
      <c r="O69"/>
      <c r="P69"/>
      <c r="Q69"/>
      <c r="R69"/>
      <c r="S69"/>
      <c r="T69"/>
      <c r="U69"/>
      <c r="V69"/>
      <c r="W69"/>
      <c r="X69"/>
      <c r="Y69"/>
      <c r="AB69" s="347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2:66" s="16" customFormat="1" ht="17.25" customHeight="1" thickTop="1" thickBot="1">
      <c r="C70" s="15"/>
      <c r="D70" s="15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AB70" s="343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2:66" s="16" customFormat="1" ht="17.25" customHeight="1" thickBot="1">
      <c r="B71" s="25" t="s">
        <v>18</v>
      </c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346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2:66" s="16" customFormat="1" ht="18" customHeight="1" thickBot="1">
      <c r="B72"/>
      <c r="C72" s="626" t="s">
        <v>165</v>
      </c>
      <c r="D72" s="627"/>
      <c r="E72" s="627"/>
      <c r="F72" s="627"/>
      <c r="G72" s="627"/>
      <c r="H72" s="627"/>
      <c r="I72" s="628"/>
      <c r="J72" s="629" t="s">
        <v>167</v>
      </c>
      <c r="K72" s="630"/>
      <c r="L72" s="630"/>
      <c r="M72" s="630"/>
      <c r="N72" s="630"/>
      <c r="O72" s="631"/>
      <c r="P72"/>
      <c r="Q72"/>
      <c r="R72"/>
      <c r="S72"/>
      <c r="T72"/>
      <c r="U72"/>
      <c r="V72"/>
      <c r="W72"/>
      <c r="X72"/>
      <c r="Y72"/>
      <c r="Z72"/>
      <c r="AA72"/>
      <c r="AB72" s="343"/>
      <c r="AC72" s="68" t="s">
        <v>166</v>
      </c>
      <c r="AD72" s="68" t="s">
        <v>167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2:66" s="16" customFormat="1" ht="18" hidden="1" customHeight="1" outlineLevel="1" thickTop="1" thickBot="1">
      <c r="B73" s="14"/>
      <c r="C73" s="626" t="s">
        <v>128</v>
      </c>
      <c r="D73" s="627"/>
      <c r="E73" s="627"/>
      <c r="F73" s="627"/>
      <c r="G73" s="627"/>
      <c r="H73" s="627"/>
      <c r="I73" s="628"/>
      <c r="J73" s="980" cm="1">
        <f t="array" ref="J73">angleConvert2Decimal(M73)</f>
        <v>0</v>
      </c>
      <c r="K73" s="981"/>
      <c r="L73" s="982"/>
      <c r="M73" s="983">
        <v>0</v>
      </c>
      <c r="N73" s="984"/>
      <c r="O73" s="985"/>
      <c r="P73" s="751" t="str" cm="1">
        <f t="array" ref="P73">angleDecimal2Txt(J73)</f>
        <v>+00°00.00 (+00.0000) [+00°00'00.00]</v>
      </c>
      <c r="Q73" s="752"/>
      <c r="R73" s="752"/>
      <c r="S73" s="752"/>
      <c r="T73" s="752"/>
      <c r="U73" s="752"/>
      <c r="V73" s="752"/>
      <c r="W73" s="752"/>
      <c r="X73" s="438"/>
      <c r="Y73" s="14"/>
      <c r="AB73" s="34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2:66" s="16" customFormat="1" ht="18" hidden="1" customHeight="1" outlineLevel="1" thickTop="1" thickBot="1">
      <c r="C74" s="477" t="s">
        <v>127</v>
      </c>
      <c r="D74" s="477"/>
      <c r="E74" s="477"/>
      <c r="F74" s="477"/>
      <c r="G74" s="477"/>
      <c r="H74" s="477"/>
      <c r="I74" s="477"/>
      <c r="J74" s="472" cm="1">
        <f t="array" ref="J74">angleConvert2Decimal(M74)</f>
        <v>0</v>
      </c>
      <c r="K74" s="625"/>
      <c r="L74" s="473"/>
      <c r="M74" s="988">
        <v>0</v>
      </c>
      <c r="N74" s="989"/>
      <c r="O74" s="990"/>
      <c r="P74" s="416" t="str" cm="1">
        <f t="array" ref="P74">angleDecimal2Txt(J74)</f>
        <v>+00°00.00 (+00.0000) [+00°00'00.00]</v>
      </c>
      <c r="Q74" s="416"/>
      <c r="R74" s="416"/>
      <c r="S74" s="416"/>
      <c r="T74" s="416"/>
      <c r="U74" s="416"/>
      <c r="V74" s="416"/>
      <c r="W74" s="416"/>
      <c r="X74" s="416"/>
      <c r="Y74" s="14"/>
      <c r="AB74" s="343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2:66" s="16" customFormat="1" ht="18" hidden="1" customHeight="1" outlineLevel="1" thickTop="1" thickBot="1">
      <c r="C75" s="477" t="s">
        <v>135</v>
      </c>
      <c r="D75" s="477"/>
      <c r="E75" s="477"/>
      <c r="F75" s="477"/>
      <c r="G75" s="477"/>
      <c r="H75" s="477"/>
      <c r="I75" s="477"/>
      <c r="J75" s="632" cm="1">
        <f t="array" ref="J75">angleConvert2Decimal(M75)</f>
        <v>0</v>
      </c>
      <c r="K75" s="632"/>
      <c r="L75" s="632"/>
      <c r="M75" s="911">
        <f>M74/2</f>
        <v>0</v>
      </c>
      <c r="N75" s="912"/>
      <c r="O75" s="912"/>
      <c r="P75" s="416" t="str" cm="1">
        <f t="array" ref="P75">angleDecimal2Txt(J75)</f>
        <v>+00°00.00 (+00.0000) [+00°00'00.00]</v>
      </c>
      <c r="Q75" s="416"/>
      <c r="R75" s="416"/>
      <c r="S75" s="416"/>
      <c r="T75" s="416"/>
      <c r="U75" s="416"/>
      <c r="V75" s="416"/>
      <c r="W75" s="416"/>
      <c r="X75" s="416"/>
      <c r="Y75" s="14"/>
      <c r="AB75" s="343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24"/>
    </row>
    <row r="76" spans="2:66" s="16" customFormat="1" ht="18" customHeight="1" collapsed="1" thickBot="1">
      <c r="C76" s="633" t="s">
        <v>19</v>
      </c>
      <c r="D76" s="633"/>
      <c r="E76" s="633"/>
      <c r="F76" s="633"/>
      <c r="G76" s="633"/>
      <c r="H76" s="633"/>
      <c r="I76" s="633"/>
      <c r="J76" s="620">
        <f>M76</f>
        <v>2</v>
      </c>
      <c r="K76" s="621"/>
      <c r="L76" s="622"/>
      <c r="M76" s="528">
        <v>2</v>
      </c>
      <c r="N76" s="528"/>
      <c r="O76" s="528"/>
      <c r="P76" s="14"/>
      <c r="Q76" s="14"/>
      <c r="R76" s="14"/>
      <c r="S76" s="14"/>
      <c r="T76" s="14"/>
      <c r="U76" s="14"/>
      <c r="V76" s="14"/>
      <c r="W76" s="14"/>
      <c r="X76" s="14"/>
      <c r="Y76" s="14"/>
      <c r="AB76" s="343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24"/>
    </row>
    <row r="77" spans="2:66" s="16" customFormat="1" ht="18" customHeight="1" thickTop="1" thickBot="1">
      <c r="B77" s="14"/>
      <c r="C77" s="646" t="s">
        <v>20</v>
      </c>
      <c r="D77" s="647"/>
      <c r="E77" s="647"/>
      <c r="F77" s="647"/>
      <c r="G77" s="647"/>
      <c r="H77" s="647"/>
      <c r="I77" s="648"/>
      <c r="J77" s="472" cm="1">
        <f t="array" ref="J77">angleConvert2Decimal(M77)</f>
        <v>2.1666666666666667E-2</v>
      </c>
      <c r="K77" s="625"/>
      <c r="L77" s="473"/>
      <c r="M77" s="527" t="s">
        <v>245</v>
      </c>
      <c r="N77" s="528"/>
      <c r="O77" s="528"/>
      <c r="P77" s="416" t="str" cm="1">
        <f t="array" ref="P77">angleDecimal2Txt(J77)</f>
        <v>+00°01.30 (+00.0216) [+00°01'18.00]</v>
      </c>
      <c r="Q77" s="416"/>
      <c r="R77" s="416"/>
      <c r="S77" s="416"/>
      <c r="T77" s="416"/>
      <c r="U77" s="416"/>
      <c r="V77" s="416"/>
      <c r="W77" s="416"/>
      <c r="X77" s="416"/>
      <c r="Y77" s="14"/>
      <c r="AB77" s="343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 s="24"/>
    </row>
    <row r="78" spans="2:66" s="16" customFormat="1" ht="18" customHeight="1" thickTop="1" thickBot="1">
      <c r="C78" s="492" t="s">
        <v>26</v>
      </c>
      <c r="D78" s="492"/>
      <c r="E78" s="492"/>
      <c r="F78" s="492"/>
      <c r="G78" s="492"/>
      <c r="H78" s="492"/>
      <c r="I78" s="492"/>
      <c r="J78" s="870">
        <f>IF(J72=AC72,J75,angleConvert2Decimal(M78))</f>
        <v>66.95</v>
      </c>
      <c r="K78" s="871"/>
      <c r="L78" s="872"/>
      <c r="M78" s="527" t="s">
        <v>254</v>
      </c>
      <c r="N78" s="528"/>
      <c r="O78" s="528"/>
      <c r="P78" s="416" t="str" cm="1">
        <f t="array" ref="P78">angleDecimal2Txt(J78)</f>
        <v>+66°57.00 (+66.9500) [+66°57'00.00]</v>
      </c>
      <c r="Q78" s="416"/>
      <c r="R78" s="416"/>
      <c r="S78" s="416"/>
      <c r="T78" s="416"/>
      <c r="U78" s="416"/>
      <c r="V78" s="416"/>
      <c r="W78" s="416"/>
      <c r="X78" s="416"/>
      <c r="Y78" s="14"/>
      <c r="AB78" s="343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 s="24"/>
    </row>
    <row r="79" spans="2:66" s="16" customFormat="1" ht="18" hidden="1" customHeight="1" outlineLevel="1" thickTop="1">
      <c r="C79" s="568" t="s">
        <v>30</v>
      </c>
      <c r="D79" s="568"/>
      <c r="E79" s="568"/>
      <c r="F79" s="568"/>
      <c r="G79" s="568"/>
      <c r="H79" s="568"/>
      <c r="I79" s="568"/>
      <c r="J79" s="463" t="str">
        <f>M79</f>
        <v>Soleil</v>
      </c>
      <c r="K79" s="464"/>
      <c r="L79" s="465"/>
      <c r="M79" s="876" t="s">
        <v>31</v>
      </c>
      <c r="N79" s="877"/>
      <c r="O79" s="878"/>
      <c r="P79" s="14"/>
      <c r="Q79" s="14"/>
      <c r="R79" s="14"/>
      <c r="S79" s="14"/>
      <c r="T79" s="14"/>
      <c r="U79" s="14"/>
      <c r="V79" s="14"/>
      <c r="W79" s="14"/>
      <c r="X79" s="14"/>
      <c r="Y79" s="14"/>
      <c r="AB79" s="343"/>
      <c r="AC79"/>
      <c r="AD79"/>
      <c r="AE79"/>
      <c r="AF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24"/>
    </row>
    <row r="80" spans="2:66" s="16" customFormat="1" ht="18" customHeight="1" collapsed="1" thickTop="1">
      <c r="C80" s="568" t="s">
        <v>56</v>
      </c>
      <c r="D80" s="568"/>
      <c r="E80" s="568"/>
      <c r="F80" s="568"/>
      <c r="G80" s="568"/>
      <c r="H80" s="568"/>
      <c r="I80" s="568"/>
      <c r="J80" s="463" t="str">
        <f>M80</f>
        <v>BordInf</v>
      </c>
      <c r="K80" s="464"/>
      <c r="L80" s="465"/>
      <c r="M80" s="601" t="s">
        <v>57</v>
      </c>
      <c r="N80" s="601"/>
      <c r="O80" s="601"/>
      <c r="P80" s="14"/>
      <c r="Q80" s="14"/>
      <c r="R80" s="14"/>
      <c r="S80" s="14"/>
      <c r="T80" s="14"/>
      <c r="U80" s="14"/>
      <c r="V80" s="14"/>
      <c r="W80" s="14"/>
      <c r="X80" s="14"/>
      <c r="Y80" s="14"/>
      <c r="AB80" s="343"/>
      <c r="AC80"/>
      <c r="AD80"/>
      <c r="AE80"/>
      <c r="AF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24"/>
    </row>
    <row r="81" spans="2:66" s="16" customFormat="1" ht="17.25" customHeight="1">
      <c r="C81" s="562" t="s">
        <v>151</v>
      </c>
      <c r="D81" s="563"/>
      <c r="E81" s="27"/>
      <c r="F81" s="27"/>
      <c r="G81" s="27"/>
      <c r="H81" s="27"/>
      <c r="I81" s="28"/>
      <c r="J81" s="425" cm="1">
        <f t="array" ref="J81">angleConvert2Decimal(M81)</f>
        <v>2.8833333333333302E-3</v>
      </c>
      <c r="K81" s="426"/>
      <c r="L81" s="427"/>
      <c r="M81" s="419">
        <f>P83</f>
        <v>2.8833333333333302E-3</v>
      </c>
      <c r="N81" s="420"/>
      <c r="O81" s="420"/>
      <c r="P81" s="866" t="s">
        <v>97</v>
      </c>
      <c r="Q81" s="866"/>
      <c r="R81" s="866"/>
      <c r="S81" s="14"/>
      <c r="T81" s="14"/>
      <c r="U81" s="14"/>
      <c r="V81" s="14"/>
      <c r="W81" s="14"/>
      <c r="X81" s="14"/>
      <c r="Y81" s="14"/>
      <c r="AB81" s="343"/>
      <c r="AC81"/>
      <c r="AD81"/>
      <c r="AE81"/>
      <c r="AF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24"/>
    </row>
    <row r="82" spans="2:66" s="16" customFormat="1" ht="17.25" customHeight="1" thickBot="1">
      <c r="C82" s="29"/>
      <c r="D82" s="879" t="s">
        <v>152</v>
      </c>
      <c r="E82" s="879"/>
      <c r="F82" s="879"/>
      <c r="G82" s="879"/>
      <c r="H82" s="879"/>
      <c r="I82" s="880"/>
      <c r="J82" s="428"/>
      <c r="K82" s="429"/>
      <c r="L82" s="430"/>
      <c r="M82" s="421"/>
      <c r="N82" s="422"/>
      <c r="O82" s="422"/>
      <c r="P82" s="866"/>
      <c r="Q82" s="866"/>
      <c r="R82" s="866"/>
      <c r="S82" s="14"/>
      <c r="T82" s="14"/>
      <c r="U82" s="14"/>
      <c r="V82" s="14"/>
      <c r="W82" s="14"/>
      <c r="X82" s="14"/>
      <c r="Y82" s="14"/>
      <c r="AB82" s="343"/>
      <c r="AC82"/>
      <c r="AD82"/>
      <c r="AE82"/>
      <c r="AF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24"/>
    </row>
    <row r="83" spans="2:66" s="16" customFormat="1" ht="17.25" customHeight="1" thickTop="1" thickBot="1">
      <c r="C83" s="29"/>
      <c r="D83" s="879"/>
      <c r="E83" s="879"/>
      <c r="F83" s="879"/>
      <c r="G83" s="879"/>
      <c r="H83" s="879"/>
      <c r="I83" s="880"/>
      <c r="J83" s="428"/>
      <c r="K83" s="429"/>
      <c r="L83" s="430"/>
      <c r="M83" s="421"/>
      <c r="N83" s="422"/>
      <c r="O83" s="422"/>
      <c r="P83" s="599" cm="1">
        <f t="array" ref="P83">astroHPSoleilEnDegre()</f>
        <v>2.8833333333333302E-3</v>
      </c>
      <c r="Q83" s="599"/>
      <c r="R83" s="599"/>
      <c r="S83" s="559" t="str" cm="1">
        <f t="array" ref="S83">angleDecimal2Txt(angleConvert2Decimal(P83))</f>
        <v>+00°00.17 (+00.0028) [+00°00'10.37]</v>
      </c>
      <c r="T83" s="559"/>
      <c r="U83" s="559"/>
      <c r="V83" s="559"/>
      <c r="W83" s="559"/>
      <c r="X83" s="560"/>
      <c r="Y83" s="14"/>
      <c r="AB83" s="34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 s="24"/>
    </row>
    <row r="84" spans="2:66" s="16" customFormat="1" ht="17.25" customHeight="1" thickTop="1" thickBot="1">
      <c r="C84" s="30"/>
      <c r="D84" s="881"/>
      <c r="E84" s="881"/>
      <c r="F84" s="881"/>
      <c r="G84" s="881"/>
      <c r="H84" s="881"/>
      <c r="I84" s="882"/>
      <c r="J84" s="867"/>
      <c r="K84" s="868"/>
      <c r="L84" s="869"/>
      <c r="M84" s="423"/>
      <c r="N84" s="424"/>
      <c r="O84" s="424"/>
      <c r="P84" s="509" t="str" cm="1">
        <f t="array" ref="P84">angleDecimal2Txt(J81)</f>
        <v>+00°00.17 (+00.0028) [+00°00'10.37]</v>
      </c>
      <c r="Q84" s="509"/>
      <c r="R84" s="509"/>
      <c r="S84" s="416"/>
      <c r="T84" s="416"/>
      <c r="U84" s="416"/>
      <c r="V84" s="416"/>
      <c r="W84" s="416"/>
      <c r="X84" s="416"/>
      <c r="Y84" s="14"/>
      <c r="AB84" s="343"/>
      <c r="AC84" s="69" t="s">
        <v>98</v>
      </c>
      <c r="AD84" s="70" t="s">
        <v>57</v>
      </c>
      <c r="AE84" s="70" t="s">
        <v>188</v>
      </c>
      <c r="AF84" s="70" t="s">
        <v>58</v>
      </c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 s="24"/>
    </row>
    <row r="85" spans="2:66" s="16" customFormat="1" ht="17.25" customHeight="1" thickTop="1">
      <c r="C85" s="1044" t="s">
        <v>100</v>
      </c>
      <c r="D85" s="1045"/>
      <c r="E85" s="1045"/>
      <c r="F85" s="1045"/>
      <c r="G85" s="1045"/>
      <c r="H85" s="1045"/>
      <c r="I85" s="1046"/>
      <c r="J85" s="425" cm="1">
        <f t="array" ref="J85">angleConvert2Decimal(M85)</f>
        <v>0.52666666699999998</v>
      </c>
      <c r="K85" s="426"/>
      <c r="L85" s="427"/>
      <c r="M85" s="419">
        <f>P87</f>
        <v>0.52666666699999998</v>
      </c>
      <c r="N85" s="420"/>
      <c r="O85" s="420"/>
      <c r="P85" s="866" t="s">
        <v>97</v>
      </c>
      <c r="Q85" s="866"/>
      <c r="R85" s="866"/>
      <c r="S85" s="14"/>
      <c r="T85" s="14"/>
      <c r="U85" s="14"/>
      <c r="V85" s="14"/>
      <c r="W85" s="14"/>
      <c r="X85" s="14"/>
      <c r="Y85" s="14"/>
      <c r="AB85" s="343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 s="24"/>
    </row>
    <row r="86" spans="2:66" s="16" customFormat="1" ht="17.25" customHeight="1" thickBot="1">
      <c r="C86" s="1047"/>
      <c r="D86" s="476"/>
      <c r="E86" s="476"/>
      <c r="F86" s="476"/>
      <c r="G86" s="476"/>
      <c r="H86" s="476"/>
      <c r="I86" s="1048"/>
      <c r="J86" s="428"/>
      <c r="K86" s="429"/>
      <c r="L86" s="430"/>
      <c r="M86" s="421"/>
      <c r="N86" s="422"/>
      <c r="O86" s="422"/>
      <c r="P86" s="866"/>
      <c r="Q86" s="866"/>
      <c r="R86" s="866"/>
      <c r="S86" s="14"/>
      <c r="T86" s="14"/>
      <c r="U86" s="14"/>
      <c r="V86" s="14"/>
      <c r="W86" s="14"/>
      <c r="X86" s="14"/>
      <c r="Y86" s="14"/>
      <c r="AB86" s="343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 s="24"/>
    </row>
    <row r="87" spans="2:66" s="16" customFormat="1" ht="17.25" customHeight="1" thickTop="1" thickBot="1">
      <c r="C87" s="1047"/>
      <c r="D87" s="476"/>
      <c r="E87" s="476"/>
      <c r="F87" s="476"/>
      <c r="G87" s="476"/>
      <c r="H87" s="476"/>
      <c r="I87" s="1048"/>
      <c r="J87" s="428"/>
      <c r="K87" s="429"/>
      <c r="L87" s="430"/>
      <c r="M87" s="421"/>
      <c r="N87" s="422"/>
      <c r="O87" s="422"/>
      <c r="P87" s="599" cm="1">
        <f t="array" ref="P87">astroDiametreSoleilEnDegre(AA7)</f>
        <v>0.52666666699999998</v>
      </c>
      <c r="Q87" s="599"/>
      <c r="R87" s="599"/>
      <c r="S87" s="559" t="str" cm="1">
        <f t="array" ref="S87">angleDecimal2Txt(angleConvert2Decimal(P87))</f>
        <v>+00°31.60 (+00.5266) [+00°31'36.00]</v>
      </c>
      <c r="T87" s="559"/>
      <c r="U87" s="559"/>
      <c r="V87" s="559"/>
      <c r="W87" s="559"/>
      <c r="X87" s="560"/>
      <c r="Y87" s="14"/>
      <c r="AB87" s="343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 s="24"/>
    </row>
    <row r="88" spans="2:66" s="16" customFormat="1" ht="17.25" customHeight="1" thickTop="1" thickBot="1">
      <c r="C88" s="1049"/>
      <c r="D88" s="1050"/>
      <c r="E88" s="1050"/>
      <c r="F88" s="1050"/>
      <c r="G88" s="1050"/>
      <c r="H88" s="1050"/>
      <c r="I88" s="1051"/>
      <c r="J88" s="431"/>
      <c r="K88" s="432"/>
      <c r="L88" s="433"/>
      <c r="M88" s="423"/>
      <c r="N88" s="424"/>
      <c r="O88" s="424"/>
      <c r="P88" s="509" t="str" cm="1">
        <f t="array" ref="P88">angleDecimal2Txt(J85)</f>
        <v>+00°31.60 (+00.5266) [+00°31'36.00]</v>
      </c>
      <c r="Q88" s="509"/>
      <c r="R88" s="509"/>
      <c r="S88" s="416"/>
      <c r="T88" s="416"/>
      <c r="U88" s="416"/>
      <c r="V88" s="416"/>
      <c r="W88" s="416"/>
      <c r="X88" s="416"/>
      <c r="Y88" s="14"/>
      <c r="AB88" s="343"/>
      <c r="AC88"/>
      <c r="AD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 s="24"/>
    </row>
    <row r="89" spans="2:66" s="16" customFormat="1" ht="17.25" customHeight="1" thickTop="1" thickBot="1"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AB89" s="343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 s="24"/>
    </row>
    <row r="90" spans="2:66" s="16" customFormat="1" ht="17.25" customHeight="1" thickBot="1">
      <c r="B90" s="25" t="s">
        <v>9</v>
      </c>
      <c r="C90" s="26"/>
      <c r="D90" s="26"/>
      <c r="E90" s="26"/>
      <c r="F90" s="498">
        <f>IF(G91=AD91,D94,IF(G91=AD92,D101,D107))</f>
        <v>23.175000000000004</v>
      </c>
      <c r="G90" s="498"/>
      <c r="H90" s="498"/>
      <c r="I90" s="26"/>
      <c r="J90" s="26"/>
      <c r="K90" s="26" t="str" cm="1">
        <f t="array" ref="K90">latitudeDecimal2Txt(F90)</f>
        <v>N 23°10.50 (N 23.1750) [N 23°10'30.00]</v>
      </c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348"/>
      <c r="AC90"/>
      <c r="AD90" s="68" t="s">
        <v>561</v>
      </c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 s="24"/>
    </row>
    <row r="91" spans="2:66" s="33" customFormat="1" ht="17.25" customHeight="1">
      <c r="C91" s="551" t="s">
        <v>35</v>
      </c>
      <c r="D91" s="551"/>
      <c r="E91" s="551"/>
      <c r="F91" s="551"/>
      <c r="G91" s="554" t="s">
        <v>10</v>
      </c>
      <c r="H91" s="555"/>
      <c r="I91" s="556"/>
      <c r="AB91" s="349"/>
      <c r="AC91" s="664" t="s">
        <v>36</v>
      </c>
      <c r="AD91" s="68" t="s">
        <v>10</v>
      </c>
      <c r="AE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</row>
    <row r="92" spans="2:66" s="16" customFormat="1" ht="17.25" customHeight="1" outlineLevel="1">
      <c r="C92" s="821" t="s">
        <v>10</v>
      </c>
      <c r="D92" s="823" t="s">
        <v>9</v>
      </c>
      <c r="E92" s="585"/>
      <c r="F92" s="585"/>
      <c r="G92" s="585"/>
      <c r="H92" s="585"/>
      <c r="I92" s="448" t="s">
        <v>626</v>
      </c>
      <c r="J92" s="541"/>
      <c r="K92" s="448" t="s">
        <v>13</v>
      </c>
      <c r="L92" s="449"/>
      <c r="M92" s="450"/>
      <c r="N92" s="454" t="s">
        <v>15</v>
      </c>
      <c r="O92" s="454"/>
      <c r="P92" s="454"/>
      <c r="Q92" s="454"/>
      <c r="R92" s="454"/>
      <c r="S92" s="14"/>
      <c r="AB92" s="343"/>
      <c r="AC92" s="664"/>
      <c r="AD92" s="68" t="s">
        <v>14</v>
      </c>
      <c r="AE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 s="24"/>
    </row>
    <row r="93" spans="2:66" s="16" customFormat="1" ht="17.25" customHeight="1" outlineLevel="1" thickBot="1">
      <c r="C93" s="821"/>
      <c r="D93" s="823"/>
      <c r="E93" s="585"/>
      <c r="F93" s="585"/>
      <c r="G93" s="585"/>
      <c r="H93" s="585"/>
      <c r="I93" s="544"/>
      <c r="J93" s="545"/>
      <c r="K93" s="451"/>
      <c r="L93" s="452"/>
      <c r="M93" s="453"/>
      <c r="N93" s="454"/>
      <c r="O93" s="454"/>
      <c r="P93" s="454"/>
      <c r="Q93" s="454"/>
      <c r="R93" s="454"/>
      <c r="S93" s="14"/>
      <c r="AB93" s="343"/>
      <c r="AC93"/>
      <c r="AD93" s="71" t="s">
        <v>73</v>
      </c>
      <c r="AE93" s="3" t="s">
        <v>180</v>
      </c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 s="24"/>
    </row>
    <row r="94" spans="2:66" s="16" customFormat="1" ht="17.25" customHeight="1" outlineLevel="1" thickTop="1" thickBot="1">
      <c r="C94" s="821"/>
      <c r="D94" s="426">
        <f>IF(G91=AD91,AD99,"---")</f>
        <v>23.175000000000004</v>
      </c>
      <c r="E94" s="426"/>
      <c r="F94" s="426"/>
      <c r="G94" s="426"/>
      <c r="H94" s="427"/>
      <c r="I94" s="693">
        <f>E63</f>
        <v>0</v>
      </c>
      <c r="J94" s="694"/>
      <c r="K94" s="479">
        <v>10</v>
      </c>
      <c r="L94" s="480"/>
      <c r="M94" s="481"/>
      <c r="N94" s="455" t="s">
        <v>3</v>
      </c>
      <c r="O94" s="456" t="s">
        <v>546</v>
      </c>
      <c r="P94" s="457"/>
      <c r="Q94" s="457"/>
      <c r="R94" s="457"/>
      <c r="S94" s="493" t="str" cm="1">
        <f t="array" ref="S94">angleDecimal2Txt(AE94)</f>
        <v>+23°08.50 (+23.1416) [+23°08'30.00]</v>
      </c>
      <c r="T94" s="494"/>
      <c r="U94" s="494"/>
      <c r="V94" s="494"/>
      <c r="W94" s="494"/>
      <c r="AB94" s="343"/>
      <c r="AC94" s="3" t="s">
        <v>172</v>
      </c>
      <c r="AD94" s="3">
        <f>VLOOKUP(N94,Outils!$C$9:$E$10,3)</f>
        <v>1</v>
      </c>
      <c r="AE94" s="3" cm="1">
        <f t="array" ref="AE94">AD94*angleConvert2Decimal(O94)</f>
        <v>23.141666666666666</v>
      </c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 s="24"/>
    </row>
    <row r="95" spans="2:66" s="16" customFormat="1" ht="17.25" customHeight="1" outlineLevel="1" thickTop="1" thickBot="1">
      <c r="C95" s="821"/>
      <c r="D95" s="429"/>
      <c r="E95" s="429"/>
      <c r="F95" s="429"/>
      <c r="G95" s="429"/>
      <c r="H95" s="430"/>
      <c r="I95" s="434"/>
      <c r="J95" s="822"/>
      <c r="K95" s="482"/>
      <c r="L95" s="483"/>
      <c r="M95" s="484"/>
      <c r="N95" s="455"/>
      <c r="O95" s="458"/>
      <c r="P95" s="458"/>
      <c r="Q95" s="458"/>
      <c r="R95" s="458"/>
      <c r="S95" s="494"/>
      <c r="T95" s="494"/>
      <c r="U95" s="494"/>
      <c r="V95" s="494"/>
      <c r="W95" s="494"/>
      <c r="AB95" s="343"/>
      <c r="AC95" s="3" t="s">
        <v>173</v>
      </c>
      <c r="AD95" s="3">
        <f>VLOOKUP(N96,Outils!$C$9:$E$10,3)</f>
        <v>1</v>
      </c>
      <c r="AE95" s="3" cm="1">
        <f t="array" ref="AE95">AD95*angleConvert2Decimal(O96)</f>
        <v>23.138333333333332</v>
      </c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 s="24"/>
    </row>
    <row r="96" spans="2:66" s="16" customFormat="1" ht="17.25" customHeight="1" outlineLevel="1" thickTop="1" thickBot="1">
      <c r="C96" s="821"/>
      <c r="D96" s="429"/>
      <c r="E96" s="429"/>
      <c r="F96" s="429"/>
      <c r="G96" s="429"/>
      <c r="H96" s="430"/>
      <c r="I96" s="434"/>
      <c r="J96" s="822"/>
      <c r="K96" s="569">
        <v>11</v>
      </c>
      <c r="L96" s="570"/>
      <c r="M96" s="571"/>
      <c r="N96" s="455" t="s">
        <v>3</v>
      </c>
      <c r="O96" s="491" t="s">
        <v>547</v>
      </c>
      <c r="P96" s="458"/>
      <c r="Q96" s="458"/>
      <c r="R96" s="458"/>
      <c r="S96" s="493" t="str" cm="1">
        <f t="array" ref="S96">angleDecimal2Txt((AE95))</f>
        <v>+23°08.30 (+23.1383) [+23°08'18.00]</v>
      </c>
      <c r="T96" s="494"/>
      <c r="U96" s="494"/>
      <c r="V96" s="494"/>
      <c r="W96" s="494"/>
      <c r="AB96" s="343"/>
      <c r="AC96" s="3" t="s">
        <v>38</v>
      </c>
      <c r="AD96" s="5">
        <f>AE95-AE94</f>
        <v>-3.3333333333338544E-3</v>
      </c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 s="24"/>
    </row>
    <row r="97" spans="1:66" s="16" customFormat="1" ht="17.25" customHeight="1" outlineLevel="1" thickTop="1" thickBot="1">
      <c r="C97" s="821"/>
      <c r="D97" s="604" t="str" cm="1">
        <f t="array" ref="D97">latitudeDecimal2Txt(D94)</f>
        <v>N 23°10.50 (N 23.1750) [N 23°10'30.00]</v>
      </c>
      <c r="E97" s="414"/>
      <c r="F97" s="414"/>
      <c r="G97" s="414"/>
      <c r="H97" s="414"/>
      <c r="I97" s="695"/>
      <c r="J97" s="696"/>
      <c r="K97" s="482"/>
      <c r="L97" s="483"/>
      <c r="M97" s="484"/>
      <c r="N97" s="455"/>
      <c r="O97" s="458"/>
      <c r="P97" s="458"/>
      <c r="Q97" s="458"/>
      <c r="R97" s="458"/>
      <c r="S97" s="494"/>
      <c r="T97" s="494"/>
      <c r="U97" s="494"/>
      <c r="V97" s="494"/>
      <c r="W97" s="494"/>
      <c r="AB97" s="343"/>
      <c r="AC97" s="3" t="s">
        <v>174</v>
      </c>
      <c r="AD97" s="5">
        <f>K96-K94</f>
        <v>1</v>
      </c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 s="24"/>
    </row>
    <row r="98" spans="1:66" s="16" customFormat="1" ht="17.25" customHeight="1" thickTop="1">
      <c r="C98" s="59"/>
      <c r="D98" s="59"/>
      <c r="E98" s="59"/>
      <c r="AB98" s="343"/>
      <c r="AC98" s="3" t="s">
        <v>39</v>
      </c>
      <c r="AD98" s="5">
        <f>I94-K94</f>
        <v>-10</v>
      </c>
      <c r="AE98"/>
      <c r="AF98"/>
      <c r="AG98"/>
      <c r="AH98"/>
      <c r="AI98" s="11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 s="24"/>
    </row>
    <row r="99" spans="1:66" s="16" customFormat="1" ht="17.25" hidden="1" customHeight="1" outlineLevel="1">
      <c r="C99" s="605" t="s">
        <v>14</v>
      </c>
      <c r="D99" s="585" t="s">
        <v>9</v>
      </c>
      <c r="E99" s="585"/>
      <c r="F99" s="585"/>
      <c r="G99" s="585"/>
      <c r="H99" s="585"/>
      <c r="I99" s="448" t="s">
        <v>626</v>
      </c>
      <c r="J99" s="541"/>
      <c r="K99" s="448" t="s">
        <v>618</v>
      </c>
      <c r="L99" s="449"/>
      <c r="M99" s="450"/>
      <c r="N99" s="454" t="s">
        <v>16</v>
      </c>
      <c r="O99" s="454"/>
      <c r="P99" s="454"/>
      <c r="Q99" s="454"/>
      <c r="R99" s="454"/>
      <c r="S99" s="454" t="s">
        <v>131</v>
      </c>
      <c r="T99" s="454"/>
      <c r="U99" s="454"/>
      <c r="V99" s="454"/>
      <c r="W99" s="454"/>
      <c r="AA99" s="14"/>
      <c r="AB99" s="343"/>
      <c r="AC99" s="3" t="s">
        <v>37</v>
      </c>
      <c r="AD99" s="3">
        <f>AE94+(AD96/AD97)*AD98</f>
        <v>23.175000000000004</v>
      </c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 s="24"/>
    </row>
    <row r="100" spans="1:66" s="16" customFormat="1" ht="17.25" hidden="1" customHeight="1" outlineLevel="1">
      <c r="C100" s="605"/>
      <c r="D100" s="585"/>
      <c r="E100" s="585"/>
      <c r="F100" s="585"/>
      <c r="G100" s="585"/>
      <c r="H100" s="585"/>
      <c r="I100" s="544"/>
      <c r="J100" s="545"/>
      <c r="K100" s="451"/>
      <c r="L100" s="452"/>
      <c r="M100" s="453"/>
      <c r="N100" s="454"/>
      <c r="O100" s="454"/>
      <c r="P100" s="454"/>
      <c r="Q100" s="454"/>
      <c r="R100" s="454"/>
      <c r="S100" s="454"/>
      <c r="T100" s="454"/>
      <c r="U100" s="454"/>
      <c r="V100" s="454"/>
      <c r="W100" s="454"/>
      <c r="AA100" s="14"/>
      <c r="AB100" s="343"/>
      <c r="AC100"/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 s="24"/>
    </row>
    <row r="101" spans="1:66" s="16" customFormat="1" ht="17.25" hidden="1" customHeight="1" outlineLevel="1">
      <c r="C101" s="605"/>
      <c r="D101" s="426" t="str">
        <f>IF(G91=AD92,AD105,"---")</f>
        <v>---</v>
      </c>
      <c r="E101" s="426"/>
      <c r="F101" s="426"/>
      <c r="G101" s="426"/>
      <c r="H101" s="426"/>
      <c r="I101" s="579">
        <f>E63</f>
        <v>0</v>
      </c>
      <c r="J101" s="579"/>
      <c r="K101" s="443">
        <v>0</v>
      </c>
      <c r="L101" s="443"/>
      <c r="M101" s="666"/>
      <c r="N101" s="455" t="s">
        <v>3</v>
      </c>
      <c r="O101" s="669" t="s">
        <v>617</v>
      </c>
      <c r="P101" s="670"/>
      <c r="Q101" s="670"/>
      <c r="R101" s="670"/>
      <c r="S101" s="455" t="s">
        <v>3</v>
      </c>
      <c r="T101" s="669">
        <f>0.2/60</f>
        <v>3.3333333333333335E-3</v>
      </c>
      <c r="U101" s="670"/>
      <c r="V101" s="670"/>
      <c r="W101" s="670"/>
      <c r="AA101" s="14"/>
      <c r="AB101" s="343"/>
      <c r="AC101" s="3" t="s">
        <v>175</v>
      </c>
      <c r="AD101" s="3">
        <f>VLOOKUP(N101,Outils!$C$9:$E$10,3)</f>
        <v>1</v>
      </c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 s="24"/>
    </row>
    <row r="102" spans="1:66" s="16" customFormat="1" ht="17.25" hidden="1" customHeight="1" outlineLevel="1" thickBot="1">
      <c r="C102" s="605"/>
      <c r="D102" s="429"/>
      <c r="E102" s="429"/>
      <c r="F102" s="429"/>
      <c r="G102" s="429"/>
      <c r="H102" s="429"/>
      <c r="I102" s="579"/>
      <c r="J102" s="579"/>
      <c r="K102" s="445"/>
      <c r="L102" s="445"/>
      <c r="M102" s="667"/>
      <c r="N102" s="455"/>
      <c r="O102" s="455"/>
      <c r="P102" s="455"/>
      <c r="Q102" s="455"/>
      <c r="R102" s="455"/>
      <c r="S102" s="455"/>
      <c r="T102" s="455"/>
      <c r="U102" s="455"/>
      <c r="V102" s="455"/>
      <c r="W102" s="455"/>
      <c r="Z102" s="14"/>
      <c r="AA102" s="14"/>
      <c r="AB102" s="343"/>
      <c r="AC102" s="3" t="s">
        <v>176</v>
      </c>
      <c r="AD102" s="3" cm="1">
        <f t="array" ref="AD102">angleConvert2Decimal(O101)*AD101</f>
        <v>23.176666666666666</v>
      </c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 s="24"/>
    </row>
    <row r="103" spans="1:66" s="16" customFormat="1" ht="17.25" hidden="1" customHeight="1" outlineLevel="1" thickTop="1" thickBot="1">
      <c r="C103" s="605"/>
      <c r="D103" s="604" t="e" cm="1">
        <f t="array" ref="D103">latitudeDecimal2Txt(D101)</f>
        <v>#VALUE!</v>
      </c>
      <c r="E103" s="414"/>
      <c r="F103" s="414"/>
      <c r="G103" s="414"/>
      <c r="H103" s="684"/>
      <c r="I103" s="579"/>
      <c r="J103" s="579"/>
      <c r="K103" s="603" t="str" cm="1">
        <f t="array" ref="K103">heureDecimal2Txt(K101)</f>
        <v>00:00:00.00(00.0000)</v>
      </c>
      <c r="L103" s="603"/>
      <c r="M103" s="604"/>
      <c r="N103" s="416" t="str" cm="1">
        <f t="array" ref="N103">angleDecimal2Txt(AD102)</f>
        <v>+23°10.59 (+23.1766) [+23°10'36.00]</v>
      </c>
      <c r="O103" s="416"/>
      <c r="P103" s="416"/>
      <c r="Q103" s="416"/>
      <c r="R103" s="416"/>
      <c r="S103" s="416" t="str" cm="1">
        <f t="array" ref="S103">angleDecimal2Txt(AD104)</f>
        <v>+00°00.19 (+00.0033) [+00°00'11.99]</v>
      </c>
      <c r="T103" s="671"/>
      <c r="U103" s="671"/>
      <c r="V103" s="671"/>
      <c r="W103" s="671"/>
      <c r="Z103" s="14"/>
      <c r="AB103" s="343"/>
      <c r="AC103" s="3" t="s">
        <v>177</v>
      </c>
      <c r="AD103" s="3">
        <f>VLOOKUP(S101,Outils!$C$9:$E$10,3)</f>
        <v>1</v>
      </c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1:66" s="16" customFormat="1" ht="17.25" customHeight="1" collapsed="1">
      <c r="A104" s="34" t="s">
        <v>544</v>
      </c>
      <c r="C104" s="59"/>
      <c r="D104" s="59"/>
      <c r="E104" s="59"/>
      <c r="I104"/>
      <c r="Z104" s="14"/>
      <c r="AB104" s="343"/>
      <c r="AC104" s="3" t="s">
        <v>178</v>
      </c>
      <c r="AD104" s="3" cm="1">
        <f t="array" ref="AD104">angleConvert2Decimal(T101)*AD103</f>
        <v>3.3333333333333301E-3</v>
      </c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4"/>
    </row>
    <row r="105" spans="1:66" s="16" customFormat="1" ht="17.25" hidden="1" customHeight="1" outlineLevel="1">
      <c r="C105" s="605" t="s">
        <v>627</v>
      </c>
      <c r="D105" s="585" t="s">
        <v>9</v>
      </c>
      <c r="E105" s="585"/>
      <c r="F105" s="585"/>
      <c r="G105" s="585"/>
      <c r="H105" s="585"/>
      <c r="I105" s="531" t="s">
        <v>563</v>
      </c>
      <c r="J105" s="532"/>
      <c r="K105" s="532"/>
      <c r="L105" s="532"/>
      <c r="M105" s="533"/>
      <c r="AB105" s="343"/>
      <c r="AC105" s="3" t="s">
        <v>179</v>
      </c>
      <c r="AD105" s="3">
        <f>AD102+AD104*(I101-K101)</f>
        <v>23.176666666666666</v>
      </c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1:66" s="16" customFormat="1" ht="17.25" hidden="1" customHeight="1" outlineLevel="1">
      <c r="C106" s="605"/>
      <c r="D106" s="585"/>
      <c r="E106" s="585"/>
      <c r="F106" s="585"/>
      <c r="G106" s="585"/>
      <c r="H106" s="585"/>
      <c r="I106" s="534"/>
      <c r="J106" s="535"/>
      <c r="K106" s="535"/>
      <c r="L106" s="535"/>
      <c r="M106" s="536"/>
      <c r="S106"/>
      <c r="T106"/>
      <c r="U106"/>
      <c r="V106"/>
      <c r="W106"/>
      <c r="X106"/>
      <c r="Y106"/>
      <c r="AB106" s="343"/>
      <c r="AC106" s="3"/>
      <c r="AD106" s="3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1:66" s="16" customFormat="1" ht="17.25" hidden="1" customHeight="1" outlineLevel="1">
      <c r="C107" s="605"/>
      <c r="D107" s="428" t="str">
        <f>IF(G91=AD90,AD108,"---")</f>
        <v>---</v>
      </c>
      <c r="E107" s="429"/>
      <c r="F107" s="429"/>
      <c r="G107" s="429"/>
      <c r="H107" s="429"/>
      <c r="I107" s="490" t="s">
        <v>4</v>
      </c>
      <c r="J107" s="597" t="s">
        <v>625</v>
      </c>
      <c r="K107" s="597"/>
      <c r="L107" s="597"/>
      <c r="M107" s="597"/>
      <c r="U107"/>
      <c r="V107"/>
      <c r="W107"/>
      <c r="X107"/>
      <c r="Y107"/>
      <c r="AB107" s="343"/>
      <c r="AC107" s="3" t="s">
        <v>175</v>
      </c>
      <c r="AD107" s="3">
        <f>VLOOKUP(I107,Outils!$C$9:$E$10,3)</f>
        <v>-1</v>
      </c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1:66" s="16" customFormat="1" ht="17.25" hidden="1" customHeight="1" outlineLevel="1" thickBot="1">
      <c r="C108" s="605"/>
      <c r="D108" s="606"/>
      <c r="E108" s="607"/>
      <c r="F108" s="607"/>
      <c r="G108" s="607"/>
      <c r="H108" s="607"/>
      <c r="I108" s="490"/>
      <c r="J108" s="597"/>
      <c r="K108" s="597"/>
      <c r="L108" s="597"/>
      <c r="M108" s="597"/>
      <c r="U108"/>
      <c r="V108"/>
      <c r="W108"/>
      <c r="X108"/>
      <c r="Y108"/>
      <c r="AB108" s="343"/>
      <c r="AC108" s="3" t="s">
        <v>176</v>
      </c>
      <c r="AD108" s="3" cm="1">
        <f t="array" ref="AD108">angleConvert2Decimal(J107)*AD107</f>
        <v>-14.728333333333333</v>
      </c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1:66" s="16" customFormat="1" ht="17.25" hidden="1" customHeight="1" outlineLevel="1" thickTop="1" thickBot="1">
      <c r="C109" s="605"/>
      <c r="D109" s="414" t="str" cm="1">
        <f t="array" ref="D109">latitudeDecimal2Txt(AD108)</f>
        <v>S 14°43.70 (S 14.7283) [S 14°43'42.00]</v>
      </c>
      <c r="E109" s="414"/>
      <c r="F109" s="414"/>
      <c r="G109" s="414"/>
      <c r="H109" s="414"/>
      <c r="I109"/>
      <c r="J109"/>
      <c r="K109"/>
      <c r="L109"/>
      <c r="N109"/>
      <c r="O109"/>
      <c r="U109"/>
      <c r="V109"/>
      <c r="W109"/>
      <c r="X109"/>
      <c r="Y109"/>
      <c r="AB109" s="343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1:66" s="16" customFormat="1" ht="17.25" customHeight="1" collapsed="1" thickBo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 s="334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1:66" s="16" customFormat="1" ht="17.25" customHeight="1" thickBot="1">
      <c r="B111" s="25" t="s">
        <v>23</v>
      </c>
      <c r="C111" s="26"/>
      <c r="D111" s="653" t="s">
        <v>72</v>
      </c>
      <c r="E111" s="654"/>
      <c r="F111" s="498">
        <f>IF(G112=AD112,O149,O139)</f>
        <v>67.144288851193551</v>
      </c>
      <c r="G111" s="498"/>
      <c r="H111" s="498"/>
      <c r="I111" s="26"/>
      <c r="J111" s="26"/>
      <c r="K111" s="26"/>
      <c r="L111" s="26" t="s">
        <v>60</v>
      </c>
      <c r="M111" s="653">
        <f>O114</f>
        <v>66.95</v>
      </c>
      <c r="N111" s="653"/>
      <c r="O111" s="26"/>
      <c r="P111" s="60"/>
      <c r="Q111" s="26" t="s">
        <v>95</v>
      </c>
      <c r="R111" s="26"/>
      <c r="S111" s="674">
        <f>-O126+O121+O130</f>
        <v>0.25739197523773433</v>
      </c>
      <c r="T111" s="675"/>
      <c r="U111" s="676"/>
      <c r="V111" s="873" t="str" cm="1">
        <f t="array" ref="V111">angleDecimal2Txt(S111)</f>
        <v>+00°15.44 (+00.2573) [+00°15'26.61]</v>
      </c>
      <c r="W111" s="874"/>
      <c r="X111" s="874"/>
      <c r="Y111" s="874"/>
      <c r="Z111" s="875"/>
      <c r="AA111" s="26"/>
      <c r="AB111" s="348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1:66" s="16" customFormat="1" ht="17.25" customHeight="1">
      <c r="C112" s="476" t="s">
        <v>35</v>
      </c>
      <c r="D112" s="476"/>
      <c r="E112" s="476"/>
      <c r="F112" s="476"/>
      <c r="G112" s="555" t="s">
        <v>51</v>
      </c>
      <c r="H112" s="555"/>
      <c r="I112" s="555"/>
      <c r="P112" s="16" t="s">
        <v>69</v>
      </c>
      <c r="V112" s="14"/>
      <c r="W112" s="14"/>
      <c r="X112" s="14"/>
      <c r="Y112" s="14"/>
      <c r="Z112" s="14"/>
      <c r="AB112" s="343"/>
      <c r="AC112" s="664" t="s">
        <v>36</v>
      </c>
      <c r="AD112" s="68" t="s">
        <v>50</v>
      </c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1:67" s="16" customFormat="1" ht="17.25" hidden="1" customHeight="1" outlineLevel="1" thickBot="1">
      <c r="C113" s="33"/>
      <c r="D113" s="33"/>
      <c r="E113" s="33"/>
      <c r="F113" s="726" t="s">
        <v>62</v>
      </c>
      <c r="G113" s="726"/>
      <c r="H113" s="757"/>
      <c r="I113" s="757"/>
      <c r="J113" s="870">
        <f>IF(G112=AD112,"---",O139)</f>
        <v>67.144288851193551</v>
      </c>
      <c r="K113" s="871"/>
      <c r="L113" s="872"/>
      <c r="M113" s="97"/>
      <c r="N113" s="97"/>
      <c r="O113" s="97"/>
      <c r="P113" s="97"/>
      <c r="Q113" s="97"/>
      <c r="R113" s="97"/>
      <c r="S113" s="97"/>
      <c r="T113" s="97"/>
      <c r="U113" s="97"/>
      <c r="V113" s="98"/>
      <c r="W113" s="98"/>
      <c r="X113" s="98"/>
      <c r="Y113" s="98"/>
      <c r="Z113" s="98"/>
      <c r="AB113" s="343"/>
      <c r="AC113" s="664"/>
      <c r="AD113" s="68" t="s">
        <v>51</v>
      </c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1:67" s="16" customFormat="1" ht="17.25" hidden="1" customHeight="1" outlineLevel="1" thickTop="1" thickBot="1">
      <c r="H114" s="485" t="s">
        <v>47</v>
      </c>
      <c r="I114" s="486"/>
      <c r="J114" s="486"/>
      <c r="K114" s="486"/>
      <c r="L114" s="486"/>
      <c r="M114" s="486"/>
      <c r="N114" s="487"/>
      <c r="O114" s="469">
        <f>J78</f>
        <v>66.95</v>
      </c>
      <c r="P114" s="469"/>
      <c r="Q114" s="469"/>
      <c r="R114" s="469"/>
      <c r="S114" s="16" t="s">
        <v>54</v>
      </c>
      <c r="U114" s="751" t="str" cm="1">
        <f t="array" ref="U114">angleDecimal2Txt(O114)</f>
        <v>+66°57.00 (+66.9500) [+66°57'00.00]</v>
      </c>
      <c r="V114" s="752"/>
      <c r="W114" s="752"/>
      <c r="X114" s="752"/>
      <c r="Y114" s="752"/>
      <c r="Z114" s="438"/>
      <c r="AB114" s="34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1:67" s="16" customFormat="1" ht="17.25" hidden="1" customHeight="1" outlineLevel="1" thickTop="1" thickBot="1">
      <c r="H115" s="485" t="s">
        <v>24</v>
      </c>
      <c r="I115" s="486"/>
      <c r="J115" s="486"/>
      <c r="K115" s="486"/>
      <c r="L115" s="486"/>
      <c r="M115" s="486"/>
      <c r="N115" s="487"/>
      <c r="O115" s="469">
        <f>J77</f>
        <v>2.1666666666666667E-2</v>
      </c>
      <c r="P115" s="469"/>
      <c r="Q115" s="469"/>
      <c r="R115" s="469"/>
      <c r="S115" s="16" t="s">
        <v>54</v>
      </c>
      <c r="U115" s="751" t="str" cm="1">
        <f t="array" ref="U115">angleDecimal2Txt(O115)</f>
        <v>+00°01.30 (+00.0216) [+00°01'18.00]</v>
      </c>
      <c r="V115" s="752"/>
      <c r="W115" s="752"/>
      <c r="X115" s="752"/>
      <c r="Y115" s="752"/>
      <c r="Z115" s="438"/>
      <c r="AB115" s="343"/>
      <c r="AC115" s="3" t="s">
        <v>59</v>
      </c>
      <c r="AD115" s="5">
        <f>O115</f>
        <v>2.1666666666666667E-2</v>
      </c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1:67" s="16" customFormat="1" ht="17.25" hidden="1" customHeight="1" outlineLevel="1" thickTop="1" thickBot="1">
      <c r="C116" s="59"/>
      <c r="D116" s="59"/>
      <c r="E116" s="59"/>
      <c r="F116" s="59"/>
      <c r="H116" s="485" t="s">
        <v>68</v>
      </c>
      <c r="I116" s="486"/>
      <c r="J116" s="486"/>
      <c r="K116" s="486"/>
      <c r="L116" s="486"/>
      <c r="M116" s="486"/>
      <c r="N116" s="487"/>
      <c r="O116" s="602">
        <f>AD117</f>
        <v>4.1436457377531689E-2</v>
      </c>
      <c r="P116" s="602"/>
      <c r="Q116" s="602"/>
      <c r="R116" s="602"/>
      <c r="S116" s="16" t="s">
        <v>54</v>
      </c>
      <c r="U116" s="751" t="str" cm="1">
        <f t="array" ref="U116">angleDecimal2Txt(O116)</f>
        <v>+00°02.48 (+00.0414) [+00°02'29.17]</v>
      </c>
      <c r="V116" s="752"/>
      <c r="W116" s="752"/>
      <c r="X116" s="752"/>
      <c r="Y116" s="752"/>
      <c r="Z116" s="438"/>
      <c r="AB116" s="343"/>
      <c r="AC116" s="3" t="s">
        <v>46</v>
      </c>
      <c r="AD116" s="3">
        <f>J76</f>
        <v>2</v>
      </c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1:67" s="16" customFormat="1" ht="17.25" hidden="1" customHeight="1" outlineLevel="1" thickTop="1" thickBot="1">
      <c r="C117" s="59"/>
      <c r="D117" s="59"/>
      <c r="E117" s="59"/>
      <c r="F117" s="59"/>
      <c r="G117" s="59"/>
      <c r="K117" s="14"/>
      <c r="L117" s="14"/>
      <c r="M117" s="865" t="s">
        <v>113</v>
      </c>
      <c r="N117" s="865"/>
      <c r="O117" s="865"/>
      <c r="P117" s="865"/>
      <c r="Q117" s="14"/>
      <c r="R117" s="14"/>
      <c r="U117" s="14"/>
      <c r="V117" s="14"/>
      <c r="W117" s="14"/>
      <c r="X117" s="14"/>
      <c r="Y117" s="14"/>
      <c r="Z117" s="14"/>
      <c r="AB117" s="343"/>
      <c r="AC117" s="72" t="s">
        <v>67</v>
      </c>
      <c r="AD117" s="3">
        <f>0.0293 * SQRT(AD116)</f>
        <v>4.1436457377531689E-2</v>
      </c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1:67" s="16" customFormat="1" ht="17.25" hidden="1" customHeight="1" outlineLevel="1" thickTop="1" thickBot="1">
      <c r="C118" s="59"/>
      <c r="D118" s="59"/>
      <c r="E118" s="59"/>
      <c r="F118" s="59"/>
      <c r="H118" s="460" t="s">
        <v>407</v>
      </c>
      <c r="I118" s="461"/>
      <c r="J118" s="461"/>
      <c r="K118" s="461"/>
      <c r="L118" s="461"/>
      <c r="M118" s="461"/>
      <c r="N118" s="462"/>
      <c r="O118" s="472">
        <f>O114-O115-O116</f>
        <v>66.886896875955813</v>
      </c>
      <c r="P118" s="473"/>
      <c r="Q118" s="16" t="s">
        <v>54</v>
      </c>
      <c r="R118" s="689">
        <f>O118*Outils!F4</f>
        <v>1.1673965769273382</v>
      </c>
      <c r="S118" s="689"/>
      <c r="T118" s="37" t="s">
        <v>64</v>
      </c>
      <c r="U118" s="751" t="str" cm="1">
        <f t="array" ref="U118">angleDecimal2Txt(O118)</f>
        <v>+66°53.21 (+66.8868) [+66°53'12.82]</v>
      </c>
      <c r="V118" s="752"/>
      <c r="W118" s="752"/>
      <c r="X118" s="752"/>
      <c r="Y118" s="752"/>
      <c r="Z118" s="438"/>
      <c r="AB118" s="343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1:67" s="16" customFormat="1" ht="17.25" hidden="1" customHeight="1" outlineLevel="1" thickTop="1" thickBot="1"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U119" s="14"/>
      <c r="V119" s="14"/>
      <c r="W119" s="14"/>
      <c r="X119" s="14"/>
      <c r="Y119" s="14"/>
      <c r="Z119" s="14"/>
      <c r="AB119" s="343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1:67" ht="17.25" hidden="1" customHeight="1" outlineLevel="1" thickTop="1" thickBot="1">
      <c r="A120" s="14"/>
      <c r="B120" s="14"/>
      <c r="C120" s="14"/>
      <c r="D120" s="14"/>
      <c r="E120" s="14"/>
      <c r="F120" s="16"/>
      <c r="G120" s="16"/>
      <c r="H120" s="463" t="s">
        <v>52</v>
      </c>
      <c r="I120" s="464"/>
      <c r="J120" s="464"/>
      <c r="K120" s="464"/>
      <c r="L120" s="464"/>
      <c r="M120" s="464"/>
      <c r="N120" s="465"/>
      <c r="O120" s="474">
        <f>J81</f>
        <v>2.8833333333333302E-3</v>
      </c>
      <c r="P120" s="475"/>
      <c r="Q120" s="475"/>
      <c r="R120" s="475"/>
      <c r="S120" s="16" t="s">
        <v>54</v>
      </c>
      <c r="T120" s="16"/>
      <c r="U120" s="751" t="str" cm="1">
        <f t="array" ref="U120">angleDecimal2Txt(O120)</f>
        <v>+00°00.17 (+00.0028) [+00°00'10.37]</v>
      </c>
      <c r="V120" s="752"/>
      <c r="W120" s="752"/>
      <c r="X120" s="752"/>
      <c r="Y120" s="752"/>
      <c r="Z120" s="438"/>
      <c r="AA120" s="16"/>
      <c r="AB120" s="343"/>
      <c r="AC120" s="3" t="s">
        <v>183</v>
      </c>
      <c r="AD120" s="3">
        <f>O120*COS(R118)</f>
        <v>1.1318451843031951E-3</v>
      </c>
      <c r="BN120" s="24"/>
      <c r="BO120" s="16"/>
    </row>
    <row r="121" spans="1:67" ht="17.25" hidden="1" customHeight="1" outlineLevel="1" thickTop="1" thickBot="1">
      <c r="A121" s="14"/>
      <c r="B121" s="14"/>
      <c r="C121" s="14"/>
      <c r="D121" s="14"/>
      <c r="E121" s="14"/>
      <c r="F121" s="16"/>
      <c r="G121" s="16"/>
      <c r="H121" s="663" t="s">
        <v>140</v>
      </c>
      <c r="I121" s="461"/>
      <c r="J121" s="461"/>
      <c r="K121" s="461"/>
      <c r="L121" s="461"/>
      <c r="M121" s="461"/>
      <c r="N121" s="462"/>
      <c r="O121" s="440">
        <f>AD120</f>
        <v>1.1318451843031951E-3</v>
      </c>
      <c r="P121" s="440"/>
      <c r="Q121" s="440"/>
      <c r="R121" s="440"/>
      <c r="S121" s="16" t="s">
        <v>54</v>
      </c>
      <c r="T121" s="16"/>
      <c r="U121" s="751" t="str" cm="1">
        <f t="array" ref="U121">angleDecimal2Txt(O121)</f>
        <v>+00°00.06 (+00.0011) [+00°00'04.07]</v>
      </c>
      <c r="V121" s="752"/>
      <c r="W121" s="752"/>
      <c r="X121" s="752"/>
      <c r="Y121" s="752"/>
      <c r="Z121" s="438"/>
      <c r="AA121" s="16"/>
      <c r="AB121" s="343"/>
      <c r="BN121" s="24"/>
      <c r="BO121" s="16"/>
    </row>
    <row r="122" spans="1:67" ht="17.25" hidden="1" customHeight="1" outlineLevel="1" thickTop="1">
      <c r="A122" s="14"/>
      <c r="B122" s="14"/>
      <c r="C122" s="14"/>
      <c r="D122" s="14"/>
      <c r="E122" s="14"/>
      <c r="F122" s="16"/>
      <c r="G122" s="16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6"/>
      <c r="AB122" s="343"/>
      <c r="BN122" s="24"/>
      <c r="BO122" s="16"/>
    </row>
    <row r="123" spans="1:67" ht="17.25" hidden="1" customHeight="1" outlineLevel="1">
      <c r="A123" s="14"/>
      <c r="B123" s="14"/>
      <c r="C123" s="14"/>
      <c r="D123" s="14"/>
      <c r="E123" s="59"/>
      <c r="F123" s="16"/>
      <c r="G123" s="16"/>
      <c r="H123" s="14"/>
      <c r="I123" s="14"/>
      <c r="J123" s="14"/>
      <c r="K123" s="14"/>
      <c r="L123" s="14"/>
      <c r="M123" s="14"/>
      <c r="N123" s="14"/>
      <c r="O123" s="14"/>
      <c r="P123" s="16"/>
      <c r="Q123" s="16"/>
      <c r="R123" s="16"/>
      <c r="S123" s="510" t="s">
        <v>126</v>
      </c>
      <c r="T123" s="511"/>
      <c r="U123" s="512"/>
      <c r="V123" s="16"/>
      <c r="W123" s="16"/>
      <c r="X123" s="16"/>
      <c r="Y123" s="14"/>
      <c r="Z123" s="14"/>
      <c r="AA123" s="16"/>
      <c r="AB123" s="343"/>
      <c r="AC123" s="3" t="s">
        <v>49</v>
      </c>
      <c r="AD123" s="3" t="s">
        <v>185</v>
      </c>
      <c r="BN123" s="24"/>
      <c r="BO123" s="16"/>
    </row>
    <row r="124" spans="1:67" ht="17.25" hidden="1" customHeight="1" outlineLevel="1">
      <c r="A124" s="14"/>
      <c r="B124" s="14"/>
      <c r="C124" s="14"/>
      <c r="D124" s="14"/>
      <c r="E124" s="59"/>
      <c r="F124" s="16"/>
      <c r="G124" s="16"/>
      <c r="H124" s="463" t="s">
        <v>65</v>
      </c>
      <c r="I124" s="464"/>
      <c r="J124" s="464"/>
      <c r="K124" s="464"/>
      <c r="L124" s="464"/>
      <c r="M124" s="464"/>
      <c r="N124" s="465"/>
      <c r="O124" s="661">
        <f>S124</f>
        <v>10</v>
      </c>
      <c r="P124" s="662"/>
      <c r="Q124" s="662"/>
      <c r="R124" s="662"/>
      <c r="S124" s="655">
        <v>10</v>
      </c>
      <c r="T124" s="656"/>
      <c r="U124" s="657"/>
      <c r="V124" s="16"/>
      <c r="W124" s="16"/>
      <c r="X124" s="16"/>
      <c r="Y124" s="14"/>
      <c r="Z124" s="14"/>
      <c r="AA124" s="16"/>
      <c r="AB124" s="343"/>
      <c r="AC124" s="3" t="s">
        <v>186</v>
      </c>
      <c r="AD124" s="3">
        <f>1/TAN((O118 + 7.31 / (O118 + 4.4)) * Outils!F4)</f>
        <v>0.4246923427253872</v>
      </c>
      <c r="BN124" s="24"/>
      <c r="BO124" s="16"/>
    </row>
    <row r="125" spans="1:67" ht="17.25" hidden="1" customHeight="1" outlineLevel="1" thickBot="1">
      <c r="A125" s="14"/>
      <c r="B125" s="14"/>
      <c r="C125" s="14"/>
      <c r="D125" s="14"/>
      <c r="E125" s="14"/>
      <c r="F125" s="16"/>
      <c r="G125" s="16"/>
      <c r="H125" s="463" t="s">
        <v>66</v>
      </c>
      <c r="I125" s="464"/>
      <c r="J125" s="464"/>
      <c r="K125" s="464"/>
      <c r="L125" s="464"/>
      <c r="M125" s="464"/>
      <c r="N125" s="465"/>
      <c r="O125" s="661">
        <f>S125</f>
        <v>1010</v>
      </c>
      <c r="P125" s="662"/>
      <c r="Q125" s="662"/>
      <c r="R125" s="662"/>
      <c r="S125" s="655">
        <v>1010</v>
      </c>
      <c r="T125" s="656"/>
      <c r="U125" s="657"/>
      <c r="V125" s="16"/>
      <c r="W125" s="16"/>
      <c r="X125" s="16"/>
      <c r="Y125" s="14"/>
      <c r="Z125" s="14"/>
      <c r="AA125" s="16"/>
      <c r="AB125" s="343"/>
      <c r="AC125" s="3" t="s">
        <v>187</v>
      </c>
      <c r="AD125" s="3">
        <f>AD124/60</f>
        <v>7.0782057120897862E-3</v>
      </c>
      <c r="BN125" s="24"/>
      <c r="BO125" s="16"/>
    </row>
    <row r="126" spans="1:67" ht="17.25" hidden="1" customHeight="1" outlineLevel="1" thickTop="1" thickBot="1">
      <c r="A126" s="14"/>
      <c r="B126" s="14"/>
      <c r="C126" s="14"/>
      <c r="D126" s="14"/>
      <c r="E126" s="14"/>
      <c r="F126" s="16"/>
      <c r="G126" s="16"/>
      <c r="H126" s="663" t="s">
        <v>141</v>
      </c>
      <c r="I126" s="461"/>
      <c r="J126" s="461"/>
      <c r="K126" s="461"/>
      <c r="L126" s="461"/>
      <c r="M126" s="461"/>
      <c r="N126" s="462"/>
      <c r="O126" s="440">
        <f>AD127</f>
        <v>7.0732034465688749E-3</v>
      </c>
      <c r="P126" s="440"/>
      <c r="Q126" s="440"/>
      <c r="R126" s="440"/>
      <c r="S126" s="16" t="s">
        <v>54</v>
      </c>
      <c r="T126" s="16"/>
      <c r="U126" s="751" t="str" cm="1">
        <f t="array" ref="U126">angleDecimal2Txt(O126)</f>
        <v>+00°00.42 (+00.0070) [+00°00'25.46]</v>
      </c>
      <c r="V126" s="752"/>
      <c r="W126" s="752"/>
      <c r="X126" s="752"/>
      <c r="Y126" s="752"/>
      <c r="Z126" s="438"/>
      <c r="AA126" s="16"/>
      <c r="AB126" s="343"/>
      <c r="AC126" s="3" t="s">
        <v>96</v>
      </c>
      <c r="AD126" s="3">
        <f xml:space="preserve"> 0.28 * O125 / (273 + O124)</f>
        <v>0.99929328621908131</v>
      </c>
      <c r="BN126" s="24"/>
      <c r="BO126" s="16"/>
    </row>
    <row r="127" spans="1:67" ht="17.25" hidden="1" customHeight="1" outlineLevel="1" thickTop="1">
      <c r="A127" s="14"/>
      <c r="B127" s="14"/>
      <c r="C127" s="14"/>
      <c r="D127" s="14"/>
      <c r="E127" s="14"/>
      <c r="F127" s="16"/>
      <c r="G127" s="16"/>
      <c r="H127" s="14"/>
      <c r="I127" s="14"/>
      <c r="J127" s="14"/>
      <c r="K127" s="14"/>
      <c r="L127" s="14"/>
      <c r="M127" s="14"/>
      <c r="N127" s="14"/>
      <c r="O127" s="14"/>
      <c r="P127" s="16"/>
      <c r="Q127" s="16"/>
      <c r="R127" s="16"/>
      <c r="S127" s="16"/>
      <c r="T127" s="16"/>
      <c r="U127" s="16"/>
      <c r="V127" s="16"/>
      <c r="W127" s="16"/>
      <c r="X127" s="16"/>
      <c r="Y127" s="14"/>
      <c r="Z127" s="14"/>
      <c r="AA127" s="16"/>
      <c r="AB127" s="343"/>
      <c r="AC127" s="3" t="s">
        <v>184</v>
      </c>
      <c r="AD127" s="3">
        <f>AD126*AD125</f>
        <v>7.0732034465688749E-3</v>
      </c>
      <c r="BN127" s="24"/>
      <c r="BO127" s="16"/>
    </row>
    <row r="128" spans="1:67" ht="17.25" hidden="1" customHeight="1" outlineLevel="1">
      <c r="A128" s="14"/>
      <c r="B128" s="14"/>
      <c r="C128" s="14"/>
      <c r="D128" s="14"/>
      <c r="E128" s="14"/>
      <c r="F128" s="16"/>
      <c r="G128" s="16"/>
      <c r="H128" s="463" t="s">
        <v>100</v>
      </c>
      <c r="I128" s="464"/>
      <c r="J128" s="464"/>
      <c r="K128" s="464"/>
      <c r="L128" s="464"/>
      <c r="M128" s="464"/>
      <c r="N128" s="465"/>
      <c r="O128" s="692">
        <f>J85</f>
        <v>0.52666666699999998</v>
      </c>
      <c r="P128" s="692"/>
      <c r="Q128" s="692"/>
      <c r="R128" s="692"/>
      <c r="S128" s="16"/>
      <c r="T128" s="16"/>
      <c r="U128" s="16"/>
      <c r="V128" s="16"/>
      <c r="W128" s="16"/>
      <c r="X128" s="16"/>
      <c r="Y128" s="16"/>
      <c r="Z128" s="16"/>
      <c r="AA128" s="16"/>
      <c r="AB128" s="343"/>
      <c r="BN128" s="24"/>
      <c r="BO128" s="16"/>
    </row>
    <row r="129" spans="1:67" ht="17.25" hidden="1" customHeight="1" outlineLevel="1" thickBot="1">
      <c r="A129" s="16"/>
      <c r="B129" s="14"/>
      <c r="C129" s="14"/>
      <c r="D129" s="14"/>
      <c r="E129" s="59"/>
      <c r="F129" s="59"/>
      <c r="G129" s="59"/>
      <c r="H129" s="463" t="s">
        <v>70</v>
      </c>
      <c r="I129" s="464"/>
      <c r="J129" s="464"/>
      <c r="K129" s="464"/>
      <c r="L129" s="464"/>
      <c r="M129" s="464"/>
      <c r="N129" s="465"/>
      <c r="O129" s="692" t="str">
        <f>J80</f>
        <v>BordInf</v>
      </c>
      <c r="P129" s="692"/>
      <c r="Q129" s="692"/>
      <c r="R129" s="692"/>
      <c r="S129" s="16"/>
      <c r="T129" s="16"/>
      <c r="U129" s="16"/>
      <c r="V129" s="16"/>
      <c r="W129" s="16"/>
      <c r="X129" s="16"/>
      <c r="Y129" s="16"/>
      <c r="Z129" s="16"/>
      <c r="AA129" s="16"/>
      <c r="AB129" s="343"/>
      <c r="AC129" s="3" t="s">
        <v>30</v>
      </c>
      <c r="AD129" s="413" t="str">
        <f>J79</f>
        <v>Soleil</v>
      </c>
      <c r="AE129" s="413"/>
      <c r="BN129" s="24"/>
      <c r="BO129" s="16"/>
    </row>
    <row r="130" spans="1:67" ht="17.25" hidden="1" customHeight="1" outlineLevel="1" thickTop="1" thickBot="1">
      <c r="A130" s="16"/>
      <c r="B130" s="16"/>
      <c r="C130" s="59"/>
      <c r="D130" s="59"/>
      <c r="E130" s="59"/>
      <c r="F130" s="59"/>
      <c r="G130" s="59"/>
      <c r="H130" s="663" t="s">
        <v>71</v>
      </c>
      <c r="I130" s="461"/>
      <c r="J130" s="461"/>
      <c r="K130" s="461"/>
      <c r="L130" s="461"/>
      <c r="M130" s="461"/>
      <c r="N130" s="462"/>
      <c r="O130" s="471">
        <f>AD131</f>
        <v>0.26333333349999999</v>
      </c>
      <c r="P130" s="471"/>
      <c r="Q130" s="471"/>
      <c r="R130" s="471"/>
      <c r="S130" s="16" t="s">
        <v>54</v>
      </c>
      <c r="T130" s="16"/>
      <c r="U130" s="751" t="str" cm="1">
        <f t="array" ref="U130">angleDecimal2Txt(O130)</f>
        <v>+00°15.80 (+00.2633) [+00°15'48.00]</v>
      </c>
      <c r="V130" s="752"/>
      <c r="W130" s="752"/>
      <c r="X130" s="752"/>
      <c r="Y130" s="752"/>
      <c r="Z130" s="438"/>
      <c r="AA130" s="16"/>
      <c r="AB130" s="343"/>
      <c r="AC130" s="3" t="s">
        <v>190</v>
      </c>
      <c r="AD130" s="413" t="str">
        <f>O129</f>
        <v>BordInf</v>
      </c>
      <c r="AE130" s="413"/>
      <c r="BN130" s="24"/>
      <c r="BO130" s="16"/>
    </row>
    <row r="131" spans="1:67" ht="17.25" hidden="1" customHeight="1" outlineLevel="1" thickTop="1">
      <c r="A131" s="16"/>
      <c r="B131" s="16"/>
      <c r="C131" s="59"/>
      <c r="D131" s="59"/>
      <c r="E131" s="59"/>
      <c r="F131" s="59"/>
      <c r="G131" s="59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6"/>
      <c r="AB131" s="343"/>
      <c r="AC131" s="3" t="s">
        <v>191</v>
      </c>
      <c r="AD131" s="652" cm="1">
        <f t="array" ref="AD131">astroDiametreSoleilEnDegre(AA7,O129)</f>
        <v>0.26333333349999999</v>
      </c>
      <c r="AE131" s="652"/>
      <c r="BN131" s="24"/>
      <c r="BO131" s="16"/>
    </row>
    <row r="132" spans="1:67" ht="17.25" hidden="1" customHeight="1" outlineLevel="1">
      <c r="A132" s="16"/>
      <c r="B132" s="16"/>
      <c r="C132" s="59"/>
      <c r="D132" s="59"/>
      <c r="E132" s="59"/>
      <c r="F132" s="59"/>
      <c r="G132" s="740" t="s">
        <v>107</v>
      </c>
      <c r="H132" s="741"/>
      <c r="I132" s="741"/>
      <c r="J132" s="741"/>
      <c r="K132" s="741"/>
      <c r="L132" s="741"/>
      <c r="M132" s="741"/>
      <c r="N132" s="741"/>
      <c r="O132" s="741"/>
      <c r="P132" s="741"/>
      <c r="Q132" s="741"/>
      <c r="R132" s="741"/>
      <c r="S132" s="742"/>
      <c r="T132" s="14"/>
      <c r="U132" s="14"/>
      <c r="V132" s="14"/>
      <c r="W132" s="14"/>
      <c r="X132" s="14"/>
      <c r="Y132" s="14"/>
      <c r="Z132" s="14"/>
      <c r="AA132" s="16"/>
      <c r="AB132" s="343"/>
      <c r="BN132" s="24"/>
      <c r="BO132" s="16"/>
    </row>
    <row r="133" spans="1:67" ht="17.25" hidden="1" customHeight="1" outlineLevel="1">
      <c r="A133" s="16"/>
      <c r="B133" s="16"/>
      <c r="C133" s="59"/>
      <c r="D133" s="59"/>
      <c r="E133" s="59"/>
      <c r="F133" s="59"/>
      <c r="G133" s="693" t="s">
        <v>115</v>
      </c>
      <c r="H133" s="694"/>
      <c r="I133" s="737" t="s">
        <v>110</v>
      </c>
      <c r="J133" s="738"/>
      <c r="K133" s="738"/>
      <c r="L133" s="738"/>
      <c r="M133" s="738"/>
      <c r="N133" s="739"/>
      <c r="O133" s="743">
        <f>(O121-O126-O116+O128/2) * 60</f>
        <v>12.957331071612156</v>
      </c>
      <c r="P133" s="735"/>
      <c r="Q133" s="735"/>
      <c r="R133" s="735"/>
      <c r="S133" s="690" t="s">
        <v>108</v>
      </c>
      <c r="T133" s="14"/>
      <c r="U133" s="14"/>
      <c r="V133" s="14"/>
      <c r="W133" s="14"/>
      <c r="X133" s="14"/>
      <c r="Y133" s="14"/>
      <c r="Z133" s="14"/>
      <c r="AA133" s="16"/>
      <c r="AB133" s="343"/>
      <c r="BN133" s="24"/>
      <c r="BO133" s="16"/>
    </row>
    <row r="134" spans="1:67" ht="17.25" hidden="1" customHeight="1" outlineLevel="1">
      <c r="A134" s="16"/>
      <c r="B134" s="16"/>
      <c r="C134" s="59"/>
      <c r="D134" s="59"/>
      <c r="E134" s="59"/>
      <c r="F134" s="59"/>
      <c r="G134" s="695"/>
      <c r="H134" s="696"/>
      <c r="I134" s="748" t="s">
        <v>114</v>
      </c>
      <c r="J134" s="749"/>
      <c r="K134" s="749"/>
      <c r="L134" s="749"/>
      <c r="M134" s="749"/>
      <c r="N134" s="750"/>
      <c r="O134" s="744"/>
      <c r="P134" s="736"/>
      <c r="Q134" s="736"/>
      <c r="R134" s="736"/>
      <c r="S134" s="691"/>
      <c r="T134" s="14"/>
      <c r="U134" s="14"/>
      <c r="V134" s="14"/>
      <c r="W134" s="14"/>
      <c r="X134" s="14"/>
      <c r="Y134" s="14"/>
      <c r="Z134" s="14"/>
      <c r="AA134" s="16"/>
      <c r="AB134" s="343"/>
      <c r="BN134" s="24"/>
      <c r="BO134" s="16"/>
    </row>
    <row r="135" spans="1:67" ht="17.25" hidden="1" customHeight="1" outlineLevel="1">
      <c r="A135" s="16"/>
      <c r="B135" s="16"/>
      <c r="C135" s="59"/>
      <c r="D135" s="59"/>
      <c r="E135" s="59"/>
      <c r="F135" s="59"/>
      <c r="G135" s="59"/>
      <c r="H135" s="14"/>
      <c r="I135" s="737" t="s">
        <v>111</v>
      </c>
      <c r="J135" s="738"/>
      <c r="K135" s="738"/>
      <c r="L135" s="738"/>
      <c r="M135" s="738"/>
      <c r="N135" s="739"/>
      <c r="O135" s="735">
        <f>(O121-O126+O128/2)*60</f>
        <v>15.44351851426406</v>
      </c>
      <c r="P135" s="735"/>
      <c r="Q135" s="735"/>
      <c r="R135" s="735"/>
      <c r="S135" s="690" t="s">
        <v>108</v>
      </c>
      <c r="T135" s="14"/>
      <c r="U135" s="14"/>
      <c r="V135" s="14"/>
      <c r="W135" s="14"/>
      <c r="X135" s="14"/>
      <c r="Y135" s="14"/>
      <c r="Z135" s="14"/>
      <c r="AA135" s="16"/>
      <c r="AB135" s="343"/>
      <c r="BN135" s="24"/>
      <c r="BO135" s="16"/>
    </row>
    <row r="136" spans="1:67" ht="17.25" hidden="1" customHeight="1" outlineLevel="1">
      <c r="A136" s="16"/>
      <c r="B136" s="16"/>
      <c r="C136" s="59"/>
      <c r="D136" s="59"/>
      <c r="E136" s="59"/>
      <c r="F136" s="59"/>
      <c r="G136" s="59"/>
      <c r="H136" s="14"/>
      <c r="I136" s="748" t="s">
        <v>112</v>
      </c>
      <c r="J136" s="749"/>
      <c r="K136" s="749"/>
      <c r="L136" s="749"/>
      <c r="M136" s="749"/>
      <c r="N136" s="750"/>
      <c r="O136" s="736"/>
      <c r="P136" s="736"/>
      <c r="Q136" s="736"/>
      <c r="R136" s="736"/>
      <c r="S136" s="691"/>
      <c r="T136" s="14"/>
      <c r="U136" s="14"/>
      <c r="V136" s="14"/>
      <c r="W136" s="14"/>
      <c r="X136" s="14"/>
      <c r="Y136" s="14"/>
      <c r="Z136" s="14"/>
      <c r="AA136" s="16"/>
      <c r="AB136" s="343"/>
      <c r="BN136" s="24"/>
      <c r="BO136" s="16"/>
    </row>
    <row r="137" spans="1:67" ht="17.25" hidden="1" customHeight="1" outlineLevel="1">
      <c r="A137" s="16"/>
      <c r="B137" s="16"/>
      <c r="C137" s="59"/>
      <c r="D137" s="59"/>
      <c r="E137" s="59"/>
      <c r="F137" s="59"/>
      <c r="G137" s="59"/>
      <c r="H137" s="14"/>
      <c r="I137" s="466" t="s">
        <v>71</v>
      </c>
      <c r="J137" s="467"/>
      <c r="K137" s="467"/>
      <c r="L137" s="467"/>
      <c r="M137" s="467"/>
      <c r="N137" s="468"/>
      <c r="O137" s="727">
        <f>O130*60</f>
        <v>15.80000001</v>
      </c>
      <c r="P137" s="728"/>
      <c r="Q137" s="728"/>
      <c r="R137" s="728"/>
      <c r="S137" s="73" t="s">
        <v>108</v>
      </c>
      <c r="T137" s="14"/>
      <c r="U137" s="14"/>
      <c r="V137" s="14"/>
      <c r="W137" s="14"/>
      <c r="X137" s="14"/>
      <c r="Y137" s="14"/>
      <c r="Z137" s="14"/>
      <c r="AA137" s="16"/>
      <c r="AB137" s="343"/>
      <c r="BN137" s="24"/>
      <c r="BO137" s="16"/>
    </row>
    <row r="138" spans="1:67" ht="17.25" hidden="1" customHeight="1" outlineLevel="1" thickBot="1">
      <c r="A138" s="16"/>
      <c r="B138" s="16"/>
      <c r="C138" s="59"/>
      <c r="D138" s="59"/>
      <c r="E138" s="59"/>
      <c r="F138" s="59"/>
      <c r="G138" s="59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6"/>
      <c r="T138" s="16"/>
      <c r="U138" s="16"/>
      <c r="V138" s="16"/>
      <c r="W138" s="16"/>
      <c r="X138" s="16"/>
      <c r="Y138" s="16"/>
      <c r="Z138" s="16"/>
      <c r="AA138" s="16"/>
      <c r="AB138" s="343"/>
      <c r="BN138" s="24"/>
      <c r="BO138" s="16"/>
    </row>
    <row r="139" spans="1:67" ht="17.25" hidden="1" customHeight="1" outlineLevel="1" thickTop="1" thickBot="1">
      <c r="A139" s="16"/>
      <c r="B139" s="16"/>
      <c r="C139" s="59"/>
      <c r="D139" s="59"/>
      <c r="E139" s="59"/>
      <c r="F139" s="59"/>
      <c r="G139" s="59"/>
      <c r="H139" s="745" t="s">
        <v>142</v>
      </c>
      <c r="I139" s="746"/>
      <c r="J139" s="746"/>
      <c r="K139" s="746"/>
      <c r="L139" s="746"/>
      <c r="M139" s="746"/>
      <c r="N139" s="747"/>
      <c r="O139" s="473">
        <f>O118-O126+O121+O130</f>
        <v>67.144288851193551</v>
      </c>
      <c r="P139" s="440"/>
      <c r="Q139" s="440"/>
      <c r="R139" s="440"/>
      <c r="S139" s="16" t="s">
        <v>54</v>
      </c>
      <c r="T139" s="16"/>
      <c r="U139" s="751" t="str" cm="1">
        <f t="array" ref="U139">angleDecimal2Txt(O139)</f>
        <v>+67°08.65 (+67.1442) [+67°08'39.43]</v>
      </c>
      <c r="V139" s="752"/>
      <c r="W139" s="752"/>
      <c r="X139" s="752"/>
      <c r="Y139" s="752"/>
      <c r="Z139" s="438"/>
      <c r="AA139" s="16"/>
      <c r="AB139" s="343"/>
      <c r="AE139" s="833" t="s">
        <v>589</v>
      </c>
      <c r="BN139" s="24"/>
      <c r="BO139" s="16"/>
    </row>
    <row r="140" spans="1:67" ht="17.25" hidden="1" customHeight="1" outlineLevel="1" thickTop="1">
      <c r="A140" s="16"/>
      <c r="B140" s="16"/>
      <c r="C140" s="59"/>
      <c r="D140" s="59"/>
      <c r="E140" s="59"/>
      <c r="F140" s="59"/>
      <c r="G140" s="59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343"/>
      <c r="AE140" s="833"/>
      <c r="AF140" t="s">
        <v>584</v>
      </c>
      <c r="AG140" t="s">
        <v>585</v>
      </c>
      <c r="AH140" t="s">
        <v>571</v>
      </c>
      <c r="BN140" s="24"/>
      <c r="BO140" s="16"/>
    </row>
    <row r="141" spans="1:67" ht="17.25" hidden="1" customHeight="1" outlineLevel="1">
      <c r="A141" s="16"/>
      <c r="B141" s="16"/>
      <c r="C141" s="59"/>
      <c r="D141" s="59"/>
      <c r="E141" s="59"/>
      <c r="F141" s="726" t="s">
        <v>63</v>
      </c>
      <c r="G141" s="726"/>
      <c r="H141" s="726"/>
      <c r="I141" s="726"/>
      <c r="J141" s="472" t="str">
        <f>IF(G112=AD112,O149,"---")</f>
        <v>---</v>
      </c>
      <c r="K141" s="625"/>
      <c r="L141" s="473"/>
      <c r="M141" s="97"/>
      <c r="N141" s="97"/>
      <c r="O141" s="97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16"/>
      <c r="AB141" s="343"/>
      <c r="AE141" t="s">
        <v>591</v>
      </c>
      <c r="AF141">
        <v>10</v>
      </c>
      <c r="AG141">
        <v>60</v>
      </c>
      <c r="AH141" cm="1">
        <f t="array" ref="AH141">astroCalculLatitude(VLOOKUP(AE141,$AC$157:$AD$158,2,FALSE),AF141,AG141)</f>
        <v>40</v>
      </c>
      <c r="AL141">
        <f t="shared" ref="AL141:AL149" si="0">VLOOKUP(AE141,$AC$157:$AD$158,2,FALSE)</f>
        <v>-1</v>
      </c>
      <c r="BN141" s="24"/>
      <c r="BO141" s="16"/>
    </row>
    <row r="142" spans="1:67" ht="17.25" hidden="1" customHeight="1" outlineLevel="1">
      <c r="A142" s="16"/>
      <c r="B142" s="16"/>
      <c r="C142" s="59"/>
      <c r="D142" s="59"/>
      <c r="E142" s="59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343"/>
      <c r="AE142" t="s">
        <v>591</v>
      </c>
      <c r="AF142">
        <v>-10</v>
      </c>
      <c r="AG142">
        <v>65</v>
      </c>
      <c r="AH142" cm="1">
        <f t="array" ref="AH142">astroCalculLatitude(VLOOKUP(AE142,$AC$157:$AD$158,2,FALSE),AF142,AG142)</f>
        <v>15</v>
      </c>
      <c r="AL142">
        <f t="shared" si="0"/>
        <v>-1</v>
      </c>
      <c r="BN142" s="24"/>
      <c r="BO142" s="16"/>
    </row>
    <row r="143" spans="1:67" ht="17.25" hidden="1" customHeight="1" outlineLevel="1">
      <c r="A143" s="16"/>
      <c r="B143" s="16"/>
      <c r="C143" s="59"/>
      <c r="D143" s="59"/>
      <c r="E143" s="59"/>
      <c r="M143" s="16"/>
      <c r="N143" s="16"/>
      <c r="O143" s="16"/>
      <c r="P143" s="16"/>
      <c r="Q143" s="16"/>
      <c r="R143" s="16"/>
      <c r="S143" s="16"/>
      <c r="T143" s="100" t="s">
        <v>82</v>
      </c>
      <c r="U143" s="435" t="s">
        <v>33</v>
      </c>
      <c r="V143" s="435"/>
      <c r="W143" s="16"/>
      <c r="X143" s="16"/>
      <c r="Y143" s="16"/>
      <c r="Z143" s="16"/>
      <c r="AA143" s="16"/>
      <c r="AB143" s="343"/>
      <c r="AE143" t="s">
        <v>590</v>
      </c>
      <c r="AF143">
        <v>-20</v>
      </c>
      <c r="AG143">
        <v>60</v>
      </c>
      <c r="AH143" cm="1">
        <f t="array" ref="AH143">astroCalculLatitude(VLOOKUP(AE143,$AC$157:$AD$158,2,FALSE),AF143,AG143)</f>
        <v>-50</v>
      </c>
      <c r="AL143">
        <f t="shared" si="0"/>
        <v>1</v>
      </c>
      <c r="BN143" s="24"/>
      <c r="BO143" s="16"/>
    </row>
    <row r="144" spans="1:67" ht="17.25" hidden="1" customHeight="1" outlineLevel="1">
      <c r="A144" s="16"/>
      <c r="B144" s="16"/>
      <c r="C144" s="59"/>
      <c r="D144" s="59"/>
      <c r="E144" s="59"/>
      <c r="F144" s="59"/>
      <c r="G144" s="59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01" t="s">
        <v>78</v>
      </c>
      <c r="U144" s="435" t="s">
        <v>80</v>
      </c>
      <c r="V144" s="435"/>
      <c r="W144" s="16"/>
      <c r="X144" s="16"/>
      <c r="Y144" s="16"/>
      <c r="Z144" s="16"/>
      <c r="AA144" s="16"/>
      <c r="AB144" s="343"/>
      <c r="AE144" t="s">
        <v>590</v>
      </c>
      <c r="AF144">
        <v>23</v>
      </c>
      <c r="AG144">
        <v>72</v>
      </c>
      <c r="AH144" cm="1">
        <f t="array" ref="AH144">astroCalculLatitude(VLOOKUP(AE144,$AC$157:$AD$158,2,FALSE),AF144,AG144)</f>
        <v>5</v>
      </c>
      <c r="AL144">
        <f t="shared" si="0"/>
        <v>1</v>
      </c>
      <c r="BN144" s="24"/>
      <c r="BO144" s="16"/>
    </row>
    <row r="145" spans="1:67" ht="17.25" hidden="1" customHeight="1" outlineLevel="1">
      <c r="A145" s="16"/>
      <c r="B145" s="16"/>
      <c r="C145" s="59"/>
      <c r="D145" s="59"/>
      <c r="E145" s="59"/>
      <c r="F145" s="59"/>
      <c r="G145" s="59"/>
      <c r="H145" s="16" t="s">
        <v>72</v>
      </c>
      <c r="I145" s="40" t="s">
        <v>74</v>
      </c>
      <c r="J145" s="16" t="s">
        <v>60</v>
      </c>
      <c r="K145" s="437" t="s">
        <v>75</v>
      </c>
      <c r="L145" s="16" t="s">
        <v>59</v>
      </c>
      <c r="M145" s="16"/>
      <c r="N145" s="437" t="s">
        <v>77</v>
      </c>
      <c r="O145" s="40" t="s">
        <v>231</v>
      </c>
      <c r="P145" s="16"/>
      <c r="Q145" s="437" t="s">
        <v>77</v>
      </c>
      <c r="R145" s="16" t="s">
        <v>232</v>
      </c>
      <c r="S145" s="16"/>
      <c r="T145" s="99" t="s">
        <v>79</v>
      </c>
      <c r="U145" s="436" t="s">
        <v>81</v>
      </c>
      <c r="V145" s="436"/>
      <c r="W145" s="16"/>
      <c r="X145" s="16"/>
      <c r="Y145" s="16"/>
      <c r="AB145" s="343"/>
      <c r="AC145" s="11" t="s">
        <v>587</v>
      </c>
      <c r="AD145" s="11" t="s">
        <v>586</v>
      </c>
      <c r="AE145" t="s">
        <v>590</v>
      </c>
      <c r="AF145" cm="1">
        <f t="array" ref="AF145">angleConvert2Decimal(AC145)</f>
        <v>22.083333333333332</v>
      </c>
      <c r="AG145" cm="1">
        <f t="array" ref="AG145">angleConvert2Decimal(AD145)</f>
        <v>67.75</v>
      </c>
      <c r="AH145" cm="1">
        <f t="array" ref="AH145">astroCalculLatitude(VLOOKUP(AE145,$AC$157:$AD$158,2,FALSE),AF145,AG145)</f>
        <v>-0.16666666666666785</v>
      </c>
      <c r="AI145" t="str" cm="1">
        <f t="array" ref="AI145">angleDecimal2Txt(AH145)</f>
        <v>-00°10.00 (-00.1666) [-00°10'00.00]</v>
      </c>
      <c r="AL145">
        <f t="shared" si="0"/>
        <v>1</v>
      </c>
      <c r="BN145" s="24"/>
      <c r="BO145" s="16"/>
    </row>
    <row r="146" spans="1:67" ht="17.25" hidden="1" customHeight="1" outlineLevel="1" thickBot="1">
      <c r="A146" s="16"/>
      <c r="B146" s="16"/>
      <c r="C146" s="59"/>
      <c r="D146" s="59"/>
      <c r="E146" s="59"/>
      <c r="F146" s="59"/>
      <c r="G146" s="59"/>
      <c r="H146" s="16"/>
      <c r="I146" s="40"/>
      <c r="J146" s="42">
        <f>O114</f>
        <v>66.95</v>
      </c>
      <c r="K146" s="437"/>
      <c r="L146" s="729">
        <f>O115</f>
        <v>2.1666666666666667E-2</v>
      </c>
      <c r="M146" s="730"/>
      <c r="N146" s="437"/>
      <c r="O146" s="733" t="s">
        <v>146</v>
      </c>
      <c r="P146" s="734"/>
      <c r="Q146" s="437"/>
      <c r="R146" s="102" t="s">
        <v>79</v>
      </c>
      <c r="S146" s="16"/>
      <c r="T146" s="16"/>
      <c r="U146" s="16"/>
      <c r="AB146" s="343"/>
      <c r="AC146" s="11" t="s">
        <v>588</v>
      </c>
      <c r="AD146" s="11" t="s">
        <v>592</v>
      </c>
      <c r="AE146" t="s">
        <v>590</v>
      </c>
      <c r="AF146" cm="1">
        <f t="array" ref="AF146">angleConvert2Decimal(AC146)</f>
        <v>18.766666666666666</v>
      </c>
      <c r="AG146" cm="1">
        <f t="array" ref="AG146">angleConvert2Decimal(AD146)</f>
        <v>6.3666833333333335</v>
      </c>
      <c r="AH146" cm="1">
        <f t="array" ref="AH146">astroCalculLatitude(VLOOKUP(AE146,$AC$157:$AD$158,2,FALSE),AF146,AG146)</f>
        <v>77.600016666666662</v>
      </c>
      <c r="AI146" t="str" cm="1">
        <f t="array" ref="AI146">angleDecimal2Txt(AH146)</f>
        <v>+77°36.00 (+77.6000) [+77°36'00.05]</v>
      </c>
      <c r="AL146">
        <f t="shared" si="0"/>
        <v>1</v>
      </c>
      <c r="BN146" s="24"/>
      <c r="BO146" s="16"/>
    </row>
    <row r="147" spans="1:67" ht="17.25" hidden="1" customHeight="1" outlineLevel="1" thickTop="1" thickBot="1">
      <c r="A147" s="16"/>
      <c r="B147" s="16"/>
      <c r="C147" s="59"/>
      <c r="D147" s="59"/>
      <c r="E147" s="59"/>
      <c r="F147" s="59"/>
      <c r="G147" s="59"/>
      <c r="H147" s="16"/>
      <c r="I147" s="40"/>
      <c r="K147" s="40" t="s">
        <v>230</v>
      </c>
      <c r="L147" s="731" cm="1">
        <f t="array" ref="L147">angleConvert2Decimal(L146)</f>
        <v>2.1666666666666699E-2</v>
      </c>
      <c r="M147" s="732"/>
      <c r="N147" s="16"/>
      <c r="O147" s="687" cm="1">
        <f t="array" ref="O147">angleConvert2Decimal(O146)</f>
        <v>0.17166666666666669</v>
      </c>
      <c r="P147" s="688"/>
      <c r="Q147" s="11"/>
      <c r="R147" s="93" cm="1">
        <f t="array" ref="R147">angleConvert2Decimal(R146)</f>
        <v>-0.53333333333333333</v>
      </c>
      <c r="T147" s="7" t="s">
        <v>103</v>
      </c>
      <c r="U147" s="7"/>
      <c r="V147" s="7">
        <f>R147+O147</f>
        <v>-0.36166666666666664</v>
      </c>
      <c r="W147" s="751" t="str" cm="1">
        <f t="array" ref="W147">angleDecimal2Txt(V147)</f>
        <v>-00°21.69 (-00.3616) [-00°21'42.00]</v>
      </c>
      <c r="X147" s="752"/>
      <c r="Y147" s="752"/>
      <c r="Z147" s="752"/>
      <c r="AA147" s="438"/>
      <c r="AB147" s="343"/>
      <c r="AE147" t="s">
        <v>591</v>
      </c>
      <c r="AF147">
        <f>-1 * AF146</f>
        <v>-18.766666666666666</v>
      </c>
      <c r="AG147">
        <f>AG146</f>
        <v>6.3666833333333335</v>
      </c>
      <c r="AH147" cm="1">
        <f t="array" ref="AH147">astroCalculLatitude(VLOOKUP(AE147,$AC$157:$AD$158,2,FALSE),AF147,AG147)</f>
        <v>-77.600016666666662</v>
      </c>
      <c r="AL147">
        <f t="shared" si="0"/>
        <v>-1</v>
      </c>
      <c r="BN147" s="24"/>
      <c r="BO147" s="16"/>
    </row>
    <row r="148" spans="1:67" ht="17.25" hidden="1" customHeight="1" outlineLevel="1" thickTop="1" thickBot="1">
      <c r="A148" s="16"/>
      <c r="B148" s="16"/>
      <c r="C148" s="59"/>
      <c r="D148" s="59"/>
      <c r="E148" s="59"/>
      <c r="F148" s="59"/>
      <c r="G148" s="59"/>
      <c r="H148" s="16"/>
      <c r="I148" s="40"/>
      <c r="J148" s="16"/>
      <c r="K148" s="40"/>
      <c r="L148" s="16"/>
      <c r="M148" s="16"/>
      <c r="N148" s="40"/>
      <c r="O148" s="16"/>
      <c r="P148" s="16"/>
      <c r="Q148" s="40"/>
      <c r="R148" s="45"/>
      <c r="S148" s="16"/>
      <c r="T148" s="16"/>
      <c r="U148" s="16"/>
      <c r="V148" s="16"/>
      <c r="W148" s="16"/>
      <c r="X148" s="16"/>
      <c r="Y148" s="16"/>
      <c r="Z148" s="16"/>
      <c r="AA148" s="16"/>
      <c r="AB148" s="343"/>
      <c r="AE148" t="s">
        <v>591</v>
      </c>
      <c r="AF148">
        <v>10</v>
      </c>
      <c r="AG148">
        <v>60</v>
      </c>
      <c r="AH148" cm="1">
        <f t="array" ref="AH148">astroCalculLatitude(VLOOKUP(AE148,$AC$157:$AD$158,2,FALSE),AF148,AG148)</f>
        <v>40</v>
      </c>
      <c r="AL148">
        <f t="shared" si="0"/>
        <v>-1</v>
      </c>
      <c r="BN148" s="24"/>
      <c r="BO148" s="16"/>
    </row>
    <row r="149" spans="1:67" ht="17.25" hidden="1" customHeight="1" outlineLevel="1" thickTop="1" thickBot="1">
      <c r="A149" s="16"/>
      <c r="B149" s="16"/>
      <c r="C149" s="59"/>
      <c r="D149" s="59"/>
      <c r="E149" s="59"/>
      <c r="F149" s="59"/>
      <c r="G149" s="59"/>
      <c r="H149" s="745" t="s">
        <v>145</v>
      </c>
      <c r="I149" s="746"/>
      <c r="J149" s="746"/>
      <c r="K149" s="746"/>
      <c r="L149" s="746"/>
      <c r="M149" s="746"/>
      <c r="N149" s="747"/>
      <c r="O149" s="473">
        <f>J146-L147+O147+R147</f>
        <v>66.566666666666677</v>
      </c>
      <c r="P149" s="440"/>
      <c r="Q149" s="440"/>
      <c r="R149" s="440"/>
      <c r="S149" s="16" t="s">
        <v>54</v>
      </c>
      <c r="T149" s="16"/>
      <c r="U149" s="751" t="str" cm="1">
        <f t="array" ref="U149">angleDecimal2Txt(O149)</f>
        <v>+66°34.00 (+66.5666) [+66°34'00.00]</v>
      </c>
      <c r="V149" s="752"/>
      <c r="W149" s="752"/>
      <c r="X149" s="752"/>
      <c r="Y149" s="752"/>
      <c r="Z149" s="438"/>
      <c r="AA149" s="16"/>
      <c r="AB149" s="343"/>
      <c r="AE149" t="s">
        <v>590</v>
      </c>
      <c r="AF149">
        <v>10</v>
      </c>
      <c r="AG149">
        <v>60</v>
      </c>
      <c r="AH149" cm="1">
        <f t="array" ref="AH149">astroCalculLatitude(VLOOKUP(AE149,$AC$157:$AD$158,2,FALSE),AF149,AG149)</f>
        <v>-20</v>
      </c>
      <c r="AL149">
        <f t="shared" si="0"/>
        <v>1</v>
      </c>
      <c r="BN149" s="24"/>
      <c r="BO149" s="16"/>
    </row>
    <row r="150" spans="1:67" ht="17.25" customHeight="1" collapsed="1" thickBot="1">
      <c r="A150" s="16"/>
      <c r="B150" s="16"/>
      <c r="C150" s="59"/>
      <c r="D150" s="46"/>
      <c r="E150" s="59"/>
      <c r="F150" s="59"/>
      <c r="G150" s="59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343"/>
      <c r="BN150" s="24"/>
      <c r="BO150" s="16"/>
    </row>
    <row r="151" spans="1:67" ht="17.25" customHeight="1" thickBot="1">
      <c r="A151" s="16"/>
      <c r="B151" s="854" t="s">
        <v>255</v>
      </c>
      <c r="C151" s="855"/>
      <c r="D151" s="855"/>
      <c r="E151" s="855"/>
      <c r="F151" s="855"/>
      <c r="G151" s="855"/>
      <c r="H151" s="855"/>
      <c r="I151" s="855"/>
      <c r="J151" s="855"/>
      <c r="K151" s="855"/>
      <c r="L151" s="855"/>
      <c r="M151" s="855"/>
      <c r="N151" s="855"/>
      <c r="O151" s="855"/>
      <c r="P151" s="855"/>
      <c r="Q151" s="855"/>
      <c r="R151" s="855"/>
      <c r="S151" s="855"/>
      <c r="T151" s="855"/>
      <c r="U151" s="855"/>
      <c r="V151" s="855"/>
      <c r="W151" s="855"/>
      <c r="X151" s="855"/>
      <c r="Y151" s="855"/>
      <c r="Z151" s="855"/>
      <c r="AA151" s="855"/>
      <c r="AB151" s="346"/>
      <c r="BN151" s="24"/>
      <c r="BO151" s="16"/>
    </row>
    <row r="152" spans="1:67" ht="17.25" customHeight="1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343"/>
      <c r="BN152" s="24"/>
      <c r="BO152" s="16"/>
    </row>
    <row r="153" spans="1:67" ht="17.25" customHeight="1">
      <c r="A153" s="16"/>
      <c r="B153" s="16"/>
      <c r="C153" s="14"/>
      <c r="D153" s="14"/>
      <c r="E153" s="697" t="s">
        <v>257</v>
      </c>
      <c r="F153" s="698"/>
      <c r="G153" s="698"/>
      <c r="H153" s="698"/>
      <c r="I153" s="425">
        <f>90-Q154</f>
        <v>22.855711148806449</v>
      </c>
      <c r="J153" s="426"/>
      <c r="K153" s="426"/>
      <c r="L153" s="426"/>
      <c r="M153" s="427"/>
      <c r="N153" s="16"/>
      <c r="O153" s="860" t="s">
        <v>256</v>
      </c>
      <c r="P153" s="861"/>
      <c r="Q153" s="862"/>
      <c r="R153" s="862"/>
      <c r="S153" s="862"/>
      <c r="T153" s="863"/>
      <c r="AB153" s="343"/>
      <c r="BN153" s="24"/>
      <c r="BO153" s="16"/>
    </row>
    <row r="154" spans="1:67" ht="17.25" customHeight="1" thickBot="1">
      <c r="A154" s="16"/>
      <c r="B154" s="16"/>
      <c r="C154" s="14"/>
      <c r="D154" s="14"/>
      <c r="E154" s="699"/>
      <c r="F154" s="700"/>
      <c r="G154" s="700"/>
      <c r="H154" s="700"/>
      <c r="I154" s="606"/>
      <c r="J154" s="607"/>
      <c r="K154" s="607"/>
      <c r="L154" s="607"/>
      <c r="M154" s="715"/>
      <c r="N154" s="48" t="s">
        <v>116</v>
      </c>
      <c r="O154" s="847" t="s">
        <v>72</v>
      </c>
      <c r="P154" s="848"/>
      <c r="Q154" s="519">
        <f>F111</f>
        <v>67.144288851193551</v>
      </c>
      <c r="R154" s="520"/>
      <c r="S154" s="520"/>
      <c r="T154" s="113" t="s">
        <v>54</v>
      </c>
      <c r="Y154" s="16"/>
      <c r="Z154" s="16"/>
      <c r="AA154" s="16"/>
      <c r="AB154" s="343"/>
      <c r="BN154" s="24"/>
      <c r="BO154" s="16"/>
    </row>
    <row r="155" spans="1:67" ht="17.25" customHeight="1" thickTop="1" thickBot="1">
      <c r="A155" s="16"/>
      <c r="B155" s="16"/>
      <c r="C155" s="14"/>
      <c r="D155" s="14"/>
      <c r="E155" s="701"/>
      <c r="F155" s="702"/>
      <c r="G155" s="702"/>
      <c r="H155" s="702"/>
      <c r="I155" s="751" t="str" cm="1">
        <f t="array" ref="I155">angleDecimal2Txt(I153)</f>
        <v>+22°51.34 (+22.8557) [+22°51'20.56]</v>
      </c>
      <c r="J155" s="752"/>
      <c r="K155" s="752"/>
      <c r="L155" s="752"/>
      <c r="M155" s="438"/>
      <c r="N155" s="16"/>
      <c r="O155" s="847" t="s">
        <v>84</v>
      </c>
      <c r="P155" s="848"/>
      <c r="Q155" s="519">
        <f>F90</f>
        <v>23.175000000000004</v>
      </c>
      <c r="R155" s="520"/>
      <c r="S155" s="520"/>
      <c r="T155" s="113" t="s">
        <v>54</v>
      </c>
      <c r="Y155" s="16"/>
      <c r="Z155" s="16"/>
      <c r="AA155" s="16"/>
      <c r="AB155" s="343"/>
      <c r="BN155" s="24"/>
      <c r="BO155" s="16"/>
    </row>
    <row r="156" spans="1:67" ht="17.25" customHeight="1" thickTop="1">
      <c r="A156" s="16"/>
      <c r="B156" s="16"/>
      <c r="C156" s="14"/>
      <c r="D156" s="14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AA156" s="16"/>
      <c r="AB156" s="343"/>
      <c r="BN156" s="24"/>
      <c r="BO156" s="16"/>
    </row>
    <row r="157" spans="1:67" ht="17.25" customHeight="1">
      <c r="A157" s="16"/>
      <c r="B157" s="16"/>
      <c r="C157" s="14"/>
      <c r="D157" s="14"/>
      <c r="AB157" s="343"/>
      <c r="AC157" t="s">
        <v>591</v>
      </c>
      <c r="AD157">
        <v>-1</v>
      </c>
      <c r="BN157" s="24"/>
      <c r="BO157" s="16"/>
    </row>
    <row r="158" spans="1:67" ht="17.25" customHeight="1">
      <c r="A158" s="16"/>
      <c r="B158" s="16"/>
      <c r="C158" s="14"/>
      <c r="D158" s="14"/>
      <c r="E158" s="856" t="s">
        <v>213</v>
      </c>
      <c r="F158" s="857"/>
      <c r="G158" s="857"/>
      <c r="H158" s="857"/>
      <c r="I158" s="857"/>
      <c r="J158" s="857"/>
      <c r="K158" s="857"/>
      <c r="L158" s="857"/>
      <c r="M158" s="857"/>
      <c r="N158" s="857"/>
      <c r="O158" s="858"/>
      <c r="Q158" s="469" t="s">
        <v>593</v>
      </c>
      <c r="R158" s="469"/>
      <c r="S158" s="469"/>
      <c r="T158" s="834" t="str">
        <f>IF(T159&gt;T160,AC157,AC158)</f>
        <v>Soleil au sud</v>
      </c>
      <c r="U158" s="834"/>
      <c r="V158" s="835" t="str">
        <f>IF(VLOOKUP(T158,AC157:AD158,2,FALSE)&lt;0,"Le soleil est au sud, et le nord est dans le dos","Le soleil est au nord, et le sud est dans le dos")</f>
        <v>Le soleil est au sud, et le nord est dans le dos</v>
      </c>
      <c r="W158" s="835"/>
      <c r="X158" s="835"/>
      <c r="Y158" s="835"/>
      <c r="Z158" s="835"/>
      <c r="AA158" s="835"/>
      <c r="AB158" s="343"/>
      <c r="AC158" t="s">
        <v>590</v>
      </c>
      <c r="AD158">
        <v>1</v>
      </c>
      <c r="BN158" s="24"/>
      <c r="BO158" s="16"/>
    </row>
    <row r="159" spans="1:67" ht="17.25" customHeight="1">
      <c r="A159" s="16"/>
      <c r="B159" s="16"/>
      <c r="C159" s="14"/>
      <c r="D159" s="14"/>
      <c r="E159" s="525"/>
      <c r="F159" s="525" t="s">
        <v>215</v>
      </c>
      <c r="G159" s="525"/>
      <c r="H159" s="525"/>
      <c r="I159" s="525"/>
      <c r="J159" s="525"/>
      <c r="K159" s="804" t="s">
        <v>217</v>
      </c>
      <c r="L159" s="859"/>
      <c r="M159" s="859"/>
      <c r="N159" s="859"/>
      <c r="O159" s="805"/>
      <c r="Q159" s="469" t="s">
        <v>85</v>
      </c>
      <c r="R159" s="469"/>
      <c r="S159" s="469"/>
      <c r="T159" s="834">
        <f>E69</f>
        <v>46.092764659263878</v>
      </c>
      <c r="U159" s="834"/>
      <c r="V159" s="835" t="str">
        <f>CONCATENATE("Lat et Dec - Meme sens ?: ",AC159)</f>
        <v>Lat et Dec - Meme sens ?: TRUE</v>
      </c>
      <c r="W159" s="835"/>
      <c r="X159" s="835"/>
      <c r="Y159" s="835"/>
      <c r="Z159" s="835"/>
      <c r="AA159" s="835"/>
      <c r="AB159" s="343"/>
      <c r="AC159" t="b">
        <f>IF(T159*T160&gt;0,TRUE,FALSE)</f>
        <v>1</v>
      </c>
      <c r="BN159" s="24"/>
      <c r="BO159" s="16"/>
    </row>
    <row r="160" spans="1:67" ht="17.25" customHeight="1">
      <c r="A160" s="16"/>
      <c r="B160" s="16"/>
      <c r="C160" s="14"/>
      <c r="D160" s="14"/>
      <c r="E160" s="525"/>
      <c r="F160" s="525" t="s">
        <v>216</v>
      </c>
      <c r="G160" s="525"/>
      <c r="H160" s="525"/>
      <c r="I160" s="525"/>
      <c r="J160" s="525"/>
      <c r="K160" s="804" t="s">
        <v>218</v>
      </c>
      <c r="L160" s="859"/>
      <c r="M160" s="859"/>
      <c r="N160" s="859"/>
      <c r="O160" s="805"/>
      <c r="Q160" s="469" t="s">
        <v>84</v>
      </c>
      <c r="R160" s="469"/>
      <c r="S160" s="469"/>
      <c r="T160" s="834">
        <f>F90</f>
        <v>23.175000000000004</v>
      </c>
      <c r="U160" s="834"/>
      <c r="V160" s="835" t="str">
        <f>CONCATENATE("Lat &gt; Dec  ? : ",AC160)</f>
        <v>Lat &gt; Dec  ? : TRUE</v>
      </c>
      <c r="W160" s="835"/>
      <c r="X160" s="835"/>
      <c r="Y160" s="835"/>
      <c r="Z160" s="835"/>
      <c r="AA160" s="835"/>
      <c r="AB160" s="343"/>
      <c r="AC160" s="84" t="b">
        <f>IF(ABS(T159)&gt;ABS(T160),TRUE, FALSE)</f>
        <v>1</v>
      </c>
      <c r="BN160" s="24"/>
      <c r="BO160" s="16"/>
    </row>
    <row r="161" spans="1:67" ht="17.25" customHeight="1">
      <c r="A161" s="16"/>
      <c r="B161" s="16"/>
      <c r="C161" s="16"/>
      <c r="D161" s="16"/>
      <c r="E161" s="864" t="s">
        <v>214</v>
      </c>
      <c r="F161" s="864"/>
      <c r="G161" s="864"/>
      <c r="H161" s="864"/>
      <c r="I161" s="864"/>
      <c r="J161" s="864"/>
      <c r="K161" s="804" t="s">
        <v>219</v>
      </c>
      <c r="L161" s="859"/>
      <c r="M161" s="859"/>
      <c r="N161" s="859"/>
      <c r="O161" s="805"/>
      <c r="AB161" s="343"/>
      <c r="AD161" s="92"/>
      <c r="BN161" s="24"/>
      <c r="BO161" s="16"/>
    </row>
    <row r="162" spans="1:67" ht="17.25" customHeight="1">
      <c r="A162" s="16"/>
      <c r="B162" s="16"/>
      <c r="C162" s="59"/>
      <c r="D162" s="59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AB162" s="343"/>
      <c r="AD162" s="92"/>
      <c r="BN162" s="24"/>
      <c r="BO162" s="16"/>
    </row>
    <row r="163" spans="1:67" ht="17.25" customHeight="1" thickBot="1">
      <c r="A163" s="16"/>
      <c r="B163" s="16"/>
      <c r="C163" s="59"/>
      <c r="D163" s="59"/>
      <c r="E163" s="59"/>
      <c r="F163" s="59"/>
      <c r="G163" s="59"/>
      <c r="H163" s="16"/>
      <c r="I163" s="16"/>
      <c r="J163" s="16"/>
      <c r="K163" s="16"/>
      <c r="L163" s="16"/>
      <c r="AB163" s="343"/>
      <c r="AD163" s="92"/>
      <c r="BN163" s="24"/>
      <c r="BO163" s="16"/>
    </row>
    <row r="164" spans="1:67" ht="17.25" customHeight="1" thickTop="1">
      <c r="A164" s="16"/>
      <c r="B164" s="16"/>
      <c r="C164" s="59"/>
      <c r="D164" s="59"/>
      <c r="E164" s="59"/>
      <c r="F164" s="59"/>
      <c r="G164" s="59"/>
      <c r="H164" s="411" t="s">
        <v>212</v>
      </c>
      <c r="I164" s="412"/>
      <c r="J164" s="412"/>
      <c r="K164" s="412"/>
      <c r="L164" s="853"/>
      <c r="M164" s="843" cm="1">
        <f t="array" ref="M164">astroCalculLatitude(VLOOKUP(T158,AC157:AD158,2,FALSE), T160, Q154)</f>
        <v>46.030711148806454</v>
      </c>
      <c r="N164" s="844"/>
      <c r="O164" s="216" t="s">
        <v>28</v>
      </c>
      <c r="P164" s="845" t="str">
        <f>latitudeDecimal2Txt(M164)</f>
        <v>N 46°01.84 (N 46.0307) [N 46°01'50.56]</v>
      </c>
      <c r="Q164" s="846"/>
      <c r="R164" s="846"/>
      <c r="S164" s="846"/>
      <c r="T164" s="846"/>
      <c r="U164" s="846"/>
      <c r="V164" t="s">
        <v>594</v>
      </c>
      <c r="AB164" s="343"/>
      <c r="BN164" s="24"/>
      <c r="BO164" s="16"/>
    </row>
    <row r="165" spans="1:67" ht="17.25" customHeight="1">
      <c r="A165" s="14"/>
      <c r="B165" s="14"/>
      <c r="C165" s="14"/>
      <c r="D165" s="14"/>
      <c r="M165" s="829">
        <f>IF(AC159,IF(AC160,I153+T160,T160-I153),I153-T160)</f>
        <v>46.030711148806454</v>
      </c>
      <c r="N165" s="830"/>
      <c r="O165" s="290" t="s">
        <v>28</v>
      </c>
      <c r="P165" s="831" t="str">
        <f>latitudeDecimal2Txt(M165)</f>
        <v>N 46°01.84 (N 46.0307) [N 46°01'50.56]</v>
      </c>
      <c r="Q165" s="831"/>
      <c r="R165" s="831"/>
      <c r="S165" s="831"/>
      <c r="T165" s="831"/>
      <c r="U165" s="832"/>
      <c r="V165" s="16" t="s">
        <v>595</v>
      </c>
      <c r="W165" s="16"/>
      <c r="X165" s="16"/>
      <c r="Y165" s="16"/>
      <c r="Z165" s="16"/>
      <c r="AA165" s="16"/>
      <c r="AB165" s="343"/>
      <c r="BN165" s="24"/>
      <c r="BO165" s="16"/>
    </row>
    <row r="166" spans="1:67" s="16" customFormat="1" ht="17.25" customHeight="1">
      <c r="C166" s="59"/>
      <c r="D166" s="59"/>
      <c r="E166" s="59"/>
      <c r="F166" s="59"/>
      <c r="G166" s="59"/>
      <c r="AB166" s="343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 s="24"/>
    </row>
    <row r="167" spans="1:67" ht="17.25" customHeight="1" thickBot="1">
      <c r="A167" s="16"/>
      <c r="B167" s="16"/>
      <c r="C167" s="59"/>
      <c r="D167" s="59"/>
      <c r="E167" s="59"/>
      <c r="F167" s="59"/>
      <c r="G167" s="59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343"/>
      <c r="BN167" s="24"/>
      <c r="BO167" s="16"/>
    </row>
    <row r="168" spans="1:67" ht="17.25" customHeight="1" thickBot="1">
      <c r="A168" s="16"/>
      <c r="B168" s="25" t="s">
        <v>233</v>
      </c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85"/>
      <c r="AB168" s="346"/>
      <c r="BN168" s="24"/>
      <c r="BO168" s="16"/>
    </row>
    <row r="169" spans="1:67" s="16" customFormat="1" ht="17.25" hidden="1" customHeight="1" outlineLevel="1">
      <c r="C169" s="59"/>
      <c r="D169" s="59"/>
      <c r="E169" s="59"/>
      <c r="F169" s="59"/>
      <c r="G169" s="59"/>
      <c r="AB169" s="343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 s="24"/>
    </row>
    <row r="170" spans="1:67" ht="17.25" hidden="1" customHeight="1" outlineLevel="1" thickBot="1">
      <c r="A170" s="16"/>
      <c r="B170" s="16"/>
      <c r="C170" s="517" t="s">
        <v>234</v>
      </c>
      <c r="D170" s="517"/>
      <c r="E170" s="517"/>
      <c r="F170" s="517"/>
      <c r="G170" s="103"/>
      <c r="H170" s="517" t="s">
        <v>235</v>
      </c>
      <c r="I170" s="517"/>
      <c r="J170" s="517"/>
      <c r="K170" s="16"/>
      <c r="L170" s="852" t="s">
        <v>224</v>
      </c>
      <c r="M170" s="852"/>
      <c r="N170" s="852"/>
      <c r="O170" s="16"/>
      <c r="P170" s="16"/>
      <c r="Q170" s="415" t="s">
        <v>236</v>
      </c>
      <c r="R170" s="415"/>
      <c r="S170" s="415"/>
      <c r="T170" s="415"/>
      <c r="U170" s="90"/>
      <c r="V170" s="16"/>
      <c r="W170" s="16"/>
      <c r="X170" s="16"/>
      <c r="Y170" s="16"/>
      <c r="Z170" s="16"/>
      <c r="AA170" s="16"/>
      <c r="AB170" s="343"/>
      <c r="AD170" s="92"/>
      <c r="BN170" s="24"/>
      <c r="BO170" s="16"/>
    </row>
    <row r="171" spans="1:67" ht="17.25" hidden="1" customHeight="1" outlineLevel="1" thickTop="1" thickBot="1">
      <c r="A171" s="16"/>
      <c r="B171" s="16"/>
      <c r="C171" s="59"/>
      <c r="D171" s="127" t="s">
        <v>41</v>
      </c>
      <c r="E171" s="525">
        <f>M164</f>
        <v>46.030711148806454</v>
      </c>
      <c r="F171" s="525"/>
      <c r="G171" s="59"/>
      <c r="H171" s="16"/>
      <c r="I171" s="525">
        <f>W158</f>
        <v>0</v>
      </c>
      <c r="J171" s="525"/>
      <c r="K171" s="16" t="s">
        <v>104</v>
      </c>
      <c r="L171" s="16"/>
      <c r="M171" s="525">
        <v>180</v>
      </c>
      <c r="N171" s="525"/>
      <c r="O171" s="16"/>
      <c r="P171" s="16"/>
      <c r="Q171" s="16"/>
      <c r="R171" s="128" t="s">
        <v>41</v>
      </c>
      <c r="S171" s="413">
        <f>E171</f>
        <v>46.030711148806454</v>
      </c>
      <c r="T171" s="413"/>
      <c r="U171" s="684" t="str" cm="1">
        <f t="array" ref="U171">latitudeDecimal2Txt(S171)</f>
        <v>N 46°01.84 (N 46.0307) [N 46°01'50.56]</v>
      </c>
      <c r="V171" s="603"/>
      <c r="W171" s="603"/>
      <c r="X171" s="603"/>
      <c r="Y171" s="603"/>
      <c r="Z171" s="604"/>
      <c r="AA171" s="16"/>
      <c r="AB171" s="343"/>
      <c r="AD171" s="92"/>
      <c r="BN171" s="24"/>
      <c r="BO171" s="16"/>
    </row>
    <row r="172" spans="1:67" ht="17.25" hidden="1" customHeight="1" outlineLevel="1" thickTop="1">
      <c r="A172" s="16"/>
      <c r="B172" s="16"/>
      <c r="C172" s="59"/>
      <c r="D172" s="16"/>
      <c r="E172" s="59"/>
      <c r="F172" s="59"/>
      <c r="G172" s="59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343"/>
      <c r="BN172" s="24"/>
      <c r="BO172" s="16"/>
    </row>
    <row r="173" spans="1:67" ht="17.25" hidden="1" customHeight="1" outlineLevel="1">
      <c r="A173" s="16"/>
      <c r="B173" s="16"/>
      <c r="F173" s="59"/>
      <c r="G173" s="59"/>
      <c r="H173" s="16"/>
      <c r="I173" s="16"/>
      <c r="J173" s="16"/>
      <c r="K173" s="16"/>
      <c r="L173" s="16"/>
      <c r="M173" s="16"/>
      <c r="N173" s="16"/>
      <c r="O173" s="16"/>
      <c r="P173" s="16"/>
      <c r="Q173" s="415" t="s">
        <v>237</v>
      </c>
      <c r="R173" s="415"/>
      <c r="S173" s="415"/>
      <c r="T173" s="16"/>
      <c r="U173" s="16"/>
      <c r="V173" s="16"/>
      <c r="W173" s="16"/>
      <c r="X173" s="16"/>
      <c r="Y173" s="16"/>
      <c r="Z173" s="16"/>
      <c r="AA173" s="16"/>
      <c r="AB173" s="343"/>
      <c r="BN173" s="24"/>
      <c r="BO173" s="16"/>
    </row>
    <row r="174" spans="1:67" ht="17.25" hidden="1" customHeight="1" outlineLevel="1">
      <c r="A174" s="16"/>
      <c r="B174" s="16"/>
      <c r="C174" s="59"/>
      <c r="D174" s="59"/>
      <c r="E174" s="59"/>
      <c r="F174" s="59"/>
      <c r="G174" s="59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413">
        <f>M171-90</f>
        <v>90</v>
      </c>
      <c r="S174" s="413"/>
      <c r="T174" s="50" t="s">
        <v>28</v>
      </c>
      <c r="U174" s="16"/>
      <c r="V174" s="16"/>
      <c r="W174" s="16"/>
      <c r="X174" s="16"/>
      <c r="Y174" s="16"/>
      <c r="Z174" s="16"/>
      <c r="AA174" s="16"/>
      <c r="AB174" s="343"/>
      <c r="BN174" s="24"/>
      <c r="BO174" s="16"/>
    </row>
    <row r="175" spans="1:67" ht="17.25" hidden="1" customHeight="1" outlineLevel="1"/>
    <row r="176" spans="1:67" ht="17.25" customHeight="1" collapsed="1" thickBot="1"/>
    <row r="177" spans="2:33" ht="17.25" customHeight="1" thickBot="1">
      <c r="B177" s="109" t="s">
        <v>241</v>
      </c>
      <c r="C177" s="110"/>
      <c r="D177" s="110"/>
      <c r="E177" s="110"/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1"/>
    </row>
    <row r="178" spans="2:33" ht="17.25" hidden="1" customHeight="1" outlineLevel="1">
      <c r="AD178" s="92"/>
    </row>
    <row r="179" spans="2:33" ht="17.25" hidden="1" customHeight="1" outlineLevel="1" thickBot="1">
      <c r="C179" s="515" t="s">
        <v>236</v>
      </c>
      <c r="D179" s="515"/>
      <c r="E179" s="515"/>
      <c r="F179" s="515"/>
      <c r="G179" s="90"/>
      <c r="H179" s="16"/>
      <c r="I179" s="16"/>
      <c r="J179" s="16"/>
      <c r="K179" s="16"/>
      <c r="L179" s="16"/>
      <c r="Q179" s="104" t="s">
        <v>242</v>
      </c>
      <c r="R179" s="104"/>
      <c r="S179" s="104"/>
      <c r="T179" s="104"/>
      <c r="U179" s="104"/>
      <c r="V179" s="104"/>
      <c r="W179" s="104"/>
    </row>
    <row r="180" spans="2:33" ht="17.25" hidden="1" customHeight="1" outlineLevel="1" thickTop="1" thickBot="1">
      <c r="D180" s="129" t="s">
        <v>41</v>
      </c>
      <c r="E180" s="516">
        <f>I189</f>
        <v>0</v>
      </c>
      <c r="F180" s="516"/>
      <c r="G180" s="414" t="str" cm="1">
        <f t="array" ref="G180">latitudeDecimal2Txt(E180)</f>
        <v>N 00°00.00 (N 00.0000) [N 00°00'00.00]</v>
      </c>
      <c r="H180" s="414"/>
      <c r="I180" s="414"/>
      <c r="J180" s="414"/>
      <c r="K180" s="414"/>
      <c r="L180" s="414"/>
      <c r="R180" s="128" t="s">
        <v>41</v>
      </c>
      <c r="S180" s="413">
        <f>AG183</f>
        <v>46.030711148806454</v>
      </c>
      <c r="T180" s="413"/>
      <c r="U180" s="414" t="str" cm="1">
        <f t="array" ref="U180">latitudeDecimal2Txt(S180)</f>
        <v>N 46°01.84 (N 46.0307) [N 46°01'50.56]</v>
      </c>
      <c r="V180" s="414"/>
      <c r="W180" s="414"/>
      <c r="X180" s="414"/>
      <c r="Y180" s="414"/>
      <c r="Z180" s="414"/>
      <c r="AC180" s="121" t="s">
        <v>273</v>
      </c>
      <c r="AD180" s="122">
        <f>D184</f>
        <v>30</v>
      </c>
    </row>
    <row r="181" spans="2:33" ht="17.25" hidden="1" customHeight="1" outlineLevel="1" thickTop="1" thickBot="1">
      <c r="D181" s="129" t="s">
        <v>42</v>
      </c>
      <c r="E181" s="516">
        <v>-7</v>
      </c>
      <c r="F181" s="516"/>
      <c r="G181" s="414" t="str" cm="1">
        <f t="array" ref="G181">longitudeDecimal2Txt(E181)</f>
        <v>W 07°00.00 (W 07.0000) [W 07°00'00.00]</v>
      </c>
      <c r="H181" s="414"/>
      <c r="I181" s="414"/>
      <c r="J181" s="414"/>
      <c r="K181" s="414"/>
      <c r="L181" s="414"/>
      <c r="R181" s="128" t="s">
        <v>42</v>
      </c>
      <c r="S181" s="413">
        <f>AG184</f>
        <v>19.575843472753313</v>
      </c>
      <c r="T181" s="413"/>
      <c r="U181" s="414" t="str" cm="1">
        <f t="array" ref="U181">longitudeDecimal2Txt(S181)</f>
        <v>E 19°34.55 (E 19.5758) [E 19°34'33.03]</v>
      </c>
      <c r="V181" s="414"/>
      <c r="W181" s="414"/>
      <c r="X181" s="414"/>
      <c r="Y181" s="414"/>
      <c r="Z181" s="414"/>
      <c r="AC181" s="123" t="s">
        <v>275</v>
      </c>
      <c r="AD181" s="122">
        <f>E180</f>
        <v>0</v>
      </c>
    </row>
    <row r="182" spans="2:33" ht="17.25" hidden="1" customHeight="1" outlineLevel="1" thickTop="1"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AC182" s="121" t="s">
        <v>276</v>
      </c>
      <c r="AD182" s="122">
        <f>E181</f>
        <v>-7</v>
      </c>
    </row>
    <row r="183" spans="2:33" ht="17.25" hidden="1" customHeight="1" outlineLevel="1">
      <c r="C183" s="515" t="s">
        <v>237</v>
      </c>
      <c r="D183" s="515"/>
      <c r="E183" s="515"/>
      <c r="F183" s="108"/>
      <c r="G183" s="16"/>
      <c r="H183" s="16"/>
      <c r="I183" s="16"/>
      <c r="J183" s="16"/>
      <c r="K183" s="16"/>
      <c r="L183" s="16"/>
      <c r="AC183" s="121" t="s">
        <v>243</v>
      </c>
      <c r="AD183" s="121">
        <f>TAN(AD180*Outils!F37) * (1 / COS(AD181*Outils!F37))</f>
        <v>0</v>
      </c>
      <c r="AE183" s="410" t="s">
        <v>279</v>
      </c>
      <c r="AF183" s="410"/>
      <c r="AG183" s="125">
        <f>S171</f>
        <v>46.030711148806454</v>
      </c>
    </row>
    <row r="184" spans="2:33" ht="17.25" hidden="1" customHeight="1" outlineLevel="1">
      <c r="D184" s="516">
        <v>30</v>
      </c>
      <c r="E184" s="516"/>
      <c r="F184" s="130" t="s">
        <v>28</v>
      </c>
      <c r="G184" s="16"/>
      <c r="H184" s="16"/>
      <c r="I184" s="16"/>
      <c r="J184" s="16"/>
      <c r="K184" s="16"/>
      <c r="L184" s="16"/>
      <c r="AC184" s="121" t="s">
        <v>244</v>
      </c>
      <c r="AD184" s="121">
        <f>AD182-AD181*AD183</f>
        <v>-7</v>
      </c>
      <c r="AE184" s="410"/>
      <c r="AF184" s="410"/>
      <c r="AG184" s="124">
        <f>E181+(S171-E180)*TAN(D184*Outils!F4)/COS(Outils!F4*E180)</f>
        <v>19.575843472753313</v>
      </c>
    </row>
    <row r="185" spans="2:33" hidden="1" outlineLevel="1"/>
    <row r="186" spans="2:33" hidden="1" outlineLevel="1">
      <c r="S186" s="16"/>
      <c r="T186" s="16"/>
    </row>
    <row r="187" spans="2:33" ht="15.75" collapsed="1" thickBot="1"/>
    <row r="188" spans="2:33" ht="15.75" thickBot="1">
      <c r="B188" s="109" t="s">
        <v>543</v>
      </c>
      <c r="C188" s="110"/>
      <c r="D188" s="110"/>
      <c r="E188" s="110"/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1"/>
    </row>
    <row r="189" spans="2:33">
      <c r="K189" s="92"/>
      <c r="L189" s="92"/>
    </row>
    <row r="190" spans="2:33">
      <c r="B190" s="705" t="s">
        <v>1</v>
      </c>
      <c r="C190" s="705"/>
      <c r="D190" s="705" t="str">
        <f>I66</f>
        <v>2025/06/30</v>
      </c>
      <c r="E190" s="705"/>
      <c r="F190" s="705"/>
      <c r="G190" s="705"/>
      <c r="H190" s="234" t="s">
        <v>2</v>
      </c>
      <c r="I190" s="705" t="str">
        <f>M66</f>
        <v>12:33:08.51(12.5523)</v>
      </c>
      <c r="J190" s="705"/>
      <c r="K190" s="705"/>
      <c r="L190" s="705"/>
    </row>
    <row r="191" spans="2:33">
      <c r="B191" s="706" t="s">
        <v>30</v>
      </c>
      <c r="C191" s="706"/>
      <c r="D191" s="994" t="s">
        <v>431</v>
      </c>
      <c r="E191" s="994"/>
      <c r="F191" s="994"/>
      <c r="G191" s="994"/>
      <c r="H191" s="228"/>
      <c r="I191" s="228"/>
      <c r="J191" s="228"/>
      <c r="K191" s="228"/>
      <c r="L191" s="228"/>
      <c r="AA191" s="225"/>
    </row>
    <row r="192" spans="2:33">
      <c r="B192" s="224"/>
      <c r="C192" s="224"/>
      <c r="D192" s="227"/>
      <c r="E192" s="224"/>
      <c r="AA192" s="225"/>
    </row>
    <row r="193" spans="2:65" s="92" customFormat="1" ht="17.25" customHeight="1" thickBot="1">
      <c r="B193" s="231" t="s">
        <v>401</v>
      </c>
      <c r="C193" s="231"/>
      <c r="D193" s="231"/>
      <c r="E193" s="231"/>
      <c r="F193" s="230"/>
      <c r="G193" s="230"/>
      <c r="H193" s="229"/>
      <c r="I193" s="229"/>
      <c r="J193" s="229"/>
      <c r="K193" s="229"/>
      <c r="L193" s="229"/>
      <c r="M193" s="229"/>
      <c r="N193" s="229"/>
      <c r="O193" s="229"/>
      <c r="P193" s="229"/>
      <c r="Q193" s="229"/>
      <c r="AB193" s="34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2:65" s="92" customFormat="1" ht="17.25" customHeight="1" thickTop="1">
      <c r="C194" s="759" t="s">
        <v>481</v>
      </c>
      <c r="D194" s="759"/>
      <c r="E194" s="759" t="str" cm="1">
        <f t="array" ref="E194">angleDecimal2Txt(angleConvert2Decimal(M78))</f>
        <v>+66°57.00 (+66.9500) [+66°57'00.00]</v>
      </c>
      <c r="F194" s="759"/>
      <c r="G194" s="759"/>
      <c r="H194" s="759"/>
      <c r="I194" s="759"/>
      <c r="AB194" s="343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2:65" s="92" customFormat="1" ht="17.25" customHeight="1">
      <c r="C195" s="758" t="s">
        <v>70</v>
      </c>
      <c r="D195" s="758"/>
      <c r="E195" s="758" t="str">
        <f>J80</f>
        <v>BordInf</v>
      </c>
      <c r="F195" s="758"/>
      <c r="G195" s="758"/>
      <c r="H195" s="758"/>
      <c r="I195" s="758"/>
      <c r="AB195" s="343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2:65" s="92" customFormat="1" ht="17.25" customHeight="1">
      <c r="C196" s="753" t="s">
        <v>403</v>
      </c>
      <c r="D196" s="753"/>
      <c r="E196" s="814" t="str" cm="1">
        <f t="array" ref="E196">angleDecimal2Txt(angleConvert2Decimal(M77))</f>
        <v>+00°01.30 (+00.0216) [+00°01'18.00]</v>
      </c>
      <c r="F196" s="814"/>
      <c r="G196" s="814"/>
      <c r="H196" s="814"/>
      <c r="I196" s="814"/>
      <c r="AB196" s="343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2:65" s="92" customFormat="1" ht="17.25" customHeight="1">
      <c r="C197" s="705" t="s">
        <v>404</v>
      </c>
      <c r="D197" s="705"/>
      <c r="E197" s="815" t="str">
        <f>CONCATENATE(M76, " m")</f>
        <v>2 m</v>
      </c>
      <c r="F197" s="815"/>
      <c r="G197" s="815"/>
      <c r="H197" s="815"/>
      <c r="I197" s="815"/>
      <c r="AB197" s="343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2:65" s="92" customFormat="1" ht="17.25" customHeight="1">
      <c r="E198" s="754" t="str" cm="1">
        <f t="array" ref="E198">angleDecimal2Txt(O118)</f>
        <v>+66°53.21 (+66.8868) [+66°53'12.82]</v>
      </c>
      <c r="F198" s="754"/>
      <c r="G198" s="754"/>
      <c r="H198" s="754"/>
      <c r="I198" s="754"/>
      <c r="J198" s="754" t="s">
        <v>482</v>
      </c>
      <c r="K198" s="754"/>
      <c r="L198" s="754"/>
      <c r="AB198" s="343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2:65" s="92" customFormat="1" ht="17.25" customHeight="1">
      <c r="E199" s="232"/>
      <c r="F199" s="766" t="s">
        <v>404</v>
      </c>
      <c r="G199" s="768"/>
      <c r="H199" s="755" t="str" cm="1">
        <f t="array" ref="H199">angleDecimal2Txt(O116)</f>
        <v>+00°02.48 (+00.0414) [+00°02'29.17]</v>
      </c>
      <c r="I199" s="755"/>
      <c r="J199" s="755"/>
      <c r="K199" s="755"/>
      <c r="L199" s="755"/>
      <c r="AB199" s="343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2:65" s="92" customFormat="1" ht="17.25" customHeight="1">
      <c r="F200" s="756" t="s">
        <v>411</v>
      </c>
      <c r="G200" s="756"/>
      <c r="H200" s="755" t="str" cm="1">
        <f t="array" ref="H200">angleDecimal2Txt(O126)</f>
        <v>+00°00.42 (+00.0070) [+00°00'25.46]</v>
      </c>
      <c r="I200" s="755"/>
      <c r="J200" s="755"/>
      <c r="K200" s="755"/>
      <c r="L200" s="755"/>
      <c r="AB200" s="343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2:65" s="92" customFormat="1" ht="17.25" customHeight="1">
      <c r="F201" s="756" t="s">
        <v>412</v>
      </c>
      <c r="G201" s="756"/>
      <c r="H201" s="756" t="str" cm="1">
        <f t="array" ref="H201">angleDecimal2Txt(O121)</f>
        <v>+00°00.06 (+00.0011) [+00°00'04.07]</v>
      </c>
      <c r="I201" s="756"/>
      <c r="J201" s="756"/>
      <c r="K201" s="756"/>
      <c r="L201" s="756"/>
      <c r="AB201" s="343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2:65" s="92" customFormat="1" ht="17.25" customHeight="1">
      <c r="F202" s="756" t="s">
        <v>100</v>
      </c>
      <c r="G202" s="756"/>
      <c r="H202" s="756" t="str" cm="1">
        <f t="array" ref="H202">angleDecimal2Txt(O128)</f>
        <v>+00°31.60 (+00.5266) [+00°31'36.00]</v>
      </c>
      <c r="I202" s="756"/>
      <c r="J202" s="756"/>
      <c r="K202" s="756"/>
      <c r="L202" s="756"/>
      <c r="AB202" s="343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2:65" s="92" customFormat="1" ht="17.25" customHeight="1">
      <c r="F203" s="756" t="s">
        <v>71</v>
      </c>
      <c r="G203" s="756"/>
      <c r="H203" s="756" t="str" cm="1">
        <f t="array" ref="H203">angleDecimal2Txt(O130)</f>
        <v>+00°15.80 (+00.2633) [+00°15'48.00]</v>
      </c>
      <c r="I203" s="756"/>
      <c r="J203" s="756"/>
      <c r="K203" s="756"/>
      <c r="L203" s="756"/>
      <c r="AB203" s="34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2:65" s="92" customFormat="1" ht="17.25" customHeight="1">
      <c r="D204" s="226"/>
      <c r="E204" s="754" t="str" cm="1">
        <f t="array" ref="E204">angleDecimal2Txt(F111)</f>
        <v>+67°08.65 (+67.1442) [+67°08'39.43]</v>
      </c>
      <c r="F204" s="754"/>
      <c r="G204" s="754"/>
      <c r="H204" s="754"/>
      <c r="I204" s="754"/>
      <c r="J204" s="754" t="s">
        <v>483</v>
      </c>
      <c r="K204" s="754"/>
      <c r="L204" s="754"/>
      <c r="AB204" s="343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2:65" s="92" customFormat="1" ht="17.25" customHeight="1">
      <c r="D205" s="226"/>
      <c r="F205" s="756" t="str" cm="1">
        <f t="array" ref="F205">angleDecimal2Txt(O121-O126-O116)</f>
        <v>-00°02.84 (-00.0473) [-00°02'50.56]</v>
      </c>
      <c r="G205" s="756"/>
      <c r="H205" s="756"/>
      <c r="I205" s="756"/>
      <c r="J205" s="756"/>
      <c r="K205" s="756" t="s">
        <v>413</v>
      </c>
      <c r="L205" s="756"/>
      <c r="M205" s="756"/>
      <c r="N205" s="797" t="s">
        <v>428</v>
      </c>
      <c r="O205" s="797"/>
      <c r="P205" s="797"/>
      <c r="AB205" s="343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2:65" s="92" customFormat="1" ht="17.25" customHeight="1">
      <c r="D206" s="226"/>
      <c r="F206" s="756" t="str" cm="1">
        <f t="array" ref="F206">angleDecimal2Txt(O121-O126-O116+O130)</f>
        <v>+00°12.95 (+00.2159) [+00°12'57.43]</v>
      </c>
      <c r="G206" s="756"/>
      <c r="H206" s="756"/>
      <c r="I206" s="756"/>
      <c r="J206" s="756"/>
      <c r="K206" s="756" t="s">
        <v>409</v>
      </c>
      <c r="L206" s="756"/>
      <c r="M206" s="756"/>
      <c r="N206" s="797"/>
      <c r="O206" s="797"/>
      <c r="P206" s="797"/>
      <c r="AB206" s="343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92" customFormat="1" ht="17.25" customHeight="1">
      <c r="D207" s="226"/>
      <c r="F207" s="756" t="str" cm="1">
        <f t="array" ref="F207">angleDecimal2Txt(O121-O126+O130)</f>
        <v>+00°15.44 (+00.2573) [+00°15'26.61]</v>
      </c>
      <c r="G207" s="756"/>
      <c r="H207" s="756"/>
      <c r="I207" s="756"/>
      <c r="J207" s="756"/>
      <c r="K207" s="756" t="s">
        <v>410</v>
      </c>
      <c r="L207" s="756"/>
      <c r="M207" s="756"/>
      <c r="N207" s="797"/>
      <c r="O207" s="797"/>
      <c r="P207" s="797"/>
      <c r="AB207" s="343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92" customFormat="1" ht="17.25" customHeight="1">
      <c r="AB208" s="343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2:65" s="92" customFormat="1" ht="17.25" customHeight="1">
      <c r="AB209" s="343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2:65" s="92" customFormat="1" ht="17.25" customHeight="1" thickBot="1">
      <c r="B210" s="92" t="s">
        <v>552</v>
      </c>
      <c r="C210" s="230"/>
      <c r="D210" s="230"/>
      <c r="E210" s="230"/>
      <c r="F210" s="230"/>
      <c r="G210" s="230"/>
      <c r="H210" s="229"/>
      <c r="I210" s="229"/>
      <c r="J210" s="229"/>
      <c r="K210" s="229"/>
      <c r="L210" s="229"/>
      <c r="M210" s="229"/>
      <c r="N210" s="229"/>
      <c r="O210" s="229"/>
      <c r="P210" s="229"/>
      <c r="Q210" s="229"/>
      <c r="AB210" s="343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2:65" s="92" customFormat="1" ht="17.25" customHeight="1" thickTop="1">
      <c r="B211" s="1041" t="s">
        <v>553</v>
      </c>
      <c r="C211" s="819" t="s">
        <v>610</v>
      </c>
      <c r="D211" s="819"/>
      <c r="E211" s="819" t="str">
        <f>O11</f>
        <v>N 46°06.00 (N 46.1000) [N 46°06'00.00]</v>
      </c>
      <c r="F211" s="819"/>
      <c r="G211" s="819"/>
      <c r="H211" s="819"/>
      <c r="I211" s="819"/>
      <c r="J211" s="819"/>
      <c r="AB211" s="343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2:65" s="92" customFormat="1" ht="17.25" customHeight="1">
      <c r="B212" s="1041"/>
      <c r="C212" s="819" t="s">
        <v>606</v>
      </c>
      <c r="D212" s="819"/>
      <c r="E212" s="819" t="str">
        <f>O13</f>
        <v>W 07°05.00 (W 07.0833) [W 07°05'00.00]</v>
      </c>
      <c r="F212" s="819"/>
      <c r="G212" s="819"/>
      <c r="H212" s="819"/>
      <c r="I212" s="819"/>
      <c r="J212" s="819"/>
      <c r="AB212" s="343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2:65" s="92" customFormat="1" ht="17.25" customHeight="1">
      <c r="B213" s="1041"/>
      <c r="C213" s="819" t="s">
        <v>11</v>
      </c>
      <c r="D213" s="819"/>
      <c r="E213" s="819" t="str">
        <f>O9</f>
        <v>10:20:35.00(10.3430)</v>
      </c>
      <c r="F213" s="819"/>
      <c r="G213" s="819"/>
      <c r="H213" s="819"/>
      <c r="I213" s="819"/>
      <c r="J213" s="819"/>
      <c r="AB213" s="34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2:65" s="92" customFormat="1" ht="17.25" customHeight="1">
      <c r="B214" s="1041"/>
      <c r="C214" s="819" t="s">
        <v>106</v>
      </c>
      <c r="D214" s="819"/>
      <c r="E214" s="819">
        <f>F17</f>
        <v>260</v>
      </c>
      <c r="F214" s="819"/>
      <c r="G214" s="819"/>
      <c r="H214" s="819"/>
      <c r="I214" s="819"/>
      <c r="J214" s="819"/>
      <c r="AB214" s="343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2:65" s="92" customFormat="1" ht="17.25" customHeight="1">
      <c r="B215" s="1041"/>
      <c r="C215" s="819" t="s">
        <v>105</v>
      </c>
      <c r="D215" s="819"/>
      <c r="E215" s="1003">
        <f>E35</f>
        <v>5</v>
      </c>
      <c r="F215" s="1004"/>
      <c r="G215" s="1004"/>
      <c r="H215" s="1004"/>
      <c r="I215" s="1004"/>
      <c r="J215" s="303" t="s">
        <v>556</v>
      </c>
      <c r="AB215" s="343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2:65" s="92" customFormat="1" ht="17.25" customHeight="1">
      <c r="B216"/>
      <c r="C216"/>
      <c r="D216"/>
      <c r="E216"/>
      <c r="F216" s="1005" t="s">
        <v>609</v>
      </c>
      <c r="G216" s="1006"/>
      <c r="H216" s="1000" t="str">
        <f>I26</f>
        <v>N 46°05.56 (N 46.0927) [N 46°05'33.95]</v>
      </c>
      <c r="I216" s="997"/>
      <c r="J216" s="997"/>
      <c r="K216" s="997"/>
      <c r="L216" s="1001"/>
      <c r="AB216" s="343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2:65" s="92" customFormat="1" ht="17.25" customHeight="1">
      <c r="C217"/>
      <c r="D217"/>
      <c r="E217"/>
      <c r="F217" s="1007" t="s">
        <v>555</v>
      </c>
      <c r="G217" s="1008"/>
      <c r="H217" s="995">
        <f>P34</f>
        <v>-4.9240387650610398</v>
      </c>
      <c r="I217" s="996"/>
      <c r="J217" s="996"/>
      <c r="K217" s="996"/>
      <c r="L217" s="283" t="s">
        <v>556</v>
      </c>
      <c r="AB217" s="343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92" customFormat="1" ht="17.25" customHeight="1">
      <c r="C218"/>
      <c r="D218"/>
      <c r="E218"/>
      <c r="F218" s="1009"/>
      <c r="G218" s="1010"/>
      <c r="H218" s="995">
        <f>X39</f>
        <v>0.11833909603247456</v>
      </c>
      <c r="I218" s="996"/>
      <c r="J218" s="996"/>
      <c r="K218" s="996"/>
      <c r="L218" s="305" t="s">
        <v>557</v>
      </c>
      <c r="M218" s="767" t="str">
        <f>P39</f>
        <v>Vers l'Ouest</v>
      </c>
      <c r="N218" s="768"/>
      <c r="AB218" s="343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92" customFormat="1" ht="17.25" customHeight="1">
      <c r="C219" s="758" t="s">
        <v>554</v>
      </c>
      <c r="D219" s="758"/>
      <c r="E219" s="758"/>
      <c r="F219" s="758" t="str">
        <f>O21</f>
        <v>12:03:46.00(12.0627)</v>
      </c>
      <c r="G219" s="758"/>
      <c r="H219" s="1002"/>
      <c r="I219" s="1002"/>
      <c r="J219" s="1002"/>
      <c r="K219"/>
      <c r="L219"/>
      <c r="AB219" s="343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92" customFormat="1" ht="17.25" customHeight="1">
      <c r="C220"/>
      <c r="D220" s="998" t="s">
        <v>612</v>
      </c>
      <c r="E220" s="999"/>
      <c r="F220" s="767" t="s">
        <v>558</v>
      </c>
      <c r="G220" s="767"/>
      <c r="H220" s="766" t="e">
        <f>#REF!</f>
        <v>#REF!</v>
      </c>
      <c r="I220" s="996"/>
      <c r="J220" s="996"/>
      <c r="K220" s="996"/>
      <c r="L220" s="284" t="s">
        <v>258</v>
      </c>
      <c r="AB220" s="343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92" customFormat="1" ht="17.25" customHeight="1">
      <c r="C221"/>
      <c r="D221" s="999"/>
      <c r="E221" s="999"/>
      <c r="F221" s="997" t="s">
        <v>559</v>
      </c>
      <c r="G221" s="997"/>
      <c r="H221" s="766">
        <f>V56</f>
        <v>11.046545041329722</v>
      </c>
      <c r="I221" s="996"/>
      <c r="J221" s="996"/>
      <c r="K221" s="996"/>
      <c r="L221" s="284" t="s">
        <v>104</v>
      </c>
      <c r="AB221" s="343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92" customFormat="1" ht="17.25" customHeight="1">
      <c r="C222"/>
      <c r="D222" s="999"/>
      <c r="E222" s="999"/>
      <c r="F222" s="997" t="s">
        <v>560</v>
      </c>
      <c r="G222" s="997"/>
      <c r="H222" s="1000" t="str">
        <f>CONCATENATE(V58, "° (", V58*60,"')")</f>
        <v>-0.261447630894595° (-15.6868578536757')</v>
      </c>
      <c r="I222" s="997"/>
      <c r="J222" s="997"/>
      <c r="K222" s="997"/>
      <c r="L222" s="1001"/>
      <c r="AB222" s="343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92" customFormat="1" ht="17.25" customHeight="1">
      <c r="C223"/>
      <c r="D223" s="999"/>
      <c r="E223" s="999"/>
      <c r="F223" s="1015" t="s">
        <v>11</v>
      </c>
      <c r="G223" s="1016"/>
      <c r="H223" s="1019" t="str">
        <f>X62</f>
        <v>12:33:08.51(12.5523)</v>
      </c>
      <c r="I223" s="1019"/>
      <c r="J223" s="1019"/>
      <c r="K223" s="1019"/>
      <c r="L223" s="1019"/>
      <c r="AB223" s="34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92" customFormat="1" ht="17.25" customHeight="1">
      <c r="C224"/>
      <c r="D224" s="999"/>
      <c r="E224" s="999"/>
      <c r="F224" s="1017" t="s">
        <v>171</v>
      </c>
      <c r="G224" s="1018"/>
      <c r="H224" s="1018" t="str">
        <f>X60</f>
        <v>W 07°20.68 (W 07.3447) [W 07°20'41.21]</v>
      </c>
      <c r="I224" s="1018"/>
      <c r="J224" s="1018"/>
      <c r="K224" s="1018"/>
      <c r="L224" s="1018"/>
      <c r="AB224" s="343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2:66" s="92" customFormat="1" ht="17.25" customHeight="1">
      <c r="C225" s="226"/>
      <c r="AB225" s="343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2:66" s="92" customFormat="1" ht="17.25" customHeight="1" thickBot="1">
      <c r="B226" s="229" t="s">
        <v>551</v>
      </c>
      <c r="C226" s="230"/>
      <c r="D226" s="230"/>
      <c r="E226" s="230"/>
      <c r="F226" s="230"/>
      <c r="G226" s="230"/>
      <c r="H226" s="229"/>
      <c r="I226" s="229"/>
      <c r="J226" s="229"/>
      <c r="K226" s="229"/>
      <c r="L226" s="229"/>
      <c r="M226" s="229"/>
      <c r="N226" s="229"/>
      <c r="O226" s="229"/>
      <c r="P226" s="229"/>
      <c r="Q226" s="229"/>
      <c r="AB226" s="343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2:66" s="92" customFormat="1" ht="17.25" customHeight="1" thickTop="1">
      <c r="C227" s="819" t="s">
        <v>414</v>
      </c>
      <c r="D227" s="819"/>
      <c r="E227" s="819" t="str" cm="1">
        <f t="array" ref="E227">latitudeDecimal2Txt(E69)</f>
        <v>N 46°05.56 (N 46.0927) [N 46°05'33.95]</v>
      </c>
      <c r="F227" s="819"/>
      <c r="G227" s="819"/>
      <c r="H227" s="819"/>
      <c r="I227" s="819"/>
      <c r="J227" s="819"/>
      <c r="AB227" s="343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6" s="92" customFormat="1" ht="17.25" customHeight="1">
      <c r="F228" s="797" t="str">
        <f>CONCATENATE("Déc. - ", G91)</f>
        <v>Déc. - Par interval</v>
      </c>
      <c r="G228" s="797"/>
      <c r="H228" s="756">
        <f>IF($G$91=$AD$91,M95,CONCATENATE("T0:",M103))</f>
        <v>0</v>
      </c>
      <c r="I228" s="756"/>
      <c r="J228" s="756" t="str" cm="1">
        <f t="array" ref="J228">IF($G$91=$AD$91,angleDecimal2Txt(AE94,0),CONCATENATE("Pos. à T0:",angleDecimal2Txt(AD102,0)))</f>
        <v>+23°08.50</v>
      </c>
      <c r="K228" s="756"/>
      <c r="L228" s="756"/>
      <c r="M228" s="756"/>
      <c r="AB228" s="343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6" s="92" customFormat="1" ht="17.25" customHeight="1">
      <c r="F229" s="797"/>
      <c r="G229" s="797"/>
      <c r="H229" s="756" cm="1">
        <f t="array" ref="H229">IF($G$91=$AD$91,M97,CONCATENATE("V:",angleDecimal2Txt(AD104,0)))</f>
        <v>0</v>
      </c>
      <c r="I229" s="756"/>
      <c r="J229" s="756" t="str" cm="1">
        <f t="array" ref="J229">IF($G$91=$AD$91,angleDecimal2Txt(AE95,0),CONCATENATE("dt:",TEXT((I103-M103),"0.000")," h"))</f>
        <v>+23°08.30</v>
      </c>
      <c r="K229" s="756"/>
      <c r="L229" s="756"/>
      <c r="M229" s="756"/>
      <c r="AB229" s="343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6" s="92" customFormat="1" ht="17.25" customHeight="1">
      <c r="C230" s="806" t="s">
        <v>9</v>
      </c>
      <c r="D230" s="806"/>
      <c r="E230" s="806" t="str" cm="1">
        <f t="array" ref="E230">latitudeDecimal2Txt(F90)</f>
        <v>N 23°10.50 (N 23.1750) [N 23°10'30.00]</v>
      </c>
      <c r="F230" s="806"/>
      <c r="G230" s="806"/>
      <c r="H230" s="806"/>
      <c r="I230" s="806"/>
      <c r="J230" s="806"/>
      <c r="AB230" s="343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6" s="92" customFormat="1" ht="17.25" customHeight="1">
      <c r="F231" s="766" t="s">
        <v>432</v>
      </c>
      <c r="G231" s="767"/>
      <c r="H231" s="767"/>
      <c r="I231" s="767"/>
      <c r="J231" s="767"/>
      <c r="K231" s="767"/>
      <c r="L231" s="767"/>
      <c r="M231" s="768"/>
      <c r="AB231" s="343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6" s="92" customFormat="1" ht="17.25" customHeight="1">
      <c r="F232" s="756" t="s">
        <v>72</v>
      </c>
      <c r="G232" s="756"/>
      <c r="H232" s="766" t="str" cm="1">
        <f t="array" ref="H232">angleDecimal2Txt(Q154,0)</f>
        <v>+67°08.65</v>
      </c>
      <c r="I232" s="767"/>
      <c r="J232" s="767"/>
      <c r="K232" s="767"/>
      <c r="L232" s="767"/>
      <c r="M232" s="768"/>
      <c r="AB232" s="343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6" s="92" customFormat="1" ht="17.25" customHeight="1">
      <c r="C233" s="754" t="s">
        <v>433</v>
      </c>
      <c r="D233" s="754"/>
      <c r="E233" s="754" t="str">
        <f>angleDecimal2Txt(I153,1)</f>
        <v>+22°51.34 (+22.8557) [+22°51'20.56]</v>
      </c>
      <c r="F233" s="754"/>
      <c r="G233" s="754"/>
      <c r="H233" s="754"/>
      <c r="I233" s="754"/>
      <c r="J233" s="754"/>
      <c r="AB233" s="34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6" s="16" customFormat="1" ht="17.25" customHeight="1">
      <c r="C234" s="59"/>
      <c r="D234" s="59"/>
      <c r="E234" s="59"/>
      <c r="F234" s="1011" t="s">
        <v>213</v>
      </c>
      <c r="G234" s="1012"/>
      <c r="H234" s="1012"/>
      <c r="I234" s="1012"/>
      <c r="J234" s="1012"/>
      <c r="K234" s="1012"/>
      <c r="L234" s="1012"/>
      <c r="M234" s="1012"/>
      <c r="N234" s="1012"/>
      <c r="O234" s="1012"/>
      <c r="P234" s="1013"/>
      <c r="Q234"/>
      <c r="AB234" s="343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 s="24"/>
    </row>
    <row r="235" spans="2:66" s="16" customFormat="1" ht="17.25" customHeight="1">
      <c r="C235" s="59"/>
      <c r="D235" s="59"/>
      <c r="E235" s="59"/>
      <c r="F235" s="1014"/>
      <c r="G235" s="1014" t="s">
        <v>215</v>
      </c>
      <c r="H235" s="1014"/>
      <c r="I235" s="1014"/>
      <c r="J235" s="1014"/>
      <c r="K235" s="1014"/>
      <c r="L235" s="1028" t="s">
        <v>217</v>
      </c>
      <c r="M235" s="1029"/>
      <c r="N235" s="1029"/>
      <c r="O235" s="1029"/>
      <c r="P235" s="1030"/>
      <c r="Q235"/>
      <c r="AB235" s="343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 s="24"/>
    </row>
    <row r="236" spans="2:66" s="16" customFormat="1" ht="17.25" customHeight="1">
      <c r="C236" s="59"/>
      <c r="D236" s="59"/>
      <c r="E236" s="59"/>
      <c r="F236" s="1014"/>
      <c r="G236" s="1014" t="s">
        <v>216</v>
      </c>
      <c r="H236" s="1014"/>
      <c r="I236" s="1014"/>
      <c r="J236" s="1014"/>
      <c r="K236" s="1014"/>
      <c r="L236" s="1028" t="s">
        <v>218</v>
      </c>
      <c r="M236" s="1029"/>
      <c r="N236" s="1029"/>
      <c r="O236" s="1029"/>
      <c r="P236" s="1030"/>
      <c r="Q236"/>
      <c r="AB236" s="343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 s="24"/>
    </row>
    <row r="237" spans="2:66" s="16" customFormat="1" ht="17.25" customHeight="1">
      <c r="C237" s="59"/>
      <c r="D237" s="59"/>
      <c r="E237" s="59"/>
      <c r="F237" s="1031" t="s">
        <v>214</v>
      </c>
      <c r="G237" s="1031"/>
      <c r="H237" s="1031"/>
      <c r="I237" s="1031"/>
      <c r="J237" s="1031"/>
      <c r="K237" s="1031"/>
      <c r="L237" s="1028" t="s">
        <v>219</v>
      </c>
      <c r="M237" s="1029"/>
      <c r="N237" s="1029"/>
      <c r="O237" s="1029"/>
      <c r="P237" s="1030"/>
      <c r="Q237"/>
      <c r="AB237" s="343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 s="24"/>
    </row>
    <row r="238" spans="2:66" s="16" customFormat="1" ht="17.25" customHeight="1">
      <c r="C238" s="59"/>
      <c r="D238" s="59"/>
      <c r="E238" s="59"/>
      <c r="F238" s="756" t="s">
        <v>434</v>
      </c>
      <c r="G238" s="756"/>
      <c r="H238" s="766" t="b">
        <f>((E69*F90)&gt;0)</f>
        <v>1</v>
      </c>
      <c r="I238" s="767"/>
      <c r="J238" s="767"/>
      <c r="K238" s="767"/>
      <c r="L238" s="767"/>
      <c r="M238" s="768"/>
      <c r="Q238"/>
      <c r="AB238" s="343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 s="24"/>
    </row>
    <row r="239" spans="2:66" s="16" customFormat="1" ht="17.25" customHeight="1">
      <c r="C239" s="59"/>
      <c r="D239" s="59"/>
      <c r="E239" s="59"/>
      <c r="F239" s="756" t="s">
        <v>435</v>
      </c>
      <c r="G239" s="756"/>
      <c r="H239" s="766" t="b">
        <f>(E69&gt;F90)</f>
        <v>1</v>
      </c>
      <c r="I239" s="767"/>
      <c r="J239" s="767"/>
      <c r="K239" s="767"/>
      <c r="L239" s="767"/>
      <c r="M239" s="768"/>
      <c r="N239" s="40" t="s">
        <v>615</v>
      </c>
      <c r="O239" s="1040" t="str">
        <f>P165</f>
        <v>N 46°01.84 (N 46.0307) [N 46°01'50.56]</v>
      </c>
      <c r="P239" s="831"/>
      <c r="Q239" s="831"/>
      <c r="R239" s="831"/>
      <c r="S239" s="832"/>
      <c r="T239"/>
      <c r="AB239" s="343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 s="24"/>
    </row>
    <row r="240" spans="2:66" s="16" customFormat="1" ht="17.25" customHeight="1">
      <c r="C240" s="59"/>
      <c r="D240" s="1020" t="s">
        <v>574</v>
      </c>
      <c r="E240" s="1021"/>
      <c r="F240" s="1022" t="s">
        <v>593</v>
      </c>
      <c r="G240" s="1022"/>
      <c r="H240" s="1026" t="str">
        <f>V158</f>
        <v>Le soleil est au sud, et le nord est dans le dos</v>
      </c>
      <c r="I240" s="1027"/>
      <c r="J240" s="1027"/>
      <c r="K240" s="1027"/>
      <c r="L240" s="1027"/>
      <c r="M240" s="1027"/>
      <c r="P240" s="233"/>
      <c r="Q240" s="233"/>
      <c r="AB240" s="343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 s="24"/>
    </row>
    <row r="241" spans="2:66" s="16" customFormat="1" ht="17.25" customHeight="1">
      <c r="C241" s="59"/>
      <c r="D241" s="1020"/>
      <c r="E241" s="1021"/>
      <c r="F241" s="1023" t="s">
        <v>613</v>
      </c>
      <c r="G241" s="1024"/>
      <c r="H241" s="1026" t="str">
        <f>V159</f>
        <v>Lat et Dec - Meme sens ?: TRUE</v>
      </c>
      <c r="I241" s="1027"/>
      <c r="J241" s="1027"/>
      <c r="K241" s="1027"/>
      <c r="L241" s="1027"/>
      <c r="M241" s="1027"/>
      <c r="P241" s="233"/>
      <c r="Q241" s="233"/>
      <c r="AB241" s="343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 s="24"/>
    </row>
    <row r="242" spans="2:66" s="16" customFormat="1" ht="17.25" customHeight="1">
      <c r="C242" s="59"/>
      <c r="D242" s="1020"/>
      <c r="E242" s="1021"/>
      <c r="F242" s="1023" t="s">
        <v>614</v>
      </c>
      <c r="G242" s="1025"/>
      <c r="H242" s="1026" t="str">
        <f>V160</f>
        <v>Lat &gt; Dec  ? : TRUE</v>
      </c>
      <c r="I242" s="1027"/>
      <c r="J242" s="1027"/>
      <c r="K242" s="1027"/>
      <c r="L242" s="1027"/>
      <c r="M242" s="1027"/>
      <c r="N242" s="40" t="s">
        <v>615</v>
      </c>
      <c r="O242" s="1040" t="str">
        <f>P164</f>
        <v>N 46°01.84 (N 46.0307) [N 46°01'50.56]</v>
      </c>
      <c r="P242" s="831"/>
      <c r="Q242" s="831"/>
      <c r="R242" s="831"/>
      <c r="S242" s="832"/>
      <c r="T242"/>
      <c r="AB242" s="343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 s="24"/>
    </row>
    <row r="243" spans="2:66" s="16" customFormat="1" ht="17.25" customHeight="1">
      <c r="B243" s="849" t="s">
        <v>212</v>
      </c>
      <c r="C243" s="850"/>
      <c r="D243" s="851"/>
      <c r="E243" s="775" t="str" cm="1">
        <f t="array" ref="E243">latitudeDecimal2Txt(M164)</f>
        <v>N 46°01.84 (N 46.0307) [N 46°01'50.56]</v>
      </c>
      <c r="F243" s="775"/>
      <c r="G243" s="775"/>
      <c r="H243" s="775"/>
      <c r="I243" s="775"/>
      <c r="J243" s="775"/>
      <c r="N243" s="233"/>
      <c r="O243" s="233"/>
      <c r="P243" s="233"/>
      <c r="Q243" s="233"/>
      <c r="AB243" s="3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 s="24"/>
    </row>
    <row r="244" spans="2:66" s="16" customFormat="1" ht="17.25" customHeight="1">
      <c r="B244" s="836" t="s">
        <v>484</v>
      </c>
      <c r="C244" s="836"/>
      <c r="D244" s="836"/>
      <c r="E244" s="836" t="str">
        <f>longitudeDecimal2Txt(V60)</f>
        <v>W 07°20.68 (W 07.3447) [W 07°20'41.21]</v>
      </c>
      <c r="F244" s="836"/>
      <c r="G244" s="836"/>
      <c r="H244" s="836"/>
      <c r="I244" s="836"/>
      <c r="J244" s="836"/>
      <c r="AB244" s="343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 s="24"/>
    </row>
  </sheetData>
  <sheetProtection selectLockedCells="1"/>
  <mergeCells count="425">
    <mergeCell ref="C105:C109"/>
    <mergeCell ref="D105:H106"/>
    <mergeCell ref="I105:M106"/>
    <mergeCell ref="D107:H108"/>
    <mergeCell ref="I107:I108"/>
    <mergeCell ref="J107:M108"/>
    <mergeCell ref="D109:H109"/>
    <mergeCell ref="H62:U63"/>
    <mergeCell ref="P73:X73"/>
    <mergeCell ref="C74:I74"/>
    <mergeCell ref="S94:W95"/>
    <mergeCell ref="S96:W97"/>
    <mergeCell ref="X62:AC63"/>
    <mergeCell ref="P74:X74"/>
    <mergeCell ref="P77:X77"/>
    <mergeCell ref="M78:O78"/>
    <mergeCell ref="P78:X78"/>
    <mergeCell ref="M76:O76"/>
    <mergeCell ref="J76:L76"/>
    <mergeCell ref="S87:X87"/>
    <mergeCell ref="P88:X88"/>
    <mergeCell ref="C85:I88"/>
    <mergeCell ref="J85:L88"/>
    <mergeCell ref="M85:O88"/>
    <mergeCell ref="C33:R33"/>
    <mergeCell ref="N34:O35"/>
    <mergeCell ref="P34:Q35"/>
    <mergeCell ref="R34:R35"/>
    <mergeCell ref="O239:S239"/>
    <mergeCell ref="O242:S242"/>
    <mergeCell ref="B211:B215"/>
    <mergeCell ref="L237:P237"/>
    <mergeCell ref="F238:G238"/>
    <mergeCell ref="H238:M238"/>
    <mergeCell ref="F239:G239"/>
    <mergeCell ref="H239:M239"/>
    <mergeCell ref="M218:N218"/>
    <mergeCell ref="C233:D233"/>
    <mergeCell ref="E233:J233"/>
    <mergeCell ref="F232:G232"/>
    <mergeCell ref="F228:G229"/>
    <mergeCell ref="H228:I228"/>
    <mergeCell ref="J228:M228"/>
    <mergeCell ref="H229:I229"/>
    <mergeCell ref="J229:M229"/>
    <mergeCell ref="C230:D230"/>
    <mergeCell ref="E230:J230"/>
    <mergeCell ref="F231:M231"/>
    <mergeCell ref="C227:D227"/>
    <mergeCell ref="E227:J227"/>
    <mergeCell ref="H232:M232"/>
    <mergeCell ref="F234:P234"/>
    <mergeCell ref="G235:K235"/>
    <mergeCell ref="E243:J243"/>
    <mergeCell ref="F223:G223"/>
    <mergeCell ref="F224:G224"/>
    <mergeCell ref="H223:L223"/>
    <mergeCell ref="H224:L224"/>
    <mergeCell ref="D240:E242"/>
    <mergeCell ref="F240:G240"/>
    <mergeCell ref="F241:G241"/>
    <mergeCell ref="F242:G242"/>
    <mergeCell ref="H240:M240"/>
    <mergeCell ref="H241:M241"/>
    <mergeCell ref="H242:M242"/>
    <mergeCell ref="L235:P235"/>
    <mergeCell ref="G236:K236"/>
    <mergeCell ref="L236:P236"/>
    <mergeCell ref="F237:K237"/>
    <mergeCell ref="F235:F236"/>
    <mergeCell ref="E204:I204"/>
    <mergeCell ref="J204:L204"/>
    <mergeCell ref="F205:J205"/>
    <mergeCell ref="K205:M205"/>
    <mergeCell ref="K207:M207"/>
    <mergeCell ref="N205:P207"/>
    <mergeCell ref="F206:J206"/>
    <mergeCell ref="K206:M206"/>
    <mergeCell ref="F207:J207"/>
    <mergeCell ref="C211:D211"/>
    <mergeCell ref="E211:J211"/>
    <mergeCell ref="H217:K217"/>
    <mergeCell ref="H218:K218"/>
    <mergeCell ref="F220:G220"/>
    <mergeCell ref="H220:K220"/>
    <mergeCell ref="F221:G221"/>
    <mergeCell ref="H221:K221"/>
    <mergeCell ref="D220:E224"/>
    <mergeCell ref="F222:G222"/>
    <mergeCell ref="H222:L222"/>
    <mergeCell ref="C212:D212"/>
    <mergeCell ref="E212:J212"/>
    <mergeCell ref="C213:D213"/>
    <mergeCell ref="C214:D214"/>
    <mergeCell ref="E213:J213"/>
    <mergeCell ref="F219:J219"/>
    <mergeCell ref="C219:E219"/>
    <mergeCell ref="E214:J214"/>
    <mergeCell ref="C215:D215"/>
    <mergeCell ref="E215:I215"/>
    <mergeCell ref="F216:G216"/>
    <mergeCell ref="H216:L216"/>
    <mergeCell ref="F217:G218"/>
    <mergeCell ref="F199:G199"/>
    <mergeCell ref="H199:L199"/>
    <mergeCell ref="F200:G200"/>
    <mergeCell ref="H200:L200"/>
    <mergeCell ref="F201:G201"/>
    <mergeCell ref="H201:L201"/>
    <mergeCell ref="F202:G202"/>
    <mergeCell ref="H202:L202"/>
    <mergeCell ref="F203:G203"/>
    <mergeCell ref="H203:L203"/>
    <mergeCell ref="C196:D196"/>
    <mergeCell ref="E196:I196"/>
    <mergeCell ref="C197:D197"/>
    <mergeCell ref="E197:I197"/>
    <mergeCell ref="E198:I198"/>
    <mergeCell ref="J198:L198"/>
    <mergeCell ref="D191:G191"/>
    <mergeCell ref="N92:R93"/>
    <mergeCell ref="N94:N95"/>
    <mergeCell ref="O94:R95"/>
    <mergeCell ref="N96:N97"/>
    <mergeCell ref="O96:R97"/>
    <mergeCell ref="C99:C103"/>
    <mergeCell ref="D99:H100"/>
    <mergeCell ref="I99:J100"/>
    <mergeCell ref="K99:M100"/>
    <mergeCell ref="N99:R100"/>
    <mergeCell ref="C195:D195"/>
    <mergeCell ref="E195:I195"/>
    <mergeCell ref="D190:G190"/>
    <mergeCell ref="I190:L190"/>
    <mergeCell ref="H114:N114"/>
    <mergeCell ref="O114:R114"/>
    <mergeCell ref="O135:R136"/>
    <mergeCell ref="B191:C191"/>
    <mergeCell ref="C194:D194"/>
    <mergeCell ref="E194:I194"/>
    <mergeCell ref="C72:I72"/>
    <mergeCell ref="J72:O72"/>
    <mergeCell ref="C73:I73"/>
    <mergeCell ref="J73:L73"/>
    <mergeCell ref="M73:O73"/>
    <mergeCell ref="C67:D67"/>
    <mergeCell ref="E67:G67"/>
    <mergeCell ref="C77:I77"/>
    <mergeCell ref="J77:L77"/>
    <mergeCell ref="C76:I76"/>
    <mergeCell ref="J74:L74"/>
    <mergeCell ref="M74:O74"/>
    <mergeCell ref="B190:C190"/>
    <mergeCell ref="E68:G68"/>
    <mergeCell ref="E69:G69"/>
    <mergeCell ref="H69:M69"/>
    <mergeCell ref="H68:M68"/>
    <mergeCell ref="C92:C97"/>
    <mergeCell ref="D92:H93"/>
    <mergeCell ref="C78:I78"/>
    <mergeCell ref="J78:L78"/>
    <mergeCell ref="F13:H14"/>
    <mergeCell ref="I13:I14"/>
    <mergeCell ref="J13:N14"/>
    <mergeCell ref="O13:X14"/>
    <mergeCell ref="K44:N44"/>
    <mergeCell ref="C39:D39"/>
    <mergeCell ref="E39:G39"/>
    <mergeCell ref="C40:D40"/>
    <mergeCell ref="E40:G40"/>
    <mergeCell ref="C44:D44"/>
    <mergeCell ref="C43:O43"/>
    <mergeCell ref="K39:K40"/>
    <mergeCell ref="L39:N40"/>
    <mergeCell ref="O39:O40"/>
    <mergeCell ref="I39:J40"/>
    <mergeCell ref="P39:R40"/>
    <mergeCell ref="U39:W40"/>
    <mergeCell ref="I44:J44"/>
    <mergeCell ref="E44:G44"/>
    <mergeCell ref="C19:E20"/>
    <mergeCell ref="C21:E22"/>
    <mergeCell ref="C24:K25"/>
    <mergeCell ref="F19:H20"/>
    <mergeCell ref="I19:N20"/>
    <mergeCell ref="F9:H10"/>
    <mergeCell ref="O9:X10"/>
    <mergeCell ref="I9:N10"/>
    <mergeCell ref="C11:E12"/>
    <mergeCell ref="C13:E14"/>
    <mergeCell ref="C9:E10"/>
    <mergeCell ref="C17:E18"/>
    <mergeCell ref="C1:F4"/>
    <mergeCell ref="G1:Y2"/>
    <mergeCell ref="G3:I4"/>
    <mergeCell ref="J3:L4"/>
    <mergeCell ref="N3:P4"/>
    <mergeCell ref="Q3:S4"/>
    <mergeCell ref="F8:H8"/>
    <mergeCell ref="T7:V7"/>
    <mergeCell ref="X7:Y7"/>
    <mergeCell ref="C8:E8"/>
    <mergeCell ref="O11:X12"/>
    <mergeCell ref="F11:H12"/>
    <mergeCell ref="I11:I12"/>
    <mergeCell ref="J11:N12"/>
    <mergeCell ref="F17:H18"/>
    <mergeCell ref="O17:X18"/>
    <mergeCell ref="I17:N18"/>
    <mergeCell ref="O19:X20"/>
    <mergeCell ref="F21:H22"/>
    <mergeCell ref="I21:N22"/>
    <mergeCell ref="O21:X22"/>
    <mergeCell ref="F26:H27"/>
    <mergeCell ref="I26:R27"/>
    <mergeCell ref="C27:E28"/>
    <mergeCell ref="F28:H29"/>
    <mergeCell ref="C75:I75"/>
    <mergeCell ref="J75:L75"/>
    <mergeCell ref="M75:O75"/>
    <mergeCell ref="P75:X75"/>
    <mergeCell ref="X56:X57"/>
    <mergeCell ref="V58:W59"/>
    <mergeCell ref="X58:X59"/>
    <mergeCell ref="X54:X55"/>
    <mergeCell ref="V62:W63"/>
    <mergeCell ref="C48:O50"/>
    <mergeCell ref="Q48:U48"/>
    <mergeCell ref="K34:L35"/>
    <mergeCell ref="B31:AA31"/>
    <mergeCell ref="C47:O47"/>
    <mergeCell ref="AA39:AA40"/>
    <mergeCell ref="P44:U44"/>
    <mergeCell ref="V56:W57"/>
    <mergeCell ref="H54:U55"/>
    <mergeCell ref="H56:U57"/>
    <mergeCell ref="X39:Z40"/>
    <mergeCell ref="C34:D34"/>
    <mergeCell ref="E34:G34"/>
    <mergeCell ref="C35:D35"/>
    <mergeCell ref="E35:G35"/>
    <mergeCell ref="I34:J35"/>
    <mergeCell ref="V54:W55"/>
    <mergeCell ref="C38:O38"/>
    <mergeCell ref="H58:U59"/>
    <mergeCell ref="C79:I79"/>
    <mergeCell ref="J79:L79"/>
    <mergeCell ref="M79:O79"/>
    <mergeCell ref="C80:I80"/>
    <mergeCell ref="J80:L80"/>
    <mergeCell ref="M80:O80"/>
    <mergeCell ref="M77:O77"/>
    <mergeCell ref="P81:R82"/>
    <mergeCell ref="D82:I84"/>
    <mergeCell ref="P83:R83"/>
    <mergeCell ref="C81:D81"/>
    <mergeCell ref="S83:X83"/>
    <mergeCell ref="P84:X84"/>
    <mergeCell ref="AC112:AC113"/>
    <mergeCell ref="F113:I113"/>
    <mergeCell ref="J113:L113"/>
    <mergeCell ref="D111:E111"/>
    <mergeCell ref="F111:H111"/>
    <mergeCell ref="M111:N111"/>
    <mergeCell ref="S111:U111"/>
    <mergeCell ref="V111:Z111"/>
    <mergeCell ref="C112:F112"/>
    <mergeCell ref="G112:I112"/>
    <mergeCell ref="S103:W103"/>
    <mergeCell ref="P85:R86"/>
    <mergeCell ref="P87:R87"/>
    <mergeCell ref="J81:L84"/>
    <mergeCell ref="M81:O84"/>
    <mergeCell ref="F90:H90"/>
    <mergeCell ref="C91:F91"/>
    <mergeCell ref="G91:I91"/>
    <mergeCell ref="AC91:AC92"/>
    <mergeCell ref="S99:W100"/>
    <mergeCell ref="D101:H102"/>
    <mergeCell ref="I92:J93"/>
    <mergeCell ref="K92:M93"/>
    <mergeCell ref="D94:H96"/>
    <mergeCell ref="I94:J97"/>
    <mergeCell ref="H116:N116"/>
    <mergeCell ref="O116:R116"/>
    <mergeCell ref="U116:Z116"/>
    <mergeCell ref="M117:P117"/>
    <mergeCell ref="H118:N118"/>
    <mergeCell ref="O118:P118"/>
    <mergeCell ref="R118:S118"/>
    <mergeCell ref="U118:Z118"/>
    <mergeCell ref="K94:M95"/>
    <mergeCell ref="K96:M97"/>
    <mergeCell ref="D97:H97"/>
    <mergeCell ref="N101:N102"/>
    <mergeCell ref="U114:Z114"/>
    <mergeCell ref="H115:N115"/>
    <mergeCell ref="O115:R115"/>
    <mergeCell ref="U115:Z115"/>
    <mergeCell ref="I101:J103"/>
    <mergeCell ref="K101:M102"/>
    <mergeCell ref="O101:R102"/>
    <mergeCell ref="S101:S102"/>
    <mergeCell ref="T101:W102"/>
    <mergeCell ref="D103:H103"/>
    <mergeCell ref="K103:M103"/>
    <mergeCell ref="N103:R103"/>
    <mergeCell ref="S123:U123"/>
    <mergeCell ref="H124:N124"/>
    <mergeCell ref="O124:R124"/>
    <mergeCell ref="S124:U124"/>
    <mergeCell ref="H125:N125"/>
    <mergeCell ref="O125:R125"/>
    <mergeCell ref="S125:U125"/>
    <mergeCell ref="U120:Z120"/>
    <mergeCell ref="H121:N121"/>
    <mergeCell ref="O121:R121"/>
    <mergeCell ref="U121:Z121"/>
    <mergeCell ref="H120:N120"/>
    <mergeCell ref="O120:R120"/>
    <mergeCell ref="O128:R128"/>
    <mergeCell ref="AD131:AE131"/>
    <mergeCell ref="AD129:AE129"/>
    <mergeCell ref="O130:R130"/>
    <mergeCell ref="U130:Z130"/>
    <mergeCell ref="AD130:AE130"/>
    <mergeCell ref="G132:S132"/>
    <mergeCell ref="G133:H134"/>
    <mergeCell ref="I133:N133"/>
    <mergeCell ref="O133:R134"/>
    <mergeCell ref="S133:S134"/>
    <mergeCell ref="H130:N130"/>
    <mergeCell ref="H129:N129"/>
    <mergeCell ref="O129:R129"/>
    <mergeCell ref="H164:L164"/>
    <mergeCell ref="B151:AA151"/>
    <mergeCell ref="E158:O158"/>
    <mergeCell ref="E159:E160"/>
    <mergeCell ref="F159:J159"/>
    <mergeCell ref="K159:O159"/>
    <mergeCell ref="F160:J160"/>
    <mergeCell ref="K160:O160"/>
    <mergeCell ref="O153:T153"/>
    <mergeCell ref="T159:U159"/>
    <mergeCell ref="I155:M155"/>
    <mergeCell ref="E153:H155"/>
    <mergeCell ref="I153:M154"/>
    <mergeCell ref="O154:P154"/>
    <mergeCell ref="Q154:S154"/>
    <mergeCell ref="T160:U160"/>
    <mergeCell ref="E161:J161"/>
    <mergeCell ref="K161:O161"/>
    <mergeCell ref="K145:K146"/>
    <mergeCell ref="N145:N146"/>
    <mergeCell ref="Q145:Q146"/>
    <mergeCell ref="U145:V145"/>
    <mergeCell ref="L146:M146"/>
    <mergeCell ref="O146:P146"/>
    <mergeCell ref="L147:M147"/>
    <mergeCell ref="O147:P147"/>
    <mergeCell ref="H149:N149"/>
    <mergeCell ref="O149:R149"/>
    <mergeCell ref="L170:N170"/>
    <mergeCell ref="Q170:T170"/>
    <mergeCell ref="D184:E184"/>
    <mergeCell ref="C183:E183"/>
    <mergeCell ref="M171:N171"/>
    <mergeCell ref="S171:T171"/>
    <mergeCell ref="E181:F181"/>
    <mergeCell ref="G181:L181"/>
    <mergeCell ref="S181:T181"/>
    <mergeCell ref="Q173:S173"/>
    <mergeCell ref="R174:S174"/>
    <mergeCell ref="C179:F179"/>
    <mergeCell ref="E180:F180"/>
    <mergeCell ref="G180:L180"/>
    <mergeCell ref="S180:T180"/>
    <mergeCell ref="E244:J244"/>
    <mergeCell ref="B244:D244"/>
    <mergeCell ref="H60:U61"/>
    <mergeCell ref="V60:W61"/>
    <mergeCell ref="X60:AC61"/>
    <mergeCell ref="M164:N164"/>
    <mergeCell ref="AE183:AF184"/>
    <mergeCell ref="W147:AA147"/>
    <mergeCell ref="I137:N137"/>
    <mergeCell ref="I136:N136"/>
    <mergeCell ref="I135:N135"/>
    <mergeCell ref="I134:N134"/>
    <mergeCell ref="U181:Z181"/>
    <mergeCell ref="U180:Z180"/>
    <mergeCell ref="U171:Z171"/>
    <mergeCell ref="U149:Z149"/>
    <mergeCell ref="P164:U164"/>
    <mergeCell ref="O155:P155"/>
    <mergeCell ref="Q155:S155"/>
    <mergeCell ref="E171:F171"/>
    <mergeCell ref="B243:D243"/>
    <mergeCell ref="I171:J171"/>
    <mergeCell ref="C170:F170"/>
    <mergeCell ref="H170:J170"/>
    <mergeCell ref="AD60:AF61"/>
    <mergeCell ref="M165:N165"/>
    <mergeCell ref="P165:U165"/>
    <mergeCell ref="AE139:AE140"/>
    <mergeCell ref="T158:U158"/>
    <mergeCell ref="Q158:S158"/>
    <mergeCell ref="Q159:S159"/>
    <mergeCell ref="Q160:S160"/>
    <mergeCell ref="V158:AA158"/>
    <mergeCell ref="V159:AA159"/>
    <mergeCell ref="V160:AA160"/>
    <mergeCell ref="U144:V144"/>
    <mergeCell ref="U143:V143"/>
    <mergeCell ref="S135:S136"/>
    <mergeCell ref="O137:R137"/>
    <mergeCell ref="H139:N139"/>
    <mergeCell ref="O139:R139"/>
    <mergeCell ref="U139:Z139"/>
    <mergeCell ref="F141:I141"/>
    <mergeCell ref="J141:L141"/>
    <mergeCell ref="H126:N126"/>
    <mergeCell ref="O126:R126"/>
    <mergeCell ref="U126:Z126"/>
    <mergeCell ref="H128:N128"/>
  </mergeCells>
  <dataValidations count="6">
    <dataValidation type="list" allowBlank="1" showInputMessage="1" showErrorMessage="1" sqref="J72:O72" xr:uid="{085B4DBA-5CF9-4829-A498-52FBF4F06D5F}">
      <formula1>$AC$72:$AD$72</formula1>
    </dataValidation>
    <dataValidation type="list" allowBlank="1" showInputMessage="1" showErrorMessage="1" sqref="G112:I112" xr:uid="{26C2D47B-39F4-43F1-9FDB-BE88B518D5AB}">
      <formula1>$AD$112:$AD$113</formula1>
    </dataValidation>
    <dataValidation type="list" allowBlank="1" showInputMessage="1" showErrorMessage="1" sqref="M80:O80" xr:uid="{46D9BFFB-766A-491E-8840-FABD452081F7}">
      <formula1>$AD$84:$AF$84</formula1>
    </dataValidation>
    <dataValidation type="list" allowBlank="1" showInputMessage="1" showErrorMessage="1" sqref="AE141:AE149" xr:uid="{F6F606DE-A8ED-4CAB-84C8-120A9529682B}">
      <formula1>$AC$157:$AC$158</formula1>
    </dataValidation>
    <dataValidation type="list" allowBlank="1" showInputMessage="1" showErrorMessage="1" sqref="C27" xr:uid="{F3AE8F1F-8B9D-4A5F-A016-15EAD0C8CA53}">
      <formula1>$AC$27:$AC$28</formula1>
    </dataValidation>
    <dataValidation type="list" allowBlank="1" showInputMessage="1" showErrorMessage="1" sqref="G91:I91" xr:uid="{654B0F37-7757-4BAF-A715-26A97F5ECD99}">
      <formula1>$AD$90:$AD$92</formula1>
    </dataValidation>
  </dataValidations>
  <pageMargins left="0.45" right="0.7" top="0.5" bottom="0.5" header="0.3" footer="0.3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186</xdr:row>
                    <xdr:rowOff>38100</xdr:rowOff>
                  </from>
                  <to>
                    <xdr:col>10</xdr:col>
                    <xdr:colOff>9525</xdr:colOff>
                    <xdr:row>187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9572A2-77FF-4924-B450-4A7FE467D243}">
          <x14:formula1>
            <xm:f>Outils!$D$9:$D$10</xm:f>
          </x14:formula1>
          <xm:sqref>I13:I14</xm:sqref>
        </x14:dataValidation>
        <x14:dataValidation type="list" allowBlank="1" showInputMessage="1" showErrorMessage="1" xr:uid="{2A243B6E-91AE-41D2-B060-A57218D8DF64}">
          <x14:formula1>
            <xm:f>Outils!$C$9:$C$10</xm:f>
          </x14:formula1>
          <xm:sqref>I11:I12 N94:N97 N101:N102 S101:S102 I107:I108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281"/>
  <sheetViews>
    <sheetView topLeftCell="A264" zoomScaleNormal="100" workbookViewId="0">
      <selection activeCell="D301" sqref="D301"/>
    </sheetView>
  </sheetViews>
  <sheetFormatPr baseColWidth="10" defaultColWidth="6" defaultRowHeight="15" outlineLevelRow="1"/>
  <cols>
    <col min="3" max="4" width="7.42578125" customWidth="1"/>
    <col min="6" max="7" width="7.5703125" customWidth="1"/>
    <col min="9" max="9" width="8.5703125" bestFit="1" customWidth="1"/>
    <col min="14" max="14" width="8.5703125" bestFit="1" customWidth="1"/>
    <col min="20" max="20" width="8.28515625" bestFit="1" customWidth="1"/>
    <col min="21" max="21" width="9.140625" bestFit="1" customWidth="1"/>
    <col min="22" max="22" width="6.28515625" customWidth="1"/>
    <col min="23" max="23" width="7.140625" bestFit="1" customWidth="1"/>
    <col min="28" max="28" width="1.28515625" style="328" customWidth="1"/>
    <col min="29" max="30" width="16.140625" style="14" customWidth="1"/>
    <col min="31" max="31" width="9.5703125" style="14" bestFit="1" customWidth="1"/>
    <col min="32" max="32" width="6.5703125" style="14" bestFit="1" customWidth="1"/>
    <col min="33" max="33" width="9.5703125" style="14" bestFit="1" customWidth="1"/>
    <col min="34" max="34" width="8.5703125" bestFit="1" customWidth="1"/>
  </cols>
  <sheetData>
    <row r="1" spans="1:66" s="16" customFormat="1" ht="17.25" customHeight="1">
      <c r="C1" s="549" t="s">
        <v>132</v>
      </c>
      <c r="D1" s="549"/>
      <c r="E1" s="549"/>
      <c r="F1" s="549"/>
      <c r="G1" s="537" t="s">
        <v>133</v>
      </c>
      <c r="H1" s="537"/>
      <c r="I1" s="537"/>
      <c r="J1" s="537"/>
      <c r="K1" s="537"/>
      <c r="L1" s="537"/>
      <c r="M1" s="537"/>
      <c r="N1" s="537"/>
      <c r="O1" s="537"/>
      <c r="P1" s="537"/>
      <c r="Q1" s="537"/>
      <c r="R1" s="537"/>
      <c r="S1" s="537"/>
      <c r="T1" s="537"/>
      <c r="U1" s="537"/>
      <c r="V1" s="537"/>
      <c r="W1" s="537"/>
      <c r="X1" s="537"/>
      <c r="Y1" s="537"/>
      <c r="AB1" s="324"/>
      <c r="AC1" s="14"/>
      <c r="AD1" s="14"/>
      <c r="AE1" s="14"/>
      <c r="AF1" s="14"/>
      <c r="AG1" s="14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17.25" customHeight="1">
      <c r="C2" s="549"/>
      <c r="D2" s="549"/>
      <c r="E2" s="549"/>
      <c r="F2" s="549"/>
      <c r="G2" s="537"/>
      <c r="H2" s="537"/>
      <c r="I2" s="537"/>
      <c r="J2" s="537"/>
      <c r="K2" s="537"/>
      <c r="L2" s="537"/>
      <c r="M2" s="537"/>
      <c r="N2" s="537"/>
      <c r="O2" s="537"/>
      <c r="P2" s="537"/>
      <c r="Q2" s="537"/>
      <c r="R2" s="537"/>
      <c r="S2" s="537"/>
      <c r="T2" s="537"/>
      <c r="U2" s="537"/>
      <c r="V2" s="537"/>
      <c r="W2" s="537"/>
      <c r="X2" s="537"/>
      <c r="Y2" s="537"/>
      <c r="AB2" s="324"/>
      <c r="AC2" s="14"/>
      <c r="AD2" s="14"/>
      <c r="AE2" s="14"/>
      <c r="AF2" s="14"/>
      <c r="AG2" s="14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17.25" customHeight="1">
      <c r="C3" s="549"/>
      <c r="D3" s="549"/>
      <c r="E3" s="549"/>
      <c r="F3" s="549"/>
      <c r="G3" s="546" t="s">
        <v>137</v>
      </c>
      <c r="H3" s="546"/>
      <c r="I3" s="546"/>
      <c r="J3" s="547" t="s">
        <v>136</v>
      </c>
      <c r="K3" s="547"/>
      <c r="L3" s="547"/>
      <c r="N3" s="561" t="s">
        <v>227</v>
      </c>
      <c r="O3" s="561"/>
      <c r="P3" s="561"/>
      <c r="Q3" s="513" t="s">
        <v>192</v>
      </c>
      <c r="R3" s="513"/>
      <c r="S3" s="513"/>
      <c r="AB3" s="324"/>
      <c r="AC3" s="14"/>
      <c r="AD3" s="14"/>
      <c r="AE3" s="14"/>
      <c r="AF3" s="14"/>
      <c r="AG3" s="14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17.25" customHeight="1">
      <c r="C4" s="549"/>
      <c r="D4" s="549"/>
      <c r="E4" s="549"/>
      <c r="F4" s="549"/>
      <c r="G4" s="429"/>
      <c r="H4" s="429"/>
      <c r="I4" s="429"/>
      <c r="J4" s="548"/>
      <c r="K4" s="548"/>
      <c r="L4" s="548"/>
      <c r="N4" s="561"/>
      <c r="O4" s="561"/>
      <c r="P4" s="561"/>
      <c r="Q4" s="513"/>
      <c r="R4" s="513"/>
      <c r="S4" s="513"/>
      <c r="AB4" s="324"/>
      <c r="AC4" s="14"/>
      <c r="AD4" s="14"/>
      <c r="AE4" s="14"/>
      <c r="AF4" s="14"/>
      <c r="AG4" s="1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 thickBot="1">
      <c r="C5" s="59"/>
      <c r="D5" s="59"/>
      <c r="E5" s="59"/>
      <c r="F5" s="59"/>
      <c r="G5" s="59"/>
      <c r="AB5" s="324"/>
      <c r="AC5" s="14"/>
      <c r="AD5" s="14"/>
      <c r="AE5" s="14"/>
      <c r="AF5" s="14"/>
      <c r="AG5" s="14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s="16" customFormat="1" ht="17.25" customHeight="1" thickBot="1">
      <c r="B6" s="249" t="s">
        <v>259</v>
      </c>
      <c r="C6" s="250"/>
      <c r="D6" s="250"/>
      <c r="E6" s="250"/>
      <c r="F6" s="250"/>
      <c r="G6" s="250"/>
      <c r="H6" s="250"/>
      <c r="I6" s="250"/>
      <c r="J6" s="250"/>
      <c r="K6" s="250"/>
      <c r="L6" s="94" t="str">
        <f>dateDecimale2txt(dateConvert2Decimal(F7),0)</f>
        <v>2025/06/30</v>
      </c>
      <c r="M6" s="310"/>
      <c r="N6" s="26" t="s">
        <v>317</v>
      </c>
      <c r="O6" s="26"/>
      <c r="P6" s="26"/>
      <c r="Q6" s="26"/>
      <c r="R6" s="26"/>
      <c r="S6" s="26" t="s">
        <v>318</v>
      </c>
      <c r="T6" s="508">
        <f>dateConvert2Decimal(F7)</f>
        <v>1751241600</v>
      </c>
      <c r="U6" s="508"/>
      <c r="V6" s="508"/>
      <c r="W6" s="26" t="s">
        <v>319</v>
      </c>
      <c r="X6" s="470">
        <f>(T6/86400)+DATE(1970,1,1)</f>
        <v>45838</v>
      </c>
      <c r="Y6" s="470"/>
      <c r="Z6" s="26" t="s">
        <v>320</v>
      </c>
      <c r="AA6" s="247">
        <f>INT(MONTH(X6))</f>
        <v>6</v>
      </c>
      <c r="AB6" s="325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 s="24"/>
    </row>
    <row r="7" spans="1:66" s="16" customFormat="1" ht="17.25" customHeight="1" thickBot="1">
      <c r="C7" s="946" t="s">
        <v>1</v>
      </c>
      <c r="D7" s="947"/>
      <c r="E7" s="947"/>
      <c r="F7" s="529" t="s">
        <v>228</v>
      </c>
      <c r="G7" s="530"/>
      <c r="H7" s="530"/>
      <c r="L7"/>
      <c r="M7"/>
      <c r="N7"/>
      <c r="O7"/>
      <c r="AB7" s="326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2" customHeight="1" thickTop="1" thickBot="1">
      <c r="C8" s="938" t="s">
        <v>251</v>
      </c>
      <c r="D8" s="939"/>
      <c r="E8" s="940"/>
      <c r="F8" s="573">
        <f>heureConvert2Decimal(I8)</f>
        <v>10.343055555555557</v>
      </c>
      <c r="G8" s="574"/>
      <c r="H8" s="574"/>
      <c r="I8" s="899" t="s">
        <v>545</v>
      </c>
      <c r="J8" s="679"/>
      <c r="K8" s="679"/>
      <c r="L8" s="679"/>
      <c r="M8" s="679"/>
      <c r="N8" s="900"/>
      <c r="O8" s="493" t="str">
        <f>heureDecimal2Txt(F8)</f>
        <v>10:20:35.00(10.3430)</v>
      </c>
      <c r="P8" s="493"/>
      <c r="Q8" s="493"/>
      <c r="R8" s="493"/>
      <c r="S8" s="493"/>
      <c r="T8" s="493"/>
      <c r="U8" s="493"/>
      <c r="V8" s="493"/>
      <c r="W8" s="493"/>
      <c r="X8" s="493"/>
      <c r="Y8" s="14"/>
      <c r="Z8" s="14"/>
      <c r="AB8" s="324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 thickTop="1" thickBot="1">
      <c r="C9" s="941"/>
      <c r="D9" s="942"/>
      <c r="E9" s="943"/>
      <c r="F9" s="574"/>
      <c r="G9" s="574"/>
      <c r="H9" s="574"/>
      <c r="I9" s="901"/>
      <c r="J9" s="445"/>
      <c r="K9" s="445"/>
      <c r="L9" s="445"/>
      <c r="M9" s="445"/>
      <c r="N9" s="902"/>
      <c r="O9" s="493"/>
      <c r="P9" s="493"/>
      <c r="Q9" s="493"/>
      <c r="R9" s="493"/>
      <c r="S9" s="493"/>
      <c r="T9" s="493"/>
      <c r="U9" s="493"/>
      <c r="V9" s="493"/>
      <c r="W9" s="493"/>
      <c r="X9" s="493"/>
      <c r="Y9" s="14"/>
      <c r="Z9" s="14"/>
      <c r="AB9" s="324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Top="1" thickBot="1">
      <c r="A10"/>
      <c r="B10"/>
      <c r="C10" s="933" t="s">
        <v>7</v>
      </c>
      <c r="D10" s="824"/>
      <c r="E10" s="934"/>
      <c r="F10" s="573">
        <f>AD11</f>
        <v>46.1</v>
      </c>
      <c r="G10" s="574"/>
      <c r="H10" s="574"/>
      <c r="I10" s="455" t="s">
        <v>3</v>
      </c>
      <c r="J10" s="558" t="s">
        <v>269</v>
      </c>
      <c r="K10" s="455"/>
      <c r="L10" s="455"/>
      <c r="M10" s="455"/>
      <c r="N10" s="455"/>
      <c r="O10" s="493" t="str" cm="1">
        <f t="array" ref="O10">latitudeDecimal2Txt(F10)</f>
        <v>N 46°06.00 (N 46.1000) [N 46°06'00.00]</v>
      </c>
      <c r="P10" s="493"/>
      <c r="Q10" s="493"/>
      <c r="R10" s="493"/>
      <c r="S10" s="493"/>
      <c r="T10" s="493"/>
      <c r="U10" s="493"/>
      <c r="V10" s="493"/>
      <c r="W10" s="493"/>
      <c r="X10" s="493"/>
      <c r="AB10" s="326"/>
      <c r="AC10" s="117" t="s">
        <v>168</v>
      </c>
      <c r="AD10" s="3">
        <f>VLOOKUP(I10,Outils!$C$9:$E$10,3)</f>
        <v>1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31"/>
    </row>
    <row r="11" spans="1:66" s="16" customFormat="1" ht="12" customHeight="1" thickTop="1" thickBot="1">
      <c r="C11" s="935"/>
      <c r="D11" s="936"/>
      <c r="E11" s="937"/>
      <c r="F11" s="574"/>
      <c r="G11" s="574"/>
      <c r="H11" s="574"/>
      <c r="I11" s="455"/>
      <c r="J11" s="455"/>
      <c r="K11" s="455"/>
      <c r="L11" s="455"/>
      <c r="M11" s="455"/>
      <c r="N11" s="455"/>
      <c r="O11" s="493"/>
      <c r="P11" s="493"/>
      <c r="Q11" s="493"/>
      <c r="R11" s="493"/>
      <c r="S11" s="493"/>
      <c r="T11" s="493"/>
      <c r="U11" s="493"/>
      <c r="V11" s="493"/>
      <c r="W11" s="493"/>
      <c r="X11" s="493"/>
      <c r="AB11" s="326"/>
      <c r="AC11" s="117" t="s">
        <v>169</v>
      </c>
      <c r="AD11" s="3" cm="1">
        <f t="array" ref="AD11">angleConvert2Decimal(J10)*AD10</f>
        <v>46.1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C12" s="938" t="s">
        <v>8</v>
      </c>
      <c r="D12" s="939"/>
      <c r="E12" s="940"/>
      <c r="F12" s="573">
        <f>AD13</f>
        <v>-5</v>
      </c>
      <c r="G12" s="574"/>
      <c r="H12" s="574"/>
      <c r="I12" s="954" t="s">
        <v>6</v>
      </c>
      <c r="J12" s="558">
        <v>5</v>
      </c>
      <c r="K12" s="455"/>
      <c r="L12" s="455"/>
      <c r="M12" s="455"/>
      <c r="N12" s="455"/>
      <c r="O12" s="493" t="str" cm="1">
        <f t="array" ref="O12">longitudeDecimal2Txt(F12)</f>
        <v>W 05°00.00 (W 05.0000) [W 05°00'00.00]</v>
      </c>
      <c r="P12" s="493"/>
      <c r="Q12" s="493"/>
      <c r="R12" s="493"/>
      <c r="S12" s="493"/>
      <c r="T12" s="493"/>
      <c r="U12" s="493"/>
      <c r="V12" s="493"/>
      <c r="W12" s="493"/>
      <c r="X12" s="493"/>
      <c r="AB12" s="324"/>
      <c r="AC12" s="117" t="s">
        <v>170</v>
      </c>
      <c r="AD12" s="3">
        <f>VLOOKUP(I12,Outils!$D$9:$E$10,2)</f>
        <v>-1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 thickBot="1">
      <c r="A13"/>
      <c r="B13"/>
      <c r="C13" s="941"/>
      <c r="D13" s="942"/>
      <c r="E13" s="943"/>
      <c r="F13" s="574"/>
      <c r="G13" s="574"/>
      <c r="H13" s="574"/>
      <c r="I13" s="670"/>
      <c r="J13" s="455"/>
      <c r="K13" s="455"/>
      <c r="L13" s="455"/>
      <c r="M13" s="455"/>
      <c r="N13" s="455"/>
      <c r="O13" s="493"/>
      <c r="P13" s="493"/>
      <c r="Q13" s="493"/>
      <c r="R13" s="493"/>
      <c r="S13" s="493"/>
      <c r="T13" s="493"/>
      <c r="U13" s="493"/>
      <c r="V13" s="493"/>
      <c r="W13" s="493"/>
      <c r="X13" s="493"/>
      <c r="AB13" s="324"/>
      <c r="AC13" s="117" t="s">
        <v>171</v>
      </c>
      <c r="AD13" s="3" cm="1">
        <f t="array" ref="AD13">angleConvert2Decimal(J12)*AD12</f>
        <v>-5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Top="1" thickBot="1">
      <c r="C14" s="14"/>
      <c r="D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AB14" s="32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7.25" customHeight="1" thickBot="1">
      <c r="B15" s="25" t="s">
        <v>260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85"/>
      <c r="AB15" s="32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1:66" ht="12.75" customHeight="1" thickBot="1">
      <c r="C16" s="944" t="s">
        <v>630</v>
      </c>
      <c r="D16" s="945"/>
      <c r="E16" s="945"/>
      <c r="F16" s="948" cm="1">
        <f t="array" ref="F16">angleConvert2Decimal(I16)</f>
        <v>21</v>
      </c>
      <c r="G16" s="949"/>
      <c r="H16" s="949"/>
      <c r="I16" s="952">
        <v>21</v>
      </c>
      <c r="J16" s="953"/>
      <c r="K16" s="953"/>
      <c r="L16" s="953"/>
      <c r="M16" s="953"/>
      <c r="N16" s="953"/>
      <c r="O16" s="951" t="str" cm="1">
        <f t="array" ref="O16">angleDecimal2Txt(F16)</f>
        <v>+21°00.00 (+21.0000) [+21°00'00.00]</v>
      </c>
      <c r="P16" s="951"/>
      <c r="Q16" s="951"/>
      <c r="R16" s="951"/>
      <c r="S16" s="951"/>
      <c r="T16" s="951"/>
      <c r="U16" s="951"/>
      <c r="V16" s="951"/>
      <c r="W16" s="951"/>
      <c r="X16" s="951"/>
      <c r="AB16" s="327"/>
      <c r="AC16"/>
      <c r="AD16"/>
      <c r="AE16"/>
      <c r="AF16"/>
      <c r="AG16"/>
    </row>
    <row r="17" spans="2:33" ht="12.75" customHeight="1" thickTop="1" thickBot="1">
      <c r="C17" s="585"/>
      <c r="D17" s="585"/>
      <c r="E17" s="585"/>
      <c r="F17" s="950"/>
      <c r="G17" s="950"/>
      <c r="H17" s="950"/>
      <c r="I17" s="490"/>
      <c r="J17" s="490"/>
      <c r="K17" s="490"/>
      <c r="L17" s="490"/>
      <c r="M17" s="490"/>
      <c r="N17" s="490"/>
      <c r="O17" s="578"/>
      <c r="P17" s="578"/>
      <c r="Q17" s="578"/>
      <c r="R17" s="578"/>
      <c r="S17" s="578"/>
      <c r="T17" s="578"/>
      <c r="U17" s="578"/>
      <c r="V17" s="578"/>
      <c r="W17" s="578"/>
      <c r="X17" s="578"/>
      <c r="AB17" s="327"/>
      <c r="AC17"/>
      <c r="AD17"/>
      <c r="AE17"/>
      <c r="AF17"/>
      <c r="AG17"/>
    </row>
    <row r="18" spans="2:33" ht="12.75" customHeight="1" thickTop="1" thickBot="1">
      <c r="C18" s="826" t="s">
        <v>631</v>
      </c>
      <c r="D18" s="585"/>
      <c r="E18" s="585"/>
      <c r="F18" s="584">
        <f>I18</f>
        <v>5</v>
      </c>
      <c r="G18" s="950"/>
      <c r="H18" s="950"/>
      <c r="I18" s="597">
        <v>5</v>
      </c>
      <c r="J18" s="490"/>
      <c r="K18" s="490"/>
      <c r="L18" s="490"/>
      <c r="M18" s="490"/>
      <c r="N18" s="490"/>
      <c r="O18" s="578"/>
      <c r="P18" s="578"/>
      <c r="Q18" s="578"/>
      <c r="R18" s="578"/>
      <c r="S18" s="578"/>
      <c r="T18" s="578"/>
      <c r="U18" s="578"/>
      <c r="V18" s="578"/>
      <c r="W18" s="578"/>
      <c r="X18" s="578"/>
      <c r="AB18" s="327"/>
      <c r="AC18"/>
      <c r="AD18"/>
      <c r="AE18"/>
      <c r="AF18"/>
      <c r="AG18"/>
    </row>
    <row r="19" spans="2:33" ht="12.75" customHeight="1" thickTop="1" thickBot="1">
      <c r="C19" s="585"/>
      <c r="D19" s="585"/>
      <c r="E19" s="585"/>
      <c r="F19" s="950"/>
      <c r="G19" s="950"/>
      <c r="H19" s="950"/>
      <c r="I19" s="490"/>
      <c r="J19" s="490"/>
      <c r="K19" s="490"/>
      <c r="L19" s="490"/>
      <c r="M19" s="490"/>
      <c r="N19" s="490"/>
      <c r="O19" s="578"/>
      <c r="P19" s="578"/>
      <c r="Q19" s="578"/>
      <c r="R19" s="578"/>
      <c r="S19" s="578"/>
      <c r="T19" s="578"/>
      <c r="U19" s="578"/>
      <c r="V19" s="578"/>
      <c r="W19" s="578"/>
      <c r="X19" s="578"/>
      <c r="AB19" s="327"/>
      <c r="AC19"/>
      <c r="AD19"/>
      <c r="AE19"/>
      <c r="AF19"/>
      <c r="AG19"/>
    </row>
    <row r="20" spans="2:33" ht="12.75" customHeight="1" thickTop="1" thickBot="1">
      <c r="C20" s="972" t="s">
        <v>632</v>
      </c>
      <c r="D20" s="973"/>
      <c r="E20" s="973"/>
      <c r="F20" s="897">
        <f>heureConvert2Decimal(I20)</f>
        <v>12.062777777777779</v>
      </c>
      <c r="G20" s="574"/>
      <c r="H20" s="574"/>
      <c r="I20" s="899" t="s">
        <v>550</v>
      </c>
      <c r="J20" s="679"/>
      <c r="K20" s="679"/>
      <c r="L20" s="679"/>
      <c r="M20" s="679"/>
      <c r="N20" s="900"/>
      <c r="O20" s="493" t="str">
        <f>heureDecimal2Txt(F20)</f>
        <v>12:03:46.00(12.0627)</v>
      </c>
      <c r="P20" s="493"/>
      <c r="Q20" s="493"/>
      <c r="R20" s="493"/>
      <c r="S20" s="493"/>
      <c r="T20" s="493"/>
      <c r="U20" s="493"/>
      <c r="V20" s="493"/>
      <c r="W20" s="493"/>
      <c r="X20" s="493"/>
      <c r="AB20" s="327"/>
      <c r="AC20"/>
      <c r="AD20"/>
      <c r="AE20"/>
      <c r="AF20"/>
      <c r="AG20"/>
    </row>
    <row r="21" spans="2:33" ht="12.75" customHeight="1" thickTop="1" thickBot="1">
      <c r="C21" s="973"/>
      <c r="D21" s="973"/>
      <c r="E21" s="973"/>
      <c r="F21" s="898"/>
      <c r="G21" s="574"/>
      <c r="H21" s="574"/>
      <c r="I21" s="901"/>
      <c r="J21" s="445"/>
      <c r="K21" s="445"/>
      <c r="L21" s="445"/>
      <c r="M21" s="445"/>
      <c r="N21" s="902"/>
      <c r="O21" s="493"/>
      <c r="P21" s="493"/>
      <c r="Q21" s="493"/>
      <c r="R21" s="493"/>
      <c r="S21" s="493"/>
      <c r="T21" s="493"/>
      <c r="U21" s="493"/>
      <c r="V21" s="493"/>
      <c r="W21" s="493"/>
      <c r="X21" s="493"/>
      <c r="AB21" s="327"/>
      <c r="AC21"/>
      <c r="AD21"/>
      <c r="AE21"/>
      <c r="AF21"/>
      <c r="AG21"/>
    </row>
    <row r="22" spans="2:33" ht="12.75" customHeight="1" thickTop="1">
      <c r="AB22" s="327"/>
      <c r="AC22"/>
      <c r="AD22"/>
      <c r="AE22"/>
      <c r="AF22"/>
      <c r="AG22"/>
    </row>
    <row r="23" spans="2:33" ht="12.75" customHeight="1">
      <c r="C23" s="974" t="s">
        <v>430</v>
      </c>
      <c r="D23" s="975"/>
      <c r="E23" s="975"/>
      <c r="F23" s="975"/>
      <c r="G23" s="975"/>
      <c r="H23" s="975"/>
      <c r="I23" s="975"/>
      <c r="J23" s="975"/>
      <c r="K23" s="976"/>
      <c r="AB23" s="327"/>
      <c r="AC23"/>
      <c r="AD23"/>
      <c r="AE23"/>
      <c r="AF23"/>
      <c r="AG23"/>
    </row>
    <row r="24" spans="2:33" ht="12.75" customHeight="1" thickBot="1">
      <c r="C24" s="977"/>
      <c r="D24" s="978"/>
      <c r="E24" s="978"/>
      <c r="F24" s="978"/>
      <c r="G24" s="978"/>
      <c r="H24" s="978"/>
      <c r="I24" s="978"/>
      <c r="J24" s="978"/>
      <c r="K24" s="979"/>
      <c r="AB24" s="327"/>
      <c r="AC24"/>
      <c r="AD24"/>
      <c r="AE24"/>
      <c r="AF24"/>
      <c r="AG24"/>
    </row>
    <row r="25" spans="2:33" ht="12.75" customHeight="1" thickTop="1" thickBot="1">
      <c r="C25" s="126"/>
      <c r="D25" s="126"/>
      <c r="E25" s="126"/>
      <c r="F25" s="903">
        <f>IF(C26=AC26,F10,(F10+F27)/2)</f>
        <v>46.138899184437385</v>
      </c>
      <c r="G25" s="904"/>
      <c r="H25" s="904"/>
      <c r="I25" s="907" t="str" cm="1">
        <f t="array" ref="I25">latitudeDecimal2Txt(F25)</f>
        <v>N 46°08.33 (N 46.1388) [N 46°08'20.03]</v>
      </c>
      <c r="J25" s="907"/>
      <c r="K25" s="907"/>
      <c r="L25" s="907"/>
      <c r="M25" s="907"/>
      <c r="N25" s="907"/>
      <c r="O25" s="907"/>
      <c r="P25" s="907"/>
      <c r="Q25" s="907"/>
      <c r="R25" s="907"/>
      <c r="AB25" s="327"/>
      <c r="AC25"/>
      <c r="AD25"/>
      <c r="AE25"/>
      <c r="AF25"/>
      <c r="AG25"/>
    </row>
    <row r="26" spans="2:33" ht="12.75" customHeight="1" thickTop="1" thickBot="1">
      <c r="C26" s="908" t="s">
        <v>608</v>
      </c>
      <c r="D26" s="908"/>
      <c r="E26" s="908"/>
      <c r="F26" s="905"/>
      <c r="G26" s="906"/>
      <c r="H26" s="906"/>
      <c r="I26" s="907"/>
      <c r="J26" s="907"/>
      <c r="K26" s="907"/>
      <c r="L26" s="907"/>
      <c r="M26" s="907"/>
      <c r="N26" s="907"/>
      <c r="O26" s="907"/>
      <c r="P26" s="907"/>
      <c r="Q26" s="907"/>
      <c r="R26" s="907"/>
      <c r="AB26" s="327"/>
      <c r="AC26" s="304" t="s">
        <v>597</v>
      </c>
      <c r="AD26"/>
      <c r="AE26"/>
      <c r="AF26"/>
      <c r="AG26"/>
    </row>
    <row r="27" spans="2:33" ht="12.75" customHeight="1" thickTop="1">
      <c r="C27" s="908"/>
      <c r="D27" s="908"/>
      <c r="E27" s="909"/>
      <c r="F27" s="910">
        <f>F10+SIN((90-F16)*Outils!$F$4)*F18/60</f>
        <v>46.177798368874768</v>
      </c>
      <c r="G27" s="885"/>
      <c r="H27" s="885"/>
      <c r="T27" s="11"/>
      <c r="AB27" s="327"/>
      <c r="AC27" s="304" t="s">
        <v>607</v>
      </c>
      <c r="AD27"/>
      <c r="AE27"/>
      <c r="AF27"/>
      <c r="AG27"/>
    </row>
    <row r="28" spans="2:33" s="126" customFormat="1" ht="12.75" customHeight="1">
      <c r="F28" s="885"/>
      <c r="G28" s="885"/>
      <c r="H28" s="885"/>
      <c r="I28"/>
      <c r="J28"/>
      <c r="K28"/>
      <c r="L28"/>
      <c r="M28"/>
      <c r="N28"/>
      <c r="T28" s="318"/>
      <c r="U28" s="318"/>
      <c r="AB28" s="328"/>
      <c r="AD28"/>
      <c r="AE28" s="14"/>
      <c r="AF28" s="14"/>
      <c r="AG28" s="14"/>
    </row>
    <row r="29" spans="2:33" s="126" customFormat="1" ht="12.75" customHeight="1" thickBot="1">
      <c r="I29"/>
      <c r="J29"/>
      <c r="K29"/>
      <c r="L29"/>
      <c r="M29"/>
      <c r="N29"/>
      <c r="AB29" s="328"/>
      <c r="AD29"/>
      <c r="AE29" s="14"/>
      <c r="AF29" s="14"/>
      <c r="AG29" s="14"/>
    </row>
    <row r="30" spans="2:33" ht="15.75" thickBot="1">
      <c r="B30" s="926" t="s">
        <v>633</v>
      </c>
      <c r="C30" s="927"/>
      <c r="D30" s="927"/>
      <c r="E30" s="927"/>
      <c r="F30" s="927"/>
      <c r="G30" s="927"/>
      <c r="H30" s="927"/>
      <c r="I30" s="927"/>
      <c r="J30" s="927"/>
      <c r="K30" s="927"/>
      <c r="L30" s="927"/>
      <c r="M30" s="927"/>
      <c r="N30" s="927"/>
      <c r="O30" s="927"/>
      <c r="P30" s="927"/>
      <c r="Q30" s="927"/>
      <c r="R30" s="927"/>
      <c r="S30" s="927"/>
      <c r="T30" s="927"/>
      <c r="U30" s="927"/>
      <c r="V30" s="927"/>
      <c r="W30" s="927"/>
      <c r="X30" s="927"/>
      <c r="Y30" s="927"/>
      <c r="Z30" s="927"/>
      <c r="AA30" s="927"/>
      <c r="AB30" s="325"/>
      <c r="AC30"/>
      <c r="AD30"/>
      <c r="AE30"/>
      <c r="AF30"/>
      <c r="AG30"/>
    </row>
    <row r="31" spans="2:33">
      <c r="AB31" s="327"/>
      <c r="AC31"/>
      <c r="AD31"/>
      <c r="AE31"/>
      <c r="AF31"/>
      <c r="AG31"/>
    </row>
    <row r="32" spans="2:33">
      <c r="C32" s="893" t="s">
        <v>261</v>
      </c>
      <c r="D32" s="894"/>
      <c r="E32" s="894"/>
      <c r="F32" s="894"/>
      <c r="G32" s="894"/>
      <c r="H32" s="894"/>
      <c r="I32" s="894"/>
      <c r="J32" s="894"/>
      <c r="K32" s="894"/>
      <c r="L32" s="894"/>
      <c r="M32" s="894"/>
      <c r="N32" s="894"/>
      <c r="O32" s="894"/>
      <c r="P32" s="894"/>
      <c r="Q32" s="894"/>
      <c r="R32" s="1032"/>
      <c r="AB32" s="327"/>
      <c r="AC32"/>
      <c r="AD32"/>
      <c r="AE32"/>
      <c r="AF32"/>
      <c r="AG32"/>
    </row>
    <row r="33" spans="3:28" customFormat="1">
      <c r="C33" s="847" t="s">
        <v>106</v>
      </c>
      <c r="D33" s="847"/>
      <c r="E33" s="847">
        <f>F16</f>
        <v>21</v>
      </c>
      <c r="F33" s="847"/>
      <c r="G33" s="847"/>
      <c r="I33" s="890" t="s">
        <v>262</v>
      </c>
      <c r="J33" s="890"/>
      <c r="K33" s="924" t="b">
        <f>IF(E33&lt;180,TRUE,FALSE)</f>
        <v>1</v>
      </c>
      <c r="L33" s="924"/>
      <c r="N33" s="1033" t="s">
        <v>247</v>
      </c>
      <c r="O33" s="1033"/>
      <c r="P33" s="1034">
        <f>E34*ABS(SIN(Outils!$F$4*E33))*(IF(K33,1,-1))</f>
        <v>1.7918397477265013</v>
      </c>
      <c r="Q33" s="1035"/>
      <c r="R33" s="1038" t="s">
        <v>246</v>
      </c>
      <c r="AB33" s="327"/>
    </row>
    <row r="34" spans="3:28" customFormat="1">
      <c r="C34" s="469" t="s">
        <v>105</v>
      </c>
      <c r="D34" s="469"/>
      <c r="E34" s="469">
        <f>F18</f>
        <v>5</v>
      </c>
      <c r="F34" s="469"/>
      <c r="G34" s="469"/>
      <c r="I34" s="891"/>
      <c r="J34" s="891"/>
      <c r="K34" s="925"/>
      <c r="L34" s="925"/>
      <c r="N34" s="963"/>
      <c r="O34" s="963"/>
      <c r="P34" s="1036"/>
      <c r="Q34" s="1037"/>
      <c r="R34" s="1039"/>
      <c r="AB34" s="327"/>
    </row>
    <row r="35" spans="3:28" customFormat="1">
      <c r="AB35" s="327"/>
    </row>
    <row r="36" spans="3:28" customFormat="1">
      <c r="AB36" s="327"/>
    </row>
    <row r="37" spans="3:28" customFormat="1">
      <c r="C37" s="893" t="s">
        <v>249</v>
      </c>
      <c r="D37" s="894"/>
      <c r="E37" s="894"/>
      <c r="F37" s="894"/>
      <c r="G37" s="894"/>
      <c r="H37" s="894"/>
      <c r="I37" s="894"/>
      <c r="J37" s="894"/>
      <c r="K37" s="895"/>
      <c r="L37" s="895"/>
      <c r="M37" s="895"/>
      <c r="N37" s="895"/>
      <c r="O37" s="896"/>
      <c r="AB37" s="327"/>
    </row>
    <row r="38" spans="3:28" customFormat="1">
      <c r="C38" s="847" t="s">
        <v>239</v>
      </c>
      <c r="D38" s="847"/>
      <c r="E38" s="847">
        <f>F25</f>
        <v>46.138899184437385</v>
      </c>
      <c r="F38" s="847"/>
      <c r="G38" s="847"/>
      <c r="I38" s="962" t="s">
        <v>248</v>
      </c>
      <c r="J38" s="962"/>
      <c r="K38" s="959" t="s">
        <v>74</v>
      </c>
      <c r="L38" s="960">
        <f>$P$33/(60 * COS($E$38*Outils!$F$4))</f>
        <v>4.3099232541779581E-2</v>
      </c>
      <c r="M38" s="960"/>
      <c r="N38" s="960"/>
      <c r="O38" s="961" t="s">
        <v>250</v>
      </c>
      <c r="P38" s="963" t="str">
        <f>IF(K33,"Vers l'Est","Vers l'Ouest")</f>
        <v>Vers l'Est</v>
      </c>
      <c r="Q38" s="963"/>
      <c r="R38" s="963"/>
      <c r="U38" s="964" t="s">
        <v>264</v>
      </c>
      <c r="V38" s="965"/>
      <c r="W38" s="966"/>
      <c r="X38" s="886">
        <f>IF(K33,-1*ABS(L38),ABS(L38))</f>
        <v>-4.3099232541779581E-2</v>
      </c>
      <c r="Y38" s="887"/>
      <c r="Z38" s="887"/>
      <c r="AA38" s="929" t="s">
        <v>250</v>
      </c>
      <c r="AB38" s="327"/>
    </row>
    <row r="39" spans="3:28" customFormat="1">
      <c r="C39" s="469" t="str">
        <f>N33</f>
        <v>VLong.</v>
      </c>
      <c r="D39" s="469"/>
      <c r="E39" s="469">
        <f>P33</f>
        <v>1.7918397477265013</v>
      </c>
      <c r="F39" s="469"/>
      <c r="G39" s="469"/>
      <c r="I39" s="962"/>
      <c r="J39" s="962"/>
      <c r="K39" s="959"/>
      <c r="L39" s="960"/>
      <c r="M39" s="960"/>
      <c r="N39" s="960"/>
      <c r="O39" s="961"/>
      <c r="P39" s="963"/>
      <c r="Q39" s="963"/>
      <c r="R39" s="963"/>
      <c r="U39" s="967"/>
      <c r="V39" s="968"/>
      <c r="W39" s="969"/>
      <c r="X39" s="888"/>
      <c r="Y39" s="889"/>
      <c r="Z39" s="889"/>
      <c r="AA39" s="930"/>
      <c r="AB39" s="327"/>
    </row>
    <row r="40" spans="3:28" customFormat="1">
      <c r="AB40" s="327"/>
    </row>
    <row r="41" spans="3:28" customFormat="1">
      <c r="AB41" s="327"/>
    </row>
    <row r="42" spans="3:28" customFormat="1" ht="18.75" customHeight="1">
      <c r="C42" s="956" t="s">
        <v>611</v>
      </c>
      <c r="D42" s="957"/>
      <c r="E42" s="957"/>
      <c r="F42" s="957"/>
      <c r="G42" s="957"/>
      <c r="H42" s="957"/>
      <c r="I42" s="957"/>
      <c r="J42" s="957"/>
      <c r="K42" s="957"/>
      <c r="L42" s="957"/>
      <c r="M42" s="957"/>
      <c r="N42" s="957"/>
      <c r="O42" s="958"/>
      <c r="AB42" s="327"/>
    </row>
    <row r="43" spans="3:28" customFormat="1" ht="15" customHeight="1">
      <c r="C43" s="847" t="s">
        <v>171</v>
      </c>
      <c r="D43" s="847"/>
      <c r="E43" s="847">
        <f>F12</f>
        <v>-5</v>
      </c>
      <c r="F43" s="847"/>
      <c r="G43" s="847"/>
      <c r="I43" s="970" t="s">
        <v>252</v>
      </c>
      <c r="J43" s="971"/>
      <c r="K43" s="955">
        <f>longitude2LongitudeHoraire(E43)</f>
        <v>5</v>
      </c>
      <c r="L43" s="955"/>
      <c r="M43" s="955"/>
      <c r="N43" s="955"/>
      <c r="O43" s="114" t="s">
        <v>28</v>
      </c>
      <c r="P43" s="931" t="str">
        <f>longitudeDecimal2Txt(E43)</f>
        <v>W 05°00.00 (W 05.0000) [W 05°00'00.00]</v>
      </c>
      <c r="Q43" s="932"/>
      <c r="R43" s="932"/>
      <c r="S43" s="932"/>
      <c r="T43" s="932"/>
      <c r="U43" s="932"/>
      <c r="AB43" s="327"/>
    </row>
    <row r="44" spans="3:28" customFormat="1">
      <c r="AB44" s="327"/>
    </row>
    <row r="45" spans="3:28" customFormat="1">
      <c r="AB45" s="327"/>
    </row>
    <row r="46" spans="3:28" customFormat="1">
      <c r="C46" s="928" t="s">
        <v>253</v>
      </c>
      <c r="D46" s="928"/>
      <c r="E46" s="928"/>
      <c r="F46" s="928"/>
      <c r="G46" s="928"/>
      <c r="H46" s="928"/>
      <c r="I46" s="928"/>
      <c r="J46" s="928"/>
      <c r="K46" s="928"/>
      <c r="L46" s="928"/>
      <c r="M46" s="928"/>
      <c r="N46" s="928"/>
      <c r="O46" s="928"/>
      <c r="AB46" s="327"/>
    </row>
    <row r="47" spans="3:28" customFormat="1" ht="15" customHeight="1" thickBot="1">
      <c r="C47" s="922" t="s">
        <v>263</v>
      </c>
      <c r="D47" s="922"/>
      <c r="E47" s="922"/>
      <c r="F47" s="922"/>
      <c r="G47" s="922"/>
      <c r="H47" s="922"/>
      <c r="I47" s="922"/>
      <c r="J47" s="922"/>
      <c r="K47" s="922"/>
      <c r="L47" s="922"/>
      <c r="M47" s="922"/>
      <c r="N47" s="922"/>
      <c r="O47" s="922"/>
      <c r="P47" s="251" t="s">
        <v>266</v>
      </c>
      <c r="Q47" s="923" t="s">
        <v>265</v>
      </c>
      <c r="R47" s="923"/>
      <c r="S47" s="923"/>
      <c r="T47" s="923"/>
      <c r="U47" s="923"/>
      <c r="V47" s="340">
        <v>15.002000000000001</v>
      </c>
      <c r="W47" s="116" t="s">
        <v>250</v>
      </c>
      <c r="AB47" s="327"/>
    </row>
    <row r="48" spans="3:28" customFormat="1" ht="15.75" thickTop="1">
      <c r="C48" s="922"/>
      <c r="D48" s="922"/>
      <c r="E48" s="922"/>
      <c r="F48" s="922"/>
      <c r="G48" s="922"/>
      <c r="H48" s="922"/>
      <c r="I48" s="922"/>
      <c r="J48" s="922"/>
      <c r="K48" s="922"/>
      <c r="L48" s="922"/>
      <c r="M48" s="922"/>
      <c r="N48" s="922"/>
      <c r="O48" s="922"/>
      <c r="AB48" s="327"/>
    </row>
    <row r="49" spans="3:33">
      <c r="C49" s="922"/>
      <c r="D49" s="922"/>
      <c r="E49" s="922"/>
      <c r="F49" s="922"/>
      <c r="G49" s="922"/>
      <c r="H49" s="922"/>
      <c r="I49" s="922"/>
      <c r="J49" s="922"/>
      <c r="K49" s="922"/>
      <c r="L49" s="922"/>
      <c r="M49" s="922"/>
      <c r="N49" s="922"/>
      <c r="O49" s="922"/>
      <c r="AB49" s="327"/>
      <c r="AC49"/>
      <c r="AD49"/>
      <c r="AE49"/>
      <c r="AF49"/>
      <c r="AG49"/>
    </row>
    <row r="50" spans="3:33">
      <c r="AB50" s="327"/>
      <c r="AC50"/>
      <c r="AD50"/>
      <c r="AE50"/>
      <c r="AF50"/>
      <c r="AG50"/>
    </row>
    <row r="51" spans="3:33">
      <c r="AB51" s="327"/>
      <c r="AC51"/>
      <c r="AD51"/>
      <c r="AE51"/>
      <c r="AF51"/>
      <c r="AG51"/>
    </row>
    <row r="52" spans="3:33">
      <c r="AB52" s="327"/>
      <c r="AC52" s="3" t="s">
        <v>643</v>
      </c>
      <c r="AD52" s="5">
        <f>F20</f>
        <v>12.062777777777779</v>
      </c>
      <c r="AE52" t="s">
        <v>258</v>
      </c>
      <c r="AF52"/>
      <c r="AG52"/>
    </row>
    <row r="53" spans="3:33" ht="15" customHeight="1">
      <c r="H53" s="885" t="str">
        <f>CONCATENATE("T = Temps pour que le soleil passe a la meridienne locale: ",P43)</f>
        <v>T = Temps pour que le soleil passe a la meridienne locale: W 05°00.00 (W 05.0000) [W 05°00'00.00]</v>
      </c>
      <c r="I53" s="885"/>
      <c r="J53" s="885"/>
      <c r="K53" s="885"/>
      <c r="L53" s="885"/>
      <c r="M53" s="885"/>
      <c r="N53" s="885"/>
      <c r="O53" s="885"/>
      <c r="P53" s="885"/>
      <c r="Q53" s="885"/>
      <c r="R53" s="885"/>
      <c r="S53" s="885"/>
      <c r="T53" s="885"/>
      <c r="U53" s="885"/>
      <c r="V53" s="892">
        <f>AD58</f>
        <v>2.0471299193002674</v>
      </c>
      <c r="W53" s="892"/>
      <c r="X53" s="892" t="s">
        <v>258</v>
      </c>
      <c r="AB53" s="327"/>
      <c r="AC53" s="3" t="s">
        <v>644</v>
      </c>
      <c r="AD53" s="5">
        <f>F8</f>
        <v>10.343055555555557</v>
      </c>
      <c r="AE53" t="s">
        <v>258</v>
      </c>
      <c r="AF53"/>
      <c r="AG53"/>
    </row>
    <row r="54" spans="3:33">
      <c r="H54" s="885"/>
      <c r="I54" s="885"/>
      <c r="J54" s="885"/>
      <c r="K54" s="885"/>
      <c r="L54" s="885"/>
      <c r="M54" s="885"/>
      <c r="N54" s="885"/>
      <c r="O54" s="885"/>
      <c r="P54" s="885"/>
      <c r="Q54" s="885"/>
      <c r="R54" s="885"/>
      <c r="S54" s="885"/>
      <c r="T54" s="885"/>
      <c r="U54" s="885"/>
      <c r="V54" s="892"/>
      <c r="W54" s="892"/>
      <c r="X54" s="918"/>
      <c r="AB54" s="327"/>
      <c r="AC54" s="3" t="s">
        <v>645</v>
      </c>
      <c r="AD54" s="3">
        <f>(AD53-AD52)*((-1)*V47)</f>
        <v>25.799272777777773</v>
      </c>
      <c r="AE54" t="s">
        <v>28</v>
      </c>
      <c r="AF54"/>
      <c r="AG54"/>
    </row>
    <row r="55" spans="3:33">
      <c r="H55" s="837" t="s">
        <v>271</v>
      </c>
      <c r="I55" s="837"/>
      <c r="J55" s="837"/>
      <c r="K55" s="837"/>
      <c r="L55" s="837"/>
      <c r="M55" s="837"/>
      <c r="N55" s="837"/>
      <c r="O55" s="837"/>
      <c r="P55" s="837"/>
      <c r="Q55" s="837"/>
      <c r="R55" s="837"/>
      <c r="S55" s="837"/>
      <c r="T55" s="837"/>
      <c r="U55" s="837"/>
      <c r="V55" s="883">
        <f>AD58*E34</f>
        <v>10.235649596501338</v>
      </c>
      <c r="W55" s="884"/>
      <c r="X55" s="913" t="s">
        <v>104</v>
      </c>
      <c r="AB55" s="327"/>
      <c r="AC55" s="3" t="s">
        <v>648</v>
      </c>
      <c r="AD55" s="3">
        <f>(-1)*V47</f>
        <v>-15.002000000000001</v>
      </c>
      <c r="AE55" t="s">
        <v>557</v>
      </c>
      <c r="AF55"/>
      <c r="AG55"/>
    </row>
    <row r="56" spans="3:33">
      <c r="H56" s="837"/>
      <c r="I56" s="837"/>
      <c r="J56" s="837"/>
      <c r="K56" s="837"/>
      <c r="L56" s="837"/>
      <c r="M56" s="837"/>
      <c r="N56" s="837"/>
      <c r="O56" s="837"/>
      <c r="P56" s="837"/>
      <c r="Q56" s="837"/>
      <c r="R56" s="837"/>
      <c r="S56" s="837"/>
      <c r="T56" s="837"/>
      <c r="U56" s="837"/>
      <c r="V56" s="884"/>
      <c r="W56" s="884"/>
      <c r="X56" s="914"/>
      <c r="AB56" s="327"/>
      <c r="AC56" s="3" t="s">
        <v>646</v>
      </c>
      <c r="AD56" s="5">
        <f>E43</f>
        <v>-5</v>
      </c>
      <c r="AE56" t="s">
        <v>28</v>
      </c>
      <c r="AF56"/>
      <c r="AG56"/>
    </row>
    <row r="57" spans="3:33">
      <c r="H57" s="837" t="s">
        <v>486</v>
      </c>
      <c r="I57" s="837"/>
      <c r="J57" s="837"/>
      <c r="K57" s="837"/>
      <c r="L57" s="837"/>
      <c r="M57" s="837"/>
      <c r="N57" s="837"/>
      <c r="O57" s="837"/>
      <c r="P57" s="837"/>
      <c r="Q57" s="837"/>
      <c r="R57" s="837"/>
      <c r="S57" s="837"/>
      <c r="T57" s="837"/>
      <c r="U57" s="837"/>
      <c r="V57" s="883">
        <f>AD58*L38</f>
        <v>8.8229728435156696E-2</v>
      </c>
      <c r="W57" s="915"/>
      <c r="X57" s="916" t="s">
        <v>28</v>
      </c>
      <c r="AB57" s="327"/>
      <c r="AC57" s="3" t="s">
        <v>647</v>
      </c>
      <c r="AD57" s="3">
        <f>L38</f>
        <v>4.3099232541779581E-2</v>
      </c>
      <c r="AE57" t="s">
        <v>557</v>
      </c>
      <c r="AF57"/>
      <c r="AG57"/>
    </row>
    <row r="58" spans="3:33">
      <c r="H58" s="837"/>
      <c r="I58" s="837"/>
      <c r="J58" s="837"/>
      <c r="K58" s="837"/>
      <c r="L58" s="837"/>
      <c r="M58" s="837"/>
      <c r="N58" s="837"/>
      <c r="O58" s="837"/>
      <c r="P58" s="837"/>
      <c r="Q58" s="837"/>
      <c r="R58" s="837"/>
      <c r="S58" s="837"/>
      <c r="T58" s="837"/>
      <c r="U58" s="837"/>
      <c r="V58" s="884"/>
      <c r="W58" s="915"/>
      <c r="X58" s="917"/>
      <c r="AB58" s="327"/>
      <c r="AC58" s="3" t="s">
        <v>642</v>
      </c>
      <c r="AD58" s="3">
        <f>(AD54-AD56)/(AD57-AD55)</f>
        <v>2.0471299193002674</v>
      </c>
      <c r="AE58" t="s">
        <v>258</v>
      </c>
      <c r="AF58"/>
      <c r="AG58"/>
    </row>
    <row r="59" spans="3:33">
      <c r="H59" s="837" t="s">
        <v>485</v>
      </c>
      <c r="I59" s="837"/>
      <c r="J59" s="837"/>
      <c r="K59" s="837"/>
      <c r="L59" s="837"/>
      <c r="M59" s="837"/>
      <c r="N59" s="837"/>
      <c r="O59" s="837"/>
      <c r="P59" s="837"/>
      <c r="Q59" s="837"/>
      <c r="R59" s="837"/>
      <c r="S59" s="837"/>
      <c r="T59" s="837"/>
      <c r="U59" s="837"/>
      <c r="V59" s="838">
        <f>E43+AD58*L38</f>
        <v>-4.9117702715648432</v>
      </c>
      <c r="W59" s="839"/>
      <c r="X59" s="842" t="str">
        <f>longitudeDecimal2Txt(V59)</f>
        <v>W 04°54.70 (W 04.9117) [W 04°54'42.37]</v>
      </c>
      <c r="Y59" s="842"/>
      <c r="Z59" s="842"/>
      <c r="AA59" s="842"/>
      <c r="AB59" s="842"/>
      <c r="AC59" s="842"/>
      <c r="AD59" s="827" t="str" cm="1">
        <f t="array" ref="AD59">CONCATENATE("Memo depart: ", longitudeDecimal2Txt(E43))</f>
        <v>Memo depart: W 05°00.00 (W 05.0000) [W 05°00'00.00]</v>
      </c>
      <c r="AE59" s="828"/>
      <c r="AF59" s="828"/>
      <c r="AG59" s="828"/>
    </row>
    <row r="60" spans="3:33">
      <c r="H60" s="837"/>
      <c r="I60" s="837"/>
      <c r="J60" s="837"/>
      <c r="K60" s="837"/>
      <c r="L60" s="837"/>
      <c r="M60" s="837"/>
      <c r="N60" s="837"/>
      <c r="O60" s="837"/>
      <c r="P60" s="837"/>
      <c r="Q60" s="837"/>
      <c r="R60" s="837"/>
      <c r="S60" s="837"/>
      <c r="T60" s="837"/>
      <c r="U60" s="837"/>
      <c r="V60" s="840"/>
      <c r="W60" s="841"/>
      <c r="X60" s="842"/>
      <c r="Y60" s="842"/>
      <c r="Z60" s="842"/>
      <c r="AA60" s="842"/>
      <c r="AB60" s="842"/>
      <c r="AC60" s="842"/>
      <c r="AD60" s="827"/>
      <c r="AE60" s="828"/>
      <c r="AF60" s="828"/>
      <c r="AG60" s="828"/>
    </row>
    <row r="61" spans="3:33">
      <c r="H61" s="1042" t="s">
        <v>267</v>
      </c>
      <c r="I61" s="1042"/>
      <c r="J61" s="1042"/>
      <c r="K61" s="1042"/>
      <c r="L61" s="1042"/>
      <c r="M61" s="1042"/>
      <c r="N61" s="1042"/>
      <c r="O61" s="1042"/>
      <c r="P61" s="1042"/>
      <c r="Q61" s="1042"/>
      <c r="R61" s="1042"/>
      <c r="S61" s="1042"/>
      <c r="T61" s="1042"/>
      <c r="U61" s="1042"/>
      <c r="V61" s="919">
        <f>AD53+AD58</f>
        <v>12.390185474855825</v>
      </c>
      <c r="W61" s="920"/>
      <c r="X61" s="1043" t="str">
        <f>heureDecimal2Txt(V61)</f>
        <v>12:23:24.66(12.3901)</v>
      </c>
      <c r="Y61" s="1043"/>
      <c r="Z61" s="1043"/>
      <c r="AA61" s="1043"/>
      <c r="AB61" s="1043"/>
      <c r="AC61" s="1043"/>
      <c r="AD61"/>
      <c r="AE61"/>
      <c r="AF61"/>
      <c r="AG61"/>
    </row>
    <row r="62" spans="3:33">
      <c r="H62" s="1042"/>
      <c r="I62" s="1042"/>
      <c r="J62" s="1042"/>
      <c r="K62" s="1042"/>
      <c r="L62" s="1042"/>
      <c r="M62" s="1042"/>
      <c r="N62" s="1042"/>
      <c r="O62" s="1042"/>
      <c r="P62" s="1042"/>
      <c r="Q62" s="1042"/>
      <c r="R62" s="1042"/>
      <c r="S62" s="1042"/>
      <c r="T62" s="1042"/>
      <c r="U62" s="1042"/>
      <c r="V62" s="921"/>
      <c r="W62" s="920"/>
      <c r="X62" s="1043"/>
      <c r="Y62" s="1043"/>
      <c r="Z62" s="1043"/>
      <c r="AA62" s="1043"/>
      <c r="AB62" s="1043"/>
      <c r="AC62" s="1043"/>
      <c r="AD62"/>
      <c r="AE62"/>
      <c r="AF62"/>
      <c r="AG62"/>
    </row>
    <row r="63" spans="3:33">
      <c r="AB63" s="327"/>
      <c r="AC63"/>
      <c r="AD63"/>
      <c r="AE63"/>
      <c r="AF63"/>
      <c r="AG63"/>
    </row>
    <row r="64" spans="3:33" ht="15.75" thickBot="1">
      <c r="AB64" s="327"/>
      <c r="AC64"/>
      <c r="AD64"/>
      <c r="AE64"/>
      <c r="AF64"/>
      <c r="AG64"/>
    </row>
    <row r="65" spans="1:74" s="16" customFormat="1" ht="17.25" customHeight="1" thickBot="1">
      <c r="B65" s="314" t="s">
        <v>634</v>
      </c>
      <c r="C65" s="317"/>
      <c r="D65" s="317"/>
      <c r="E65" s="317"/>
      <c r="F65" s="317"/>
      <c r="G65" s="317"/>
      <c r="H65" s="315"/>
      <c r="I65" s="94" t="str">
        <f>L6</f>
        <v>2025/06/30</v>
      </c>
      <c r="J65" s="94"/>
      <c r="K65" s="95"/>
      <c r="L65" s="96"/>
      <c r="M65" s="94" t="str">
        <f>heureDecimal2Txt(E67)</f>
        <v>12:23:24.66(12.3901)</v>
      </c>
      <c r="N65" s="94"/>
      <c r="O65" s="94"/>
      <c r="P65" s="315"/>
      <c r="Q65" s="315"/>
      <c r="R65" s="315"/>
      <c r="S65" s="315"/>
      <c r="T65" s="315"/>
      <c r="U65" s="315"/>
      <c r="V65" s="316"/>
      <c r="W65" s="315"/>
      <c r="X65" s="315"/>
      <c r="Y65" s="315"/>
      <c r="Z65" s="315"/>
      <c r="AA65" s="316"/>
      <c r="AB65" s="329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74" s="16" customFormat="1" ht="17.25" customHeight="1" thickBot="1">
      <c r="C66" s="1120" t="s">
        <v>1</v>
      </c>
      <c r="D66" s="1121"/>
      <c r="E66" s="1122" t="s">
        <v>228</v>
      </c>
      <c r="F66" s="1123"/>
      <c r="G66" s="1124"/>
      <c r="H66" s="59"/>
      <c r="AB66" s="32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74" s="16" customFormat="1" ht="17.25" customHeight="1" thickTop="1" thickBot="1">
      <c r="C67" s="312" t="s">
        <v>635</v>
      </c>
      <c r="D67" s="312"/>
      <c r="E67" s="1125">
        <f>V61</f>
        <v>12.390185474855825</v>
      </c>
      <c r="F67" s="1126"/>
      <c r="G67" s="1127"/>
      <c r="H67" s="643" t="str" cm="1">
        <f t="array" ref="H67">heureDecimal2Txt(E67)</f>
        <v>12:23:24.66(12.3901)</v>
      </c>
      <c r="I67" s="644"/>
      <c r="J67" s="644"/>
      <c r="K67" s="644"/>
      <c r="L67" s="644"/>
      <c r="M67" s="645"/>
      <c r="N67"/>
      <c r="O67"/>
      <c r="P67"/>
      <c r="Q67"/>
      <c r="R67"/>
      <c r="S67"/>
      <c r="T67"/>
      <c r="U67"/>
      <c r="V67"/>
      <c r="W67"/>
      <c r="X67"/>
      <c r="Y67"/>
      <c r="AB67" s="330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74" s="16" customFormat="1" ht="17.25" customHeight="1" thickTop="1" thickBot="1">
      <c r="C68" s="312" t="s">
        <v>7</v>
      </c>
      <c r="D68" s="312"/>
      <c r="E68" s="1128">
        <f>F25</f>
        <v>46.138899184437385</v>
      </c>
      <c r="F68" s="1129"/>
      <c r="G68" s="1130"/>
      <c r="H68" s="643" t="str" cm="1">
        <f t="array" ref="H68">latitudeDecimal2Txt(E68)</f>
        <v>N 46°08.33 (N 46.1388) [N 46°08'20.03]</v>
      </c>
      <c r="I68" s="644"/>
      <c r="J68" s="644"/>
      <c r="K68" s="644"/>
      <c r="L68" s="644"/>
      <c r="M68" s="645"/>
      <c r="N68"/>
      <c r="O68"/>
      <c r="P68"/>
      <c r="Q68"/>
      <c r="R68"/>
      <c r="S68"/>
      <c r="T68"/>
      <c r="U68"/>
      <c r="V68"/>
      <c r="W68"/>
      <c r="X68"/>
      <c r="Y68"/>
      <c r="AB68" s="330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74" ht="15.75" thickTop="1"/>
    <row r="70" spans="1:74" ht="15.75" thickBot="1"/>
    <row r="71" spans="1:74" s="16" customFormat="1" ht="17.25" customHeight="1" thickBot="1">
      <c r="B71" s="132" t="s">
        <v>282</v>
      </c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1"/>
      <c r="V71" s="131"/>
      <c r="W71" s="131"/>
      <c r="X71" s="131"/>
      <c r="Y71" s="131"/>
      <c r="Z71" s="131"/>
      <c r="AA71" s="131"/>
      <c r="AB71" s="331"/>
      <c r="AC71" s="14"/>
      <c r="AD71" s="14"/>
      <c r="AE71" s="14"/>
      <c r="AF71" s="14"/>
      <c r="AG71" s="14"/>
      <c r="AH71"/>
      <c r="AI71"/>
      <c r="AJ71"/>
      <c r="AK71"/>
      <c r="AL71"/>
      <c r="AM71"/>
      <c r="AN71"/>
      <c r="AO71"/>
      <c r="AP71"/>
      <c r="AQ71"/>
      <c r="AR71"/>
      <c r="AS71"/>
      <c r="AT71" s="84"/>
      <c r="AU71" s="84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  <c r="BN71" s="84"/>
      <c r="BO71" s="84"/>
      <c r="BP71" s="84"/>
      <c r="BQ71" s="84"/>
      <c r="BR71" s="84"/>
      <c r="BS71" s="84"/>
    </row>
    <row r="72" spans="1:74" s="16" customFormat="1" ht="17.25" customHeight="1">
      <c r="C72" s="86"/>
      <c r="D72" s="87"/>
      <c r="E72" s="1094" t="s">
        <v>60</v>
      </c>
      <c r="F72" s="1095"/>
      <c r="G72" s="1152" t="s">
        <v>2</v>
      </c>
      <c r="H72" s="1153"/>
      <c r="I72" s="1153"/>
      <c r="J72" s="526" t="s">
        <v>229</v>
      </c>
      <c r="K72" s="526"/>
      <c r="L72" s="526"/>
      <c r="M72" s="1072" t="s">
        <v>284</v>
      </c>
      <c r="N72" s="1073"/>
      <c r="O72" s="1073"/>
      <c r="P72" s="1074"/>
      <c r="Q72" s="1072" t="s">
        <v>283</v>
      </c>
      <c r="R72" s="1073"/>
      <c r="S72" s="1073"/>
      <c r="T72" s="1074"/>
      <c r="U72" s="1078" t="s">
        <v>122</v>
      </c>
      <c r="V72" s="1078"/>
      <c r="W72" s="1078"/>
      <c r="X72" s="1149" t="s">
        <v>285</v>
      </c>
      <c r="Y72" s="1150"/>
      <c r="Z72" s="1150"/>
      <c r="AA72" s="1151"/>
      <c r="AB72" s="332"/>
      <c r="AC72" s="14"/>
      <c r="AD72" s="14"/>
      <c r="AE72" s="14"/>
      <c r="AF72" s="14"/>
      <c r="AG72" s="14"/>
      <c r="AH72"/>
      <c r="AI72"/>
      <c r="AJ72"/>
      <c r="AK72"/>
      <c r="AL72"/>
      <c r="AM72"/>
      <c r="AN72"/>
      <c r="AO72"/>
      <c r="AP72"/>
      <c r="AQ72"/>
      <c r="AR72"/>
      <c r="AS72"/>
      <c r="AT72" s="84"/>
      <c r="AU72" s="84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84"/>
      <c r="BS72" s="84"/>
    </row>
    <row r="73" spans="1:74" s="16" customFormat="1" ht="17.25" customHeight="1" thickBot="1">
      <c r="C73" s="88"/>
      <c r="D73" s="89"/>
      <c r="E73" s="451"/>
      <c r="F73" s="453"/>
      <c r="G73" s="1154"/>
      <c r="H73" s="1155"/>
      <c r="I73" s="1155"/>
      <c r="J73" s="526"/>
      <c r="K73" s="526"/>
      <c r="L73" s="526"/>
      <c r="M73" s="1075"/>
      <c r="N73" s="1076"/>
      <c r="O73" s="1076"/>
      <c r="P73" s="1077"/>
      <c r="Q73" s="1075"/>
      <c r="R73" s="1076"/>
      <c r="S73" s="1076"/>
      <c r="T73" s="1077"/>
      <c r="U73" s="1078"/>
      <c r="V73" s="1078"/>
      <c r="W73" s="1078"/>
      <c r="X73" s="1075"/>
      <c r="Y73" s="1076"/>
      <c r="Z73" s="1076"/>
      <c r="AA73" s="1077"/>
      <c r="AB73" s="332"/>
      <c r="AC73" s="319" t="s">
        <v>637</v>
      </c>
      <c r="AD73" s="1063" t="s">
        <v>638</v>
      </c>
      <c r="AE73" s="1063"/>
      <c r="AF73" s="1063"/>
      <c r="AG73" s="1063"/>
      <c r="AH73" s="1052" t="s">
        <v>639</v>
      </c>
      <c r="AI73" s="1052"/>
      <c r="AJ73" s="1052"/>
      <c r="AK73"/>
      <c r="AL73"/>
      <c r="AM73"/>
      <c r="AN73"/>
      <c r="AO73"/>
      <c r="AP73"/>
      <c r="AQ73"/>
      <c r="AR73"/>
      <c r="AS73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84"/>
      <c r="BS73" s="84"/>
      <c r="BT73" s="84"/>
    </row>
    <row r="74" spans="1:74" s="84" customFormat="1" ht="17.25" customHeight="1" thickTop="1" thickBot="1">
      <c r="A74" s="16"/>
      <c r="B74" s="16"/>
      <c r="C74" s="136" t="s">
        <v>200</v>
      </c>
      <c r="D74" s="137"/>
      <c r="E74" s="1070" t="s">
        <v>210</v>
      </c>
      <c r="F74" s="1071"/>
      <c r="G74" s="1119" t="str">
        <f>heureDecimal2Txt(AC74)</f>
        <v>10:30:50.00(10.5138)</v>
      </c>
      <c r="H74" s="1085"/>
      <c r="I74" s="1086"/>
      <c r="J74" s="1080" t="s">
        <v>220</v>
      </c>
      <c r="K74" s="1079"/>
      <c r="L74" s="1079"/>
      <c r="M74" s="1079">
        <v>0</v>
      </c>
      <c r="N74" s="1079"/>
      <c r="O74" s="1079"/>
      <c r="P74" s="1079"/>
      <c r="Q74" s="1060">
        <v>2</v>
      </c>
      <c r="R74" s="1060"/>
      <c r="S74" s="1060"/>
      <c r="T74" s="1060"/>
      <c r="U74" s="1061" t="s">
        <v>286</v>
      </c>
      <c r="V74" s="1062"/>
      <c r="W74" s="1062"/>
      <c r="X74" s="1096" t="str">
        <f>heureDecimal2Txt(AH74)</f>
        <v>01:52:34.66(01.8762)</v>
      </c>
      <c r="Y74" s="1096"/>
      <c r="Z74" s="1096"/>
      <c r="AA74" s="1096"/>
      <c r="AB74" s="333"/>
      <c r="AC74" s="320">
        <f>AD74+(AE74+AF74+AG74)/3600</f>
        <v>10.513888888888889</v>
      </c>
      <c r="AD74" s="321">
        <f>heureConvert2Decimal(J74)</f>
        <v>10.340277777777779</v>
      </c>
      <c r="AE74" s="322">
        <f>M74*3600</f>
        <v>0</v>
      </c>
      <c r="AF74" s="323">
        <f>Q74</f>
        <v>2</v>
      </c>
      <c r="AG74" s="321">
        <f>heureConvert2Decimal(U74)*60</f>
        <v>623</v>
      </c>
      <c r="AH74" s="1053">
        <f>$E$67-AC74</f>
        <v>1.8762965859669354</v>
      </c>
      <c r="AI74" s="1053"/>
      <c r="AJ74" s="1053"/>
      <c r="AK74"/>
      <c r="AL74"/>
      <c r="AM74"/>
      <c r="AN74"/>
      <c r="AO74"/>
      <c r="AP74"/>
      <c r="AQ74"/>
      <c r="AR74"/>
      <c r="AS74"/>
      <c r="BU74" s="16"/>
      <c r="BV74" s="16"/>
    </row>
    <row r="75" spans="1:74" s="84" customFormat="1" ht="17.25" customHeight="1" thickTop="1" thickBot="1">
      <c r="C75" s="134" t="s">
        <v>202</v>
      </c>
      <c r="D75" s="135"/>
      <c r="E75" s="1070" t="s">
        <v>295</v>
      </c>
      <c r="F75" s="1071"/>
      <c r="G75" s="1119" t="str">
        <f>heureDecimal2Txt(AC75)</f>
        <v>10:45:50.00(10.7638)</v>
      </c>
      <c r="H75" s="1085"/>
      <c r="I75" s="1086"/>
      <c r="J75" s="1080" t="s">
        <v>289</v>
      </c>
      <c r="K75" s="1079"/>
      <c r="L75" s="1079"/>
      <c r="M75" s="1079">
        <v>0</v>
      </c>
      <c r="N75" s="1079"/>
      <c r="O75" s="1079"/>
      <c r="P75" s="1079"/>
      <c r="Q75" s="1060">
        <v>2</v>
      </c>
      <c r="R75" s="1060"/>
      <c r="S75" s="1060"/>
      <c r="T75" s="1060"/>
      <c r="U75" s="1061" t="s">
        <v>286</v>
      </c>
      <c r="V75" s="1062"/>
      <c r="W75" s="1062"/>
      <c r="X75" s="1096" t="str">
        <f>heureDecimal2Txt(AH75)</f>
        <v>01:37:34.66(01.6262)</v>
      </c>
      <c r="Y75" s="1096"/>
      <c r="Z75" s="1096"/>
      <c r="AA75" s="1096"/>
      <c r="AB75" s="333"/>
      <c r="AC75" s="320">
        <f>AD75+(AE75+AF75+AG75)/3600</f>
        <v>10.763888888888889</v>
      </c>
      <c r="AD75" s="321">
        <f>heureConvert2Decimal(J75)</f>
        <v>10.590277777777779</v>
      </c>
      <c r="AE75" s="322">
        <f>M75*3600</f>
        <v>0</v>
      </c>
      <c r="AF75" s="323">
        <f>Q75</f>
        <v>2</v>
      </c>
      <c r="AG75" s="321">
        <f>heureConvert2Decimal(U75)*60</f>
        <v>623</v>
      </c>
      <c r="AH75" s="1053">
        <f>$E$67-AC75</f>
        <v>1.6262965859669354</v>
      </c>
      <c r="AI75" s="1053"/>
      <c r="AJ75" s="1053"/>
      <c r="AK75"/>
      <c r="AL75"/>
      <c r="AM75"/>
      <c r="AN75"/>
      <c r="AO75"/>
      <c r="AP75"/>
      <c r="AQ75"/>
      <c r="AR75"/>
      <c r="AS75"/>
    </row>
    <row r="76" spans="1:74" s="84" customFormat="1" ht="17.25" customHeight="1" thickTop="1" thickBot="1">
      <c r="C76" s="134" t="s">
        <v>204</v>
      </c>
      <c r="D76" s="135"/>
      <c r="E76" s="1070" t="s">
        <v>296</v>
      </c>
      <c r="F76" s="1071"/>
      <c r="G76" s="1119" t="str">
        <f>heureDecimal2Txt(AC76)</f>
        <v>11:04:50.00(11.0805)</v>
      </c>
      <c r="H76" s="1085"/>
      <c r="I76" s="1086"/>
      <c r="J76" s="1080" t="s">
        <v>290</v>
      </c>
      <c r="K76" s="1079"/>
      <c r="L76" s="1079"/>
      <c r="M76" s="1079">
        <v>0</v>
      </c>
      <c r="N76" s="1079"/>
      <c r="O76" s="1079"/>
      <c r="P76" s="1079"/>
      <c r="Q76" s="1060">
        <v>2</v>
      </c>
      <c r="R76" s="1060"/>
      <c r="S76" s="1060"/>
      <c r="T76" s="1060"/>
      <c r="U76" s="1061" t="s">
        <v>286</v>
      </c>
      <c r="V76" s="1062"/>
      <c r="W76" s="1062"/>
      <c r="X76" s="1096" t="str">
        <f>heureDecimal2Txt(AH76)</f>
        <v>01:18:34.66(01.3096)</v>
      </c>
      <c r="Y76" s="1096"/>
      <c r="Z76" s="1096"/>
      <c r="AA76" s="1096"/>
      <c r="AB76" s="333"/>
      <c r="AC76" s="320">
        <f>AD76+(AE76+AF76+AG76)/3600</f>
        <v>11.080555555555556</v>
      </c>
      <c r="AD76" s="321">
        <f>heureConvert2Decimal(J76)</f>
        <v>10.906944444444445</v>
      </c>
      <c r="AE76" s="322">
        <f>M76*3600</f>
        <v>0</v>
      </c>
      <c r="AF76" s="323">
        <f>Q76</f>
        <v>2</v>
      </c>
      <c r="AG76" s="321">
        <f>heureConvert2Decimal(U76)*60</f>
        <v>623</v>
      </c>
      <c r="AH76" s="1053">
        <f>$E$67-AC76</f>
        <v>1.309629919300269</v>
      </c>
      <c r="AI76" s="1053"/>
      <c r="AJ76" s="1053"/>
      <c r="AK76"/>
      <c r="AL76"/>
      <c r="AM76"/>
      <c r="AN76"/>
      <c r="AO76"/>
      <c r="AP76"/>
      <c r="AQ76"/>
      <c r="AR76"/>
      <c r="AS76"/>
    </row>
    <row r="77" spans="1:74" s="84" customFormat="1" ht="17.25" customHeight="1" thickTop="1" thickBot="1">
      <c r="C77" s="134" t="s">
        <v>206</v>
      </c>
      <c r="D77" s="135"/>
      <c r="E77" s="1070" t="s">
        <v>297</v>
      </c>
      <c r="F77" s="1071"/>
      <c r="G77" s="1119" t="str">
        <f>heureDecimal2Txt(AC77)</f>
        <v>11:20:50.00(11.3472)</v>
      </c>
      <c r="H77" s="1085"/>
      <c r="I77" s="1086"/>
      <c r="J77" s="1080" t="s">
        <v>291</v>
      </c>
      <c r="K77" s="1079"/>
      <c r="L77" s="1079"/>
      <c r="M77" s="1079">
        <v>0</v>
      </c>
      <c r="N77" s="1079"/>
      <c r="O77" s="1079"/>
      <c r="P77" s="1079"/>
      <c r="Q77" s="1060">
        <v>2</v>
      </c>
      <c r="R77" s="1060"/>
      <c r="S77" s="1060"/>
      <c r="T77" s="1060"/>
      <c r="U77" s="1061" t="s">
        <v>286</v>
      </c>
      <c r="V77" s="1062"/>
      <c r="W77" s="1062"/>
      <c r="X77" s="1096" t="str">
        <f>heureDecimal2Txt(AH77)</f>
        <v>01:02:34.66(01.0429)</v>
      </c>
      <c r="Y77" s="1096"/>
      <c r="Z77" s="1096"/>
      <c r="AA77" s="1096"/>
      <c r="AB77" s="333"/>
      <c r="AC77" s="320">
        <f>AD77+(AE77+AF77+AG77)/3600</f>
        <v>11.347222222222221</v>
      </c>
      <c r="AD77" s="321">
        <f>heureConvert2Decimal(J77)</f>
        <v>11.173611111111111</v>
      </c>
      <c r="AE77" s="322">
        <f>M77*3600</f>
        <v>0</v>
      </c>
      <c r="AF77" s="323">
        <f>Q77</f>
        <v>2</v>
      </c>
      <c r="AG77" s="321">
        <f>heureConvert2Decimal(U77)*60</f>
        <v>623</v>
      </c>
      <c r="AH77" s="1053">
        <f>$E$67-AC77</f>
        <v>1.0429632526336032</v>
      </c>
      <c r="AI77" s="1053"/>
      <c r="AJ77" s="1053"/>
      <c r="AK77"/>
      <c r="AL77"/>
      <c r="AM77"/>
      <c r="AN77"/>
      <c r="AO77"/>
      <c r="AP77"/>
      <c r="AQ77"/>
      <c r="AR77"/>
      <c r="AS77"/>
    </row>
    <row r="78" spans="1:74" s="84" customFormat="1" ht="17.25" customHeight="1" thickTop="1">
      <c r="C78" s="138" t="s">
        <v>208</v>
      </c>
      <c r="D78" s="139"/>
      <c r="E78" s="1142" t="s">
        <v>298</v>
      </c>
      <c r="F78" s="1143"/>
      <c r="G78" s="1144" t="str">
        <f>heureDecimal2Txt(AC78)</f>
        <v>12:20:50.00(12.3472)</v>
      </c>
      <c r="H78" s="1145"/>
      <c r="I78" s="1146"/>
      <c r="J78" s="1147" t="s">
        <v>292</v>
      </c>
      <c r="K78" s="1148"/>
      <c r="L78" s="1148"/>
      <c r="M78" s="1148">
        <v>0</v>
      </c>
      <c r="N78" s="1148"/>
      <c r="O78" s="1148"/>
      <c r="P78" s="1148"/>
      <c r="Q78" s="1107">
        <v>2</v>
      </c>
      <c r="R78" s="1107"/>
      <c r="S78" s="1107"/>
      <c r="T78" s="1107"/>
      <c r="U78" s="1110" t="s">
        <v>286</v>
      </c>
      <c r="V78" s="1111"/>
      <c r="W78" s="1111"/>
      <c r="X78" s="1112" t="str">
        <f>heureDecimal2Txt(AH78)</f>
        <v>00:02:34.66(00.0429)</v>
      </c>
      <c r="Y78" s="1112"/>
      <c r="Z78" s="1112"/>
      <c r="AA78" s="1112"/>
      <c r="AB78" s="333"/>
      <c r="AC78" s="320">
        <f>AD78+(AE78+AF78+AG78)/3600</f>
        <v>12.347222222222221</v>
      </c>
      <c r="AD78" s="321">
        <f>heureConvert2Decimal(J78)</f>
        <v>12.173611111111111</v>
      </c>
      <c r="AE78" s="322">
        <f>M78*3600</f>
        <v>0</v>
      </c>
      <c r="AF78" s="323">
        <f>Q78</f>
        <v>2</v>
      </c>
      <c r="AG78" s="321">
        <f>heureConvert2Decimal(U78)*60</f>
        <v>623</v>
      </c>
      <c r="AH78" s="1053">
        <f>$E$67-AC78</f>
        <v>4.2963252633603233E-2</v>
      </c>
      <c r="AI78" s="1053"/>
      <c r="AJ78" s="1053"/>
      <c r="AK78"/>
      <c r="AL78"/>
      <c r="AM78"/>
      <c r="AN78"/>
      <c r="AO78"/>
      <c r="AP78"/>
      <c r="AQ78"/>
      <c r="AR78"/>
      <c r="AS78"/>
    </row>
    <row r="79" spans="1:74" s="8" customFormat="1" ht="15.75" customHeight="1">
      <c r="B79" s="1131" t="str">
        <f>CONCATENATE(" C U L M I N A T I O N vers ", " ------  &gt;&gt;&gt;&gt; ",H67, "&lt;&lt;&lt;&lt; -------" )</f>
        <v xml:space="preserve"> C U L M I N A T I O N vers  ------  &gt;&gt;&gt;&gt; 12:23:24.66(12.3901)&lt;&lt;&lt;&lt; -------</v>
      </c>
      <c r="C79" s="1132"/>
      <c r="D79" s="1132"/>
      <c r="E79" s="1132"/>
      <c r="F79" s="1132"/>
      <c r="G79" s="1132"/>
      <c r="H79" s="1132"/>
      <c r="I79" s="1132"/>
      <c r="J79" s="1132"/>
      <c r="K79" s="1132"/>
      <c r="L79" s="1132"/>
      <c r="M79" s="1132"/>
      <c r="N79" s="1132"/>
      <c r="O79" s="1132"/>
      <c r="P79" s="1132"/>
      <c r="Q79" s="1132"/>
      <c r="R79" s="1132"/>
      <c r="S79" s="1132"/>
      <c r="T79" s="1132"/>
      <c r="U79" s="1132"/>
      <c r="V79" s="1132"/>
      <c r="W79" s="1132"/>
      <c r="X79" s="1132"/>
      <c r="Y79" s="1132"/>
      <c r="Z79" s="1132"/>
      <c r="AA79" s="1133"/>
      <c r="AB79" s="334"/>
      <c r="AC79"/>
      <c r="AD79"/>
      <c r="AE79"/>
      <c r="AF79"/>
      <c r="AG79"/>
      <c r="AH79"/>
      <c r="AI79"/>
      <c r="AJ79"/>
    </row>
    <row r="80" spans="1:74" s="8" customFormat="1" ht="15.75" customHeight="1">
      <c r="B80" s="1134"/>
      <c r="C80" s="1135"/>
      <c r="D80" s="1135"/>
      <c r="E80" s="1135"/>
      <c r="F80" s="1135"/>
      <c r="G80" s="1135"/>
      <c r="H80" s="1135"/>
      <c r="I80" s="1135"/>
      <c r="J80" s="1135"/>
      <c r="K80" s="1135"/>
      <c r="L80" s="1135"/>
      <c r="M80" s="1135"/>
      <c r="N80" s="1135"/>
      <c r="O80" s="1135"/>
      <c r="P80" s="1135"/>
      <c r="Q80" s="1135"/>
      <c r="R80" s="1135"/>
      <c r="S80" s="1135"/>
      <c r="T80" s="1135"/>
      <c r="U80" s="1135"/>
      <c r="V80" s="1135"/>
      <c r="W80" s="1135"/>
      <c r="X80" s="1135"/>
      <c r="Y80" s="1135"/>
      <c r="Z80" s="1135"/>
      <c r="AA80" s="1136"/>
      <c r="AB80" s="334"/>
      <c r="AC80"/>
      <c r="AD80"/>
      <c r="AE80"/>
      <c r="AF80"/>
      <c r="AG80"/>
      <c r="AH80"/>
      <c r="AI80"/>
      <c r="AJ80"/>
    </row>
    <row r="81" spans="2:48" s="84" customFormat="1" ht="18" customHeight="1">
      <c r="C81" s="86"/>
      <c r="D81" s="87"/>
      <c r="E81" s="1117" t="s">
        <v>287</v>
      </c>
      <c r="F81" s="1117"/>
      <c r="G81" s="1097" t="s">
        <v>288</v>
      </c>
      <c r="H81" s="1097"/>
      <c r="I81" s="1097"/>
      <c r="J81" s="1114" t="s">
        <v>309</v>
      </c>
      <c r="K81" s="1115"/>
      <c r="L81" s="1115"/>
      <c r="M81" s="1115"/>
      <c r="N81" s="1115"/>
      <c r="O81" s="1115"/>
      <c r="P81" s="1115"/>
      <c r="Q81" s="1115"/>
      <c r="R81" s="1115"/>
      <c r="S81" s="1115"/>
      <c r="T81" s="1115"/>
      <c r="U81" s="1115"/>
      <c r="V81" s="1115"/>
      <c r="W81" s="1115"/>
      <c r="X81" s="1115"/>
      <c r="Y81" s="1115"/>
      <c r="Z81" s="1116"/>
      <c r="AA81" s="1108" t="s">
        <v>293</v>
      </c>
      <c r="AB81" s="335"/>
      <c r="AC81" s="339" t="s">
        <v>294</v>
      </c>
      <c r="AD81" s="339" t="s">
        <v>3</v>
      </c>
      <c r="AE81" s="339" t="s">
        <v>308</v>
      </c>
      <c r="AF81" s="14"/>
      <c r="AG81" s="14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</row>
    <row r="82" spans="2:48" s="84" customFormat="1" ht="24" customHeight="1">
      <c r="C82" s="88"/>
      <c r="D82" s="89"/>
      <c r="E82" s="1118"/>
      <c r="F82" s="1118"/>
      <c r="G82" s="1098"/>
      <c r="H82" s="1098"/>
      <c r="I82" s="1098"/>
      <c r="J82" s="1103" t="s">
        <v>299</v>
      </c>
      <c r="K82" s="1103"/>
      <c r="L82" s="1103"/>
      <c r="M82" s="1113" t="s">
        <v>229</v>
      </c>
      <c r="N82" s="1113"/>
      <c r="O82" s="1113"/>
      <c r="P82" s="1081" t="s">
        <v>284</v>
      </c>
      <c r="Q82" s="1081"/>
      <c r="R82" s="1081"/>
      <c r="S82" s="1081"/>
      <c r="T82" s="1081" t="s">
        <v>283</v>
      </c>
      <c r="U82" s="1081"/>
      <c r="V82" s="1081"/>
      <c r="W82" s="1081"/>
      <c r="X82" s="1081" t="s">
        <v>122</v>
      </c>
      <c r="Y82" s="1081"/>
      <c r="Z82" s="1081"/>
      <c r="AA82" s="1109"/>
      <c r="AB82" s="336"/>
      <c r="AC82" s="319" t="s">
        <v>640</v>
      </c>
      <c r="AD82" s="1054" t="s">
        <v>641</v>
      </c>
      <c r="AE82" s="1055"/>
      <c r="AF82" s="1055"/>
      <c r="AG82" s="1055"/>
      <c r="AH82" s="1056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</row>
    <row r="83" spans="2:48" s="84" customFormat="1" ht="17.25" customHeight="1" thickBot="1">
      <c r="C83" s="665" t="s">
        <v>209</v>
      </c>
      <c r="D83" s="665"/>
      <c r="E83" s="1083" t="str">
        <f>E78</f>
        <v>6°54</v>
      </c>
      <c r="F83" s="1084"/>
      <c r="G83" s="1069" t="str">
        <f>heureDecimal2Txt(AC83)</f>
        <v>12:25:59.33(12.4331)</v>
      </c>
      <c r="H83" s="1069"/>
      <c r="I83" s="1069"/>
      <c r="J83" s="1089" t="str">
        <f>heureDecimal2Txt(AD83)</f>
        <v>12:53:25.00(12.8902)</v>
      </c>
      <c r="K83" s="1089"/>
      <c r="L83" s="1090"/>
      <c r="M83" s="1091" t="s">
        <v>636</v>
      </c>
      <c r="N83" s="1092"/>
      <c r="O83" s="1092"/>
      <c r="P83" s="1092">
        <v>0</v>
      </c>
      <c r="Q83" s="1092"/>
      <c r="R83" s="1092"/>
      <c r="S83" s="1092"/>
      <c r="T83" s="1082">
        <v>2</v>
      </c>
      <c r="U83" s="1082"/>
      <c r="V83" s="1082"/>
      <c r="W83" s="1082"/>
      <c r="X83" s="1087" t="s">
        <v>286</v>
      </c>
      <c r="Y83" s="1088"/>
      <c r="Z83" s="1088"/>
      <c r="AA83" s="140" t="s">
        <v>294</v>
      </c>
      <c r="AB83" s="337"/>
      <c r="AC83" s="319">
        <f>AC78+2*AH78</f>
        <v>12.433148727489428</v>
      </c>
      <c r="AD83" s="320">
        <f>AE83+(AF83+AG83+AH83)/3600</f>
        <v>12.890277777777778</v>
      </c>
      <c r="AE83" s="321">
        <f>heureConvert2Decimal(M83)</f>
        <v>12.716666666666667</v>
      </c>
      <c r="AF83" s="322">
        <f>P83*3600</f>
        <v>0</v>
      </c>
      <c r="AG83" s="323">
        <f>T83</f>
        <v>2</v>
      </c>
      <c r="AH83" s="321">
        <f>heureConvert2Decimal(X83)*60</f>
        <v>623</v>
      </c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</row>
    <row r="84" spans="2:48" s="84" customFormat="1" ht="17.25" customHeight="1" thickTop="1" thickBot="1">
      <c r="C84" s="665" t="s">
        <v>207</v>
      </c>
      <c r="D84" s="665"/>
      <c r="E84" s="1083" t="str">
        <f>E77</f>
        <v>5°54</v>
      </c>
      <c r="F84" s="1084"/>
      <c r="G84" s="1069" t="str">
        <f>heureDecimal2Txt(AC84)</f>
        <v>13:25:59.33(13.4331)</v>
      </c>
      <c r="H84" s="1069"/>
      <c r="I84" s="1069"/>
      <c r="J84" s="1085" t="str">
        <f>heureDecimal2Txt(AD84)</f>
        <v>13:50:25.00(13.8402)</v>
      </c>
      <c r="K84" s="1085"/>
      <c r="L84" s="1086"/>
      <c r="M84" s="1080" t="s">
        <v>306</v>
      </c>
      <c r="N84" s="1079"/>
      <c r="O84" s="1079"/>
      <c r="P84" s="1079">
        <v>0</v>
      </c>
      <c r="Q84" s="1079"/>
      <c r="R84" s="1079"/>
      <c r="S84" s="1079"/>
      <c r="T84" s="1060">
        <v>2</v>
      </c>
      <c r="U84" s="1060"/>
      <c r="V84" s="1060"/>
      <c r="W84" s="1060"/>
      <c r="X84" s="1061" t="s">
        <v>286</v>
      </c>
      <c r="Y84" s="1062"/>
      <c r="Z84" s="1062"/>
      <c r="AA84" s="140" t="s">
        <v>308</v>
      </c>
      <c r="AB84" s="337"/>
      <c r="AC84" s="319">
        <f>AC77+2*AH77</f>
        <v>13.433148727489428</v>
      </c>
      <c r="AD84" s="320">
        <f>AE84+(AF84+AG84+AH84)/3600</f>
        <v>13.840277777777777</v>
      </c>
      <c r="AE84" s="321">
        <f>heureConvert2Decimal(M84)</f>
        <v>13.666666666666666</v>
      </c>
      <c r="AF84" s="322">
        <f>P84*3600</f>
        <v>0</v>
      </c>
      <c r="AG84" s="323">
        <f>T84</f>
        <v>2</v>
      </c>
      <c r="AH84" s="321">
        <f>heureConvert2Decimal(X84)*60</f>
        <v>623</v>
      </c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</row>
    <row r="85" spans="2:48" s="84" customFormat="1" ht="17.25" customHeight="1" thickTop="1" thickBot="1">
      <c r="C85" s="665" t="s">
        <v>205</v>
      </c>
      <c r="D85" s="665"/>
      <c r="E85" s="1083" t="str">
        <f>E76</f>
        <v>4°54</v>
      </c>
      <c r="F85" s="1084"/>
      <c r="G85" s="1069" t="str">
        <f>heureDecimal2Txt(AC85)</f>
        <v>13:41:59.33(13.6998)</v>
      </c>
      <c r="H85" s="1069"/>
      <c r="I85" s="1069"/>
      <c r="J85" s="1085" t="str">
        <f>heureDecimal2Txt(AD85)</f>
        <v>13:52:02.00(13.8672)</v>
      </c>
      <c r="K85" s="1085"/>
      <c r="L85" s="1086"/>
      <c r="M85" s="1080" t="s">
        <v>305</v>
      </c>
      <c r="N85" s="1079"/>
      <c r="O85" s="1079"/>
      <c r="P85" s="1079">
        <v>0</v>
      </c>
      <c r="Q85" s="1079"/>
      <c r="R85" s="1079"/>
      <c r="S85" s="1079"/>
      <c r="T85" s="1060">
        <v>2</v>
      </c>
      <c r="U85" s="1060"/>
      <c r="V85" s="1060"/>
      <c r="W85" s="1060"/>
      <c r="X85" s="1061" t="s">
        <v>121</v>
      </c>
      <c r="Y85" s="1062"/>
      <c r="Z85" s="1062"/>
      <c r="AA85" s="140" t="s">
        <v>308</v>
      </c>
      <c r="AB85" s="338"/>
      <c r="AC85" s="319">
        <f>AC76+2*AH76</f>
        <v>13.699815394156094</v>
      </c>
      <c r="AD85" s="320">
        <f>AE85+(AF85+AG85+AH85)/3600</f>
        <v>13.867222222222223</v>
      </c>
      <c r="AE85" s="321">
        <f>heureConvert2Decimal(M85)</f>
        <v>13.866666666666667</v>
      </c>
      <c r="AF85" s="322">
        <f>P85*3600</f>
        <v>0</v>
      </c>
      <c r="AG85" s="323">
        <f>T85</f>
        <v>2</v>
      </c>
      <c r="AH85" s="321">
        <f>heureConvert2Decimal(X85)*60</f>
        <v>0</v>
      </c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</row>
    <row r="86" spans="2:48" s="84" customFormat="1" ht="17.25" customHeight="1" thickTop="1" thickBot="1">
      <c r="C86" s="665" t="s">
        <v>203</v>
      </c>
      <c r="D86" s="665"/>
      <c r="E86" s="1083" t="str">
        <f>E75</f>
        <v>3°54</v>
      </c>
      <c r="F86" s="1084"/>
      <c r="G86" s="1069" t="str">
        <f>heureDecimal2Txt(AC86)</f>
        <v>14:00:59.33(14.0164)</v>
      </c>
      <c r="H86" s="1069"/>
      <c r="I86" s="1069"/>
      <c r="J86" s="1085" t="str">
        <f>heureDecimal2Txt(AD86)</f>
        <v>14:10:02.00(14.1672)</v>
      </c>
      <c r="K86" s="1085"/>
      <c r="L86" s="1086"/>
      <c r="M86" s="1080" t="s">
        <v>304</v>
      </c>
      <c r="N86" s="1079"/>
      <c r="O86" s="1079"/>
      <c r="P86" s="1079">
        <v>0</v>
      </c>
      <c r="Q86" s="1079"/>
      <c r="R86" s="1079"/>
      <c r="S86" s="1079"/>
      <c r="T86" s="1060">
        <v>2</v>
      </c>
      <c r="U86" s="1060"/>
      <c r="V86" s="1060"/>
      <c r="W86" s="1060"/>
      <c r="X86" s="1061" t="s">
        <v>121</v>
      </c>
      <c r="Y86" s="1062"/>
      <c r="Z86" s="1062"/>
      <c r="AA86" s="140" t="s">
        <v>294</v>
      </c>
      <c r="AB86" s="338"/>
      <c r="AC86" s="319">
        <f>AC75+2*AH75</f>
        <v>14.01648206082276</v>
      </c>
      <c r="AD86" s="320">
        <f>AE86+(AF86+AG86+AH86)/3600</f>
        <v>14.167222222222222</v>
      </c>
      <c r="AE86" s="321">
        <f>heureConvert2Decimal(M86)</f>
        <v>14.166666666666666</v>
      </c>
      <c r="AF86" s="322">
        <f>P86*3600</f>
        <v>0</v>
      </c>
      <c r="AG86" s="323">
        <f>T86</f>
        <v>2</v>
      </c>
      <c r="AH86" s="321">
        <f>heureConvert2Decimal(X86)*60</f>
        <v>0</v>
      </c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</row>
    <row r="87" spans="2:48" s="84" customFormat="1" ht="17.25" customHeight="1" thickTop="1" thickBot="1">
      <c r="C87" s="665" t="s">
        <v>201</v>
      </c>
      <c r="D87" s="665"/>
      <c r="E87" s="1083" t="str">
        <f>E74</f>
        <v>2°54</v>
      </c>
      <c r="F87" s="1084"/>
      <c r="G87" s="1069" t="str">
        <f>heureDecimal2Txt(AC87)</f>
        <v>14:15:59.33(14.2664)</v>
      </c>
      <c r="H87" s="1069"/>
      <c r="I87" s="1069"/>
      <c r="J87" s="1085" t="str">
        <f>heureDecimal2Txt(AD87)</f>
        <v>14:32:03.00(14.5341)</v>
      </c>
      <c r="K87" s="1085"/>
      <c r="L87" s="1086"/>
      <c r="M87" s="1080" t="s">
        <v>302</v>
      </c>
      <c r="N87" s="1079"/>
      <c r="O87" s="1079"/>
      <c r="P87" s="1079">
        <v>0</v>
      </c>
      <c r="Q87" s="1079"/>
      <c r="R87" s="1079"/>
      <c r="S87" s="1079"/>
      <c r="T87" s="1060">
        <v>2</v>
      </c>
      <c r="U87" s="1060"/>
      <c r="V87" s="1060"/>
      <c r="W87" s="1060"/>
      <c r="X87" s="1061" t="s">
        <v>121</v>
      </c>
      <c r="Y87" s="1062"/>
      <c r="Z87" s="1062"/>
      <c r="AA87" s="140" t="s">
        <v>308</v>
      </c>
      <c r="AB87" s="338"/>
      <c r="AC87" s="319">
        <f>AC74+2*AH74</f>
        <v>14.26648206082276</v>
      </c>
      <c r="AD87" s="320">
        <f>AE87+(AF87+AG87+AH87)/3600</f>
        <v>14.534166666666666</v>
      </c>
      <c r="AE87" s="321">
        <f>heureConvert2Decimal(M87)</f>
        <v>14.53361111111111</v>
      </c>
      <c r="AF87" s="322">
        <f>P87*3600</f>
        <v>0</v>
      </c>
      <c r="AG87" s="323">
        <f>T87</f>
        <v>2</v>
      </c>
      <c r="AH87" s="321">
        <f>heureConvert2Decimal(X87)*60</f>
        <v>0</v>
      </c>
      <c r="AU87"/>
    </row>
    <row r="88" spans="2:48" ht="15.75" thickTop="1"/>
    <row r="89" spans="2:48" ht="15.75" thickBot="1"/>
    <row r="90" spans="2:48" ht="15.75" thickBot="1">
      <c r="B90" s="132" t="s">
        <v>300</v>
      </c>
      <c r="C90" s="133"/>
      <c r="D90" s="133"/>
      <c r="E90" s="131"/>
      <c r="F90" s="131"/>
      <c r="G90" s="131"/>
      <c r="H90" s="131"/>
      <c r="I90" s="131"/>
      <c r="J90" s="131"/>
      <c r="K90" s="131"/>
      <c r="L90" s="133"/>
      <c r="M90" s="133"/>
      <c r="N90" s="133"/>
      <c r="O90" s="133"/>
      <c r="P90" s="133"/>
      <c r="Q90" s="133"/>
      <c r="R90" s="133"/>
      <c r="S90" s="133"/>
      <c r="T90" s="133"/>
      <c r="U90" s="131"/>
      <c r="V90" s="131"/>
      <c r="W90" s="131"/>
      <c r="X90" s="131"/>
      <c r="Y90" s="131"/>
      <c r="Z90" s="131"/>
      <c r="AA90" s="131"/>
    </row>
    <row r="91" spans="2:48">
      <c r="B91" s="16"/>
      <c r="E91" s="1052" t="s">
        <v>301</v>
      </c>
      <c r="F91" s="1052"/>
      <c r="G91" s="1052" t="s">
        <v>11</v>
      </c>
      <c r="H91" s="1052"/>
      <c r="I91" s="1052"/>
      <c r="J91" s="1052"/>
      <c r="K91" s="1052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</row>
    <row r="92" spans="2:48">
      <c r="B92" s="16"/>
      <c r="C92" s="136" t="s">
        <v>200</v>
      </c>
      <c r="D92" s="191"/>
      <c r="E92" s="1052" t="b">
        <f>(AA87="O")</f>
        <v>0</v>
      </c>
      <c r="F92" s="1052"/>
      <c r="G92" s="1052">
        <f>IF(E92,(AD87+AC74)/2,0)</f>
        <v>0</v>
      </c>
      <c r="H92" s="1052"/>
      <c r="I92" s="91" t="str">
        <f>heureDecimal2Txt(G92)</f>
        <v>00:00:00.00(00.0000)</v>
      </c>
      <c r="J92" s="91"/>
      <c r="K92" s="91"/>
      <c r="Z92" s="16"/>
      <c r="AA92" s="16"/>
      <c r="AC92" s="14" t="s">
        <v>310</v>
      </c>
      <c r="AD92" s="14">
        <f>IF(G92&gt;0,1,0)</f>
        <v>0</v>
      </c>
    </row>
    <row r="93" spans="2:48">
      <c r="B93" s="16"/>
      <c r="C93" s="134" t="s">
        <v>202</v>
      </c>
      <c r="D93" s="192"/>
      <c r="E93" s="1052" t="b">
        <f>(AA86="O")</f>
        <v>1</v>
      </c>
      <c r="F93" s="1052"/>
      <c r="G93" s="1052">
        <f>IF(E93,(AD86+AC75)/2,0)</f>
        <v>12.465555555555556</v>
      </c>
      <c r="H93" s="1052"/>
      <c r="I93" s="91" t="str">
        <f t="shared" ref="I93:I98" si="0">heureDecimal2Txt(G93)</f>
        <v>12:27:56.00(12.4655)</v>
      </c>
      <c r="J93" s="91"/>
      <c r="K93" s="91"/>
      <c r="Z93" s="16"/>
      <c r="AA93" s="16"/>
      <c r="AC93" s="14" t="s">
        <v>310</v>
      </c>
      <c r="AD93" s="14">
        <f>IF(G93&gt;0,1,0)</f>
        <v>1</v>
      </c>
    </row>
    <row r="94" spans="2:48">
      <c r="B94" s="16"/>
      <c r="C94" s="134" t="s">
        <v>204</v>
      </c>
      <c r="D94" s="192"/>
      <c r="E94" s="1052" t="b">
        <f>(AA85="O")</f>
        <v>0</v>
      </c>
      <c r="F94" s="1052"/>
      <c r="G94" s="1052">
        <f>IF(E94,(AD85+AC76)/2,0)</f>
        <v>0</v>
      </c>
      <c r="H94" s="1052"/>
      <c r="I94" s="91" t="str">
        <f t="shared" si="0"/>
        <v>00:00:00.00(00.0000)</v>
      </c>
      <c r="J94" s="91"/>
      <c r="K94" s="91"/>
      <c r="Z94" s="16"/>
      <c r="AA94" s="16"/>
      <c r="AC94" s="14" t="s">
        <v>310</v>
      </c>
      <c r="AD94" s="14">
        <f>IF(G94&gt;0,1,0)</f>
        <v>0</v>
      </c>
    </row>
    <row r="95" spans="2:48">
      <c r="C95" s="134" t="s">
        <v>206</v>
      </c>
      <c r="D95" s="192"/>
      <c r="E95" s="1052" t="b">
        <f>(AA84="O")</f>
        <v>0</v>
      </c>
      <c r="F95" s="1052"/>
      <c r="G95" s="1052">
        <f>IF(E95,(AD84+AC77)/2,0)</f>
        <v>0</v>
      </c>
      <c r="H95" s="1052"/>
      <c r="I95" s="91" t="str">
        <f t="shared" si="0"/>
        <v>00:00:00.00(00.0000)</v>
      </c>
      <c r="J95" s="91"/>
      <c r="K95" s="91"/>
      <c r="AC95" s="14" t="s">
        <v>310</v>
      </c>
      <c r="AD95" s="14">
        <f>IF(G95&gt;0,1,0)</f>
        <v>0</v>
      </c>
    </row>
    <row r="96" spans="2:48">
      <c r="C96" s="138" t="s">
        <v>208</v>
      </c>
      <c r="D96" s="193"/>
      <c r="E96" s="1052" t="b">
        <f>(AA83="O")</f>
        <v>1</v>
      </c>
      <c r="F96" s="1052"/>
      <c r="G96" s="1052">
        <f>IF(E96,(AD83+AC78)/2,0)</f>
        <v>12.618749999999999</v>
      </c>
      <c r="H96" s="1052"/>
      <c r="I96" s="91" t="str">
        <f t="shared" si="0"/>
        <v>12:37:07.49(12.6187)</v>
      </c>
      <c r="J96" s="91"/>
      <c r="K96" s="91"/>
      <c r="AC96" s="14" t="s">
        <v>310</v>
      </c>
      <c r="AD96" s="14">
        <f>IF(G96&gt;0,1,0)</f>
        <v>1</v>
      </c>
    </row>
    <row r="98" spans="2:66">
      <c r="E98" t="s">
        <v>303</v>
      </c>
      <c r="G98" s="1068">
        <f>SUM(G92:G96)/SUM(AD92:AD96)</f>
        <v>12.542152777777776</v>
      </c>
      <c r="H98" s="1068"/>
      <c r="I98" t="str">
        <f t="shared" si="0"/>
        <v>12:32:31.74(12.5421)</v>
      </c>
      <c r="N98" s="1058" t="s">
        <v>307</v>
      </c>
      <c r="O98" s="1058"/>
      <c r="P98" s="1058"/>
      <c r="Q98" s="1058">
        <f>G98</f>
        <v>12.542152777777776</v>
      </c>
      <c r="R98" s="1058"/>
      <c r="S98" s="1059" t="str">
        <f>heureDecimal2Txt(Q98)</f>
        <v>12:32:31.74(12.5421)</v>
      </c>
      <c r="T98" s="1059"/>
      <c r="U98" s="1059"/>
      <c r="V98" s="1059"/>
      <c r="W98" s="1059"/>
      <c r="X98" s="1059"/>
      <c r="Y98" s="1059"/>
    </row>
    <row r="99" spans="2:66">
      <c r="N99" s="1058"/>
      <c r="O99" s="1058"/>
      <c r="P99" s="1058"/>
      <c r="Q99" s="1058"/>
      <c r="R99" s="1058"/>
      <c r="S99" s="1059"/>
      <c r="T99" s="1059"/>
      <c r="U99" s="1059"/>
      <c r="V99" s="1059"/>
      <c r="W99" s="1059"/>
      <c r="X99" s="1059"/>
      <c r="Y99" s="1059"/>
    </row>
    <row r="100" spans="2:66">
      <c r="N100" s="1058" t="s">
        <v>171</v>
      </c>
      <c r="O100" s="1058"/>
      <c r="P100" s="1058"/>
      <c r="Q100" s="1057">
        <f>(F20-Q98)*V47</f>
        <v>-7.1915837499999622</v>
      </c>
      <c r="R100" s="1058"/>
      <c r="S100" s="1059" t="str">
        <f>longitudeDecimal2Txt(Q100)</f>
        <v>W 07°11.49 (W 07.1915) [W 07°11'29.70]</v>
      </c>
      <c r="T100" s="1059"/>
      <c r="U100" s="1059"/>
      <c r="V100" s="1059"/>
      <c r="W100" s="1059"/>
      <c r="X100" s="1059"/>
      <c r="Y100" s="1059"/>
    </row>
    <row r="101" spans="2:66">
      <c r="N101" s="1058"/>
      <c r="O101" s="1058"/>
      <c r="P101" s="1058"/>
      <c r="Q101" s="1058"/>
      <c r="R101" s="1058"/>
      <c r="S101" s="1059"/>
      <c r="T101" s="1059"/>
      <c r="U101" s="1059"/>
      <c r="V101" s="1059"/>
      <c r="W101" s="1059"/>
      <c r="X101" s="1059"/>
      <c r="Y101" s="1059"/>
    </row>
    <row r="102" spans="2:66" ht="15.75" thickBot="1"/>
    <row r="103" spans="2:66" s="16" customFormat="1" ht="17.25" customHeight="1" thickBot="1">
      <c r="B103" s="25" t="s">
        <v>18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325"/>
      <c r="AC103" s="14"/>
      <c r="AD103" s="14"/>
      <c r="AE103" s="14"/>
      <c r="AF103" s="14"/>
      <c r="AG103" s="14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2:66" s="16" customFormat="1" ht="18" customHeight="1" thickBot="1">
      <c r="B104"/>
      <c r="C104" s="626" t="s">
        <v>165</v>
      </c>
      <c r="D104" s="627"/>
      <c r="E104" s="627"/>
      <c r="F104" s="627"/>
      <c r="G104" s="627"/>
      <c r="H104" s="627"/>
      <c r="I104" s="628"/>
      <c r="J104" s="629" t="s">
        <v>167</v>
      </c>
      <c r="K104" s="630"/>
      <c r="L104" s="630"/>
      <c r="M104" s="630"/>
      <c r="N104" s="630"/>
      <c r="O104" s="631"/>
      <c r="P104"/>
      <c r="Q104"/>
      <c r="R104"/>
      <c r="S104"/>
      <c r="T104"/>
      <c r="U104"/>
      <c r="V104"/>
      <c r="W104"/>
      <c r="X104"/>
      <c r="Y104"/>
      <c r="Z104"/>
      <c r="AA104"/>
      <c r="AB104" s="324"/>
      <c r="AC104" s="293" t="s">
        <v>166</v>
      </c>
      <c r="AD104" s="294" t="s">
        <v>167</v>
      </c>
      <c r="AE104" s="14"/>
      <c r="AF104" s="14"/>
      <c r="AG104" s="1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4"/>
    </row>
    <row r="105" spans="2:66" s="16" customFormat="1" ht="18" hidden="1" customHeight="1" outlineLevel="1" thickTop="1" thickBot="1">
      <c r="B105" s="14"/>
      <c r="C105" s="626" t="s">
        <v>128</v>
      </c>
      <c r="D105" s="627"/>
      <c r="E105" s="627"/>
      <c r="F105" s="627"/>
      <c r="G105" s="627"/>
      <c r="H105" s="627"/>
      <c r="I105" s="628"/>
      <c r="J105" s="980" cm="1">
        <f t="array" ref="J105">angleConvert2Decimal(M105)</f>
        <v>0.9</v>
      </c>
      <c r="K105" s="981"/>
      <c r="L105" s="982"/>
      <c r="M105" s="983" t="s">
        <v>99</v>
      </c>
      <c r="N105" s="984"/>
      <c r="O105" s="985"/>
      <c r="P105" s="751" t="str" cm="1">
        <f t="array" ref="P105">angleDecimal2Txt(J105)</f>
        <v>+00°54.00 (+00.9000) [+00°54'00.00]</v>
      </c>
      <c r="Q105" s="752"/>
      <c r="R105" s="752"/>
      <c r="S105" s="752"/>
      <c r="T105" s="752"/>
      <c r="U105" s="752"/>
      <c r="V105" s="752"/>
      <c r="W105" s="752"/>
      <c r="X105" s="438"/>
      <c r="Y105" s="14"/>
      <c r="AB105" s="324"/>
      <c r="AC105" s="14"/>
      <c r="AD105" s="14"/>
      <c r="AE105" s="14"/>
      <c r="AF105" s="14"/>
      <c r="AG105" s="14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2:66" s="16" customFormat="1" ht="18" hidden="1" customHeight="1" outlineLevel="1" thickTop="1" thickBot="1">
      <c r="C106" s="477" t="s">
        <v>127</v>
      </c>
      <c r="D106" s="477"/>
      <c r="E106" s="477"/>
      <c r="F106" s="477"/>
      <c r="G106" s="477"/>
      <c r="H106" s="477"/>
      <c r="I106" s="477"/>
      <c r="J106" s="472" cm="1">
        <f t="array" ref="J106">angleConvert2Decimal(M106)</f>
        <v>33.4</v>
      </c>
      <c r="K106" s="625"/>
      <c r="L106" s="473"/>
      <c r="M106" s="988" t="s">
        <v>211</v>
      </c>
      <c r="N106" s="989"/>
      <c r="O106" s="990"/>
      <c r="P106" s="416" t="str" cm="1">
        <f t="array" ref="P106">angleDecimal2Txt(J106)</f>
        <v>+33°24.00 (+33.3999) [+33°24'00.00]</v>
      </c>
      <c r="Q106" s="416"/>
      <c r="R106" s="416"/>
      <c r="S106" s="416"/>
      <c r="T106" s="416"/>
      <c r="U106" s="416"/>
      <c r="V106" s="416"/>
      <c r="W106" s="416"/>
      <c r="X106" s="416"/>
      <c r="Y106" s="14"/>
      <c r="AB106" s="324"/>
      <c r="AC106" s="14"/>
      <c r="AD106" s="14"/>
      <c r="AE106" s="14"/>
      <c r="AF106" s="14"/>
      <c r="AG106" s="14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2:66" s="16" customFormat="1" ht="18" hidden="1" customHeight="1" outlineLevel="1" thickTop="1" thickBot="1">
      <c r="C107" s="477" t="s">
        <v>135</v>
      </c>
      <c r="D107" s="477"/>
      <c r="E107" s="477"/>
      <c r="F107" s="477"/>
      <c r="G107" s="477"/>
      <c r="H107" s="477"/>
      <c r="I107" s="477"/>
      <c r="J107" s="472" cm="1">
        <f t="array" ref="J107">angleConvert2Decimal(M107)</f>
        <v>16.25</v>
      </c>
      <c r="K107" s="625"/>
      <c r="L107" s="473"/>
      <c r="M107" s="988">
        <f>(J106-J105)/2</f>
        <v>16.25</v>
      </c>
      <c r="N107" s="989"/>
      <c r="O107" s="990"/>
      <c r="P107" s="416" t="str" cm="1">
        <f t="array" ref="P107">angleDecimal2Txt(J107)</f>
        <v>+16°15.00 (+16.2500) [+16°15'00.00]</v>
      </c>
      <c r="Q107" s="416"/>
      <c r="R107" s="416"/>
      <c r="S107" s="416"/>
      <c r="T107" s="416"/>
      <c r="U107" s="416"/>
      <c r="V107" s="416"/>
      <c r="W107" s="416"/>
      <c r="X107" s="416"/>
      <c r="Y107" s="14"/>
      <c r="AB107" s="324"/>
      <c r="AC107" s="14"/>
      <c r="AD107" s="14"/>
      <c r="AE107" s="14"/>
      <c r="AF107" s="14"/>
      <c r="AG107" s="14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2:66" s="16" customFormat="1" ht="18" customHeight="1" collapsed="1" thickBot="1">
      <c r="C108" s="633" t="s">
        <v>19</v>
      </c>
      <c r="D108" s="633"/>
      <c r="E108" s="633"/>
      <c r="F108" s="633"/>
      <c r="G108" s="633"/>
      <c r="H108" s="633"/>
      <c r="I108" s="633"/>
      <c r="J108" s="620">
        <f>M108</f>
        <v>2</v>
      </c>
      <c r="K108" s="621"/>
      <c r="L108" s="622"/>
      <c r="M108" s="528">
        <v>2</v>
      </c>
      <c r="N108" s="528"/>
      <c r="O108" s="528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AB108" s="324"/>
      <c r="AC108" s="14"/>
      <c r="AD108" s="14"/>
      <c r="AE108" s="14"/>
      <c r="AF108" s="14"/>
      <c r="AG108" s="14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2:66" s="16" customFormat="1" ht="18" customHeight="1" thickTop="1" thickBot="1">
      <c r="B109" s="14"/>
      <c r="C109" s="646" t="s">
        <v>20</v>
      </c>
      <c r="D109" s="647"/>
      <c r="E109" s="647"/>
      <c r="F109" s="647"/>
      <c r="G109" s="647"/>
      <c r="H109" s="647"/>
      <c r="I109" s="648"/>
      <c r="J109" s="472" cm="1">
        <f t="array" ref="J109">angleConvert2Decimal(M109)</f>
        <v>2.1666666666666667E-2</v>
      </c>
      <c r="K109" s="625"/>
      <c r="L109" s="473"/>
      <c r="M109" s="527" t="s">
        <v>245</v>
      </c>
      <c r="N109" s="528"/>
      <c r="O109" s="528"/>
      <c r="P109" s="416" t="str" cm="1">
        <f t="array" ref="P109">angleDecimal2Txt(J109)</f>
        <v>+00°01.30 (+00.0216) [+00°01'18.00]</v>
      </c>
      <c r="Q109" s="416"/>
      <c r="R109" s="416"/>
      <c r="S109" s="416"/>
      <c r="T109" s="416"/>
      <c r="U109" s="416"/>
      <c r="V109" s="416"/>
      <c r="W109" s="416"/>
      <c r="X109" s="416"/>
      <c r="Y109" s="14"/>
      <c r="AB109" s="324"/>
      <c r="AC109" s="14"/>
      <c r="AD109" s="14"/>
      <c r="AE109" s="14"/>
      <c r="AF109" s="14"/>
      <c r="AG109" s="14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2:66" s="16" customFormat="1" ht="18" customHeight="1" thickTop="1" thickBot="1">
      <c r="C110" s="492" t="s">
        <v>26</v>
      </c>
      <c r="D110" s="492"/>
      <c r="E110" s="492"/>
      <c r="F110" s="492"/>
      <c r="G110" s="492"/>
      <c r="H110" s="492"/>
      <c r="I110" s="492"/>
      <c r="J110" s="870" cm="1">
        <f t="array" ref="J110">IF(J104=AC104,J107,angleConvert2Decimal(M110))</f>
        <v>66.95</v>
      </c>
      <c r="K110" s="871"/>
      <c r="L110" s="872"/>
      <c r="M110" s="527" t="s">
        <v>254</v>
      </c>
      <c r="N110" s="528"/>
      <c r="O110" s="528"/>
      <c r="P110" s="416" t="str" cm="1">
        <f t="array" ref="P110">angleDecimal2Txt(J110)</f>
        <v>+66°57.00 (+66.9500) [+66°57'00.00]</v>
      </c>
      <c r="Q110" s="416"/>
      <c r="R110" s="416"/>
      <c r="S110" s="416"/>
      <c r="T110" s="416"/>
      <c r="U110" s="416"/>
      <c r="V110" s="416"/>
      <c r="W110" s="416"/>
      <c r="X110" s="416"/>
      <c r="Y110" s="14"/>
      <c r="AB110" s="324"/>
      <c r="AC110" s="14"/>
      <c r="AD110" s="14"/>
      <c r="AE110" s="14"/>
      <c r="AF110" s="14"/>
      <c r="AG110" s="14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2:66" s="16" customFormat="1" ht="18" hidden="1" customHeight="1" outlineLevel="1" thickTop="1">
      <c r="C111" s="568" t="s">
        <v>30</v>
      </c>
      <c r="D111" s="568"/>
      <c r="E111" s="568"/>
      <c r="F111" s="568"/>
      <c r="G111" s="568"/>
      <c r="H111" s="568"/>
      <c r="I111" s="568"/>
      <c r="J111" s="463" t="str">
        <f>M111</f>
        <v>Soleil</v>
      </c>
      <c r="K111" s="464"/>
      <c r="L111" s="465"/>
      <c r="M111" s="1104" t="s">
        <v>31</v>
      </c>
      <c r="N111" s="1105"/>
      <c r="O111" s="1106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AB111" s="324"/>
      <c r="AC111" s="14"/>
      <c r="AD111" s="14"/>
      <c r="AE111" s="14"/>
      <c r="AF111" s="14"/>
      <c r="AG111" s="298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2:66" s="16" customFormat="1" ht="18" customHeight="1" collapsed="1" thickTop="1">
      <c r="C112" s="568" t="s">
        <v>56</v>
      </c>
      <c r="D112" s="568"/>
      <c r="E112" s="568"/>
      <c r="F112" s="568"/>
      <c r="G112" s="568"/>
      <c r="H112" s="568"/>
      <c r="I112" s="568"/>
      <c r="J112" s="463" t="str">
        <f>M112</f>
        <v>BordSup</v>
      </c>
      <c r="K112" s="464"/>
      <c r="L112" s="465"/>
      <c r="M112" s="601" t="s">
        <v>188</v>
      </c>
      <c r="N112" s="601"/>
      <c r="O112" s="601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AB112" s="324"/>
      <c r="AC112"/>
      <c r="AD112"/>
      <c r="AE112"/>
      <c r="AF112"/>
      <c r="AG112" s="298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1:66" s="16" customFormat="1" ht="17.25" customHeight="1">
      <c r="C113" s="562" t="s">
        <v>151</v>
      </c>
      <c r="D113" s="563"/>
      <c r="E113" s="27"/>
      <c r="F113" s="27"/>
      <c r="G113" s="27"/>
      <c r="H113" s="27"/>
      <c r="I113" s="28"/>
      <c r="J113" s="425" cm="1">
        <f t="array" ref="J113">angleConvert2Decimal(M113)</f>
        <v>2.8833333333333302E-3</v>
      </c>
      <c r="K113" s="426"/>
      <c r="L113" s="427"/>
      <c r="M113" s="419">
        <f>P115</f>
        <v>2.8833333333333302E-3</v>
      </c>
      <c r="N113" s="420"/>
      <c r="O113" s="420"/>
      <c r="P113" s="866" t="s">
        <v>97</v>
      </c>
      <c r="Q113" s="866"/>
      <c r="R113" s="866"/>
      <c r="S113" s="14"/>
      <c r="T113" s="14"/>
      <c r="U113" s="14"/>
      <c r="V113" s="14"/>
      <c r="W113" s="14"/>
      <c r="X113" s="14"/>
      <c r="Y113" s="14"/>
      <c r="AB113" s="324"/>
      <c r="AC113"/>
      <c r="AD113"/>
      <c r="AE113"/>
      <c r="AF113"/>
      <c r="AG113" s="298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1:66" s="16" customFormat="1" ht="17.25" customHeight="1" thickBot="1">
      <c r="C114" s="29"/>
      <c r="D114" s="879" t="s">
        <v>152</v>
      </c>
      <c r="E114" s="879"/>
      <c r="F114" s="879"/>
      <c r="G114" s="879"/>
      <c r="H114" s="879"/>
      <c r="I114" s="880"/>
      <c r="J114" s="428"/>
      <c r="K114" s="429"/>
      <c r="L114" s="430"/>
      <c r="M114" s="421"/>
      <c r="N114" s="422"/>
      <c r="O114" s="422"/>
      <c r="P114" s="866"/>
      <c r="Q114" s="866"/>
      <c r="R114" s="866"/>
      <c r="S114" s="14"/>
      <c r="T114" s="14"/>
      <c r="U114" s="14"/>
      <c r="V114" s="14"/>
      <c r="W114" s="14"/>
      <c r="X114" s="14"/>
      <c r="Y114" s="14"/>
      <c r="AB114" s="324"/>
      <c r="AC114"/>
      <c r="AD114"/>
      <c r="AE114"/>
      <c r="AF114"/>
      <c r="AG114" s="298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1:66" s="16" customFormat="1" ht="17.25" customHeight="1" thickTop="1" thickBot="1">
      <c r="C115" s="29"/>
      <c r="D115" s="879"/>
      <c r="E115" s="879"/>
      <c r="F115" s="879"/>
      <c r="G115" s="879"/>
      <c r="H115" s="879"/>
      <c r="I115" s="880"/>
      <c r="J115" s="428"/>
      <c r="K115" s="429"/>
      <c r="L115" s="430"/>
      <c r="M115" s="421"/>
      <c r="N115" s="422"/>
      <c r="O115" s="422"/>
      <c r="P115" s="599" cm="1">
        <f t="array" ref="P115">astroHPSoleilEnDegre()</f>
        <v>2.8833333333333302E-3</v>
      </c>
      <c r="Q115" s="599"/>
      <c r="R115" s="599"/>
      <c r="S115" s="559" t="str" cm="1">
        <f t="array" ref="S115">angleDecimal2Txt(angleConvert2Decimal(P115))</f>
        <v>+00°00.17 (+00.0028) [+00°00'10.37]</v>
      </c>
      <c r="T115" s="559"/>
      <c r="U115" s="559"/>
      <c r="V115" s="559"/>
      <c r="W115" s="559"/>
      <c r="X115" s="560"/>
      <c r="Y115" s="14"/>
      <c r="AB115" s="324"/>
      <c r="AC115" s="14"/>
      <c r="AD115" s="14"/>
      <c r="AE115" s="14"/>
      <c r="AF115" s="14"/>
      <c r="AG115" s="14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1:66" s="16" customFormat="1" ht="17.25" customHeight="1" thickTop="1" thickBot="1">
      <c r="C116" s="30"/>
      <c r="D116" s="881"/>
      <c r="E116" s="881"/>
      <c r="F116" s="881"/>
      <c r="G116" s="881"/>
      <c r="H116" s="881"/>
      <c r="I116" s="882"/>
      <c r="J116" s="867"/>
      <c r="K116" s="868"/>
      <c r="L116" s="869"/>
      <c r="M116" s="423"/>
      <c r="N116" s="424"/>
      <c r="O116" s="424"/>
      <c r="P116" s="509" t="str" cm="1">
        <f t="array" ref="P116">angleDecimal2Txt(J113)</f>
        <v>+00°00.17 (+00.0028) [+00°00'10.37]</v>
      </c>
      <c r="Q116" s="509"/>
      <c r="R116" s="509"/>
      <c r="S116" s="416"/>
      <c r="T116" s="416"/>
      <c r="U116" s="416"/>
      <c r="V116" s="416"/>
      <c r="W116" s="416"/>
      <c r="X116" s="416"/>
      <c r="Y116" s="14"/>
      <c r="AB116" s="324"/>
      <c r="AC116" s="295" t="s">
        <v>98</v>
      </c>
      <c r="AD116" s="296" t="s">
        <v>57</v>
      </c>
      <c r="AE116" s="296" t="s">
        <v>188</v>
      </c>
      <c r="AF116" s="296" t="s">
        <v>58</v>
      </c>
      <c r="AG116" s="14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1:66" s="16" customFormat="1" ht="17.25" customHeight="1" thickTop="1">
      <c r="C117" s="1044" t="s">
        <v>100</v>
      </c>
      <c r="D117" s="1045"/>
      <c r="E117" s="1045"/>
      <c r="F117" s="1045"/>
      <c r="G117" s="1045"/>
      <c r="H117" s="1045"/>
      <c r="I117" s="1046"/>
      <c r="J117" s="425" cm="1">
        <f t="array" ref="J117">angleConvert2Decimal(M117)</f>
        <v>0.52666666699999998</v>
      </c>
      <c r="K117" s="426"/>
      <c r="L117" s="427"/>
      <c r="M117" s="419">
        <f>P119</f>
        <v>0.52666666699999998</v>
      </c>
      <c r="N117" s="420"/>
      <c r="O117" s="420"/>
      <c r="P117" s="866" t="s">
        <v>97</v>
      </c>
      <c r="Q117" s="866"/>
      <c r="R117" s="866"/>
      <c r="S117" s="14"/>
      <c r="T117" s="14"/>
      <c r="U117" s="14"/>
      <c r="V117" s="14"/>
      <c r="W117" s="14"/>
      <c r="X117" s="14"/>
      <c r="Y117" s="14"/>
      <c r="AB117" s="324"/>
      <c r="AC117"/>
      <c r="AD117"/>
      <c r="AE117"/>
      <c r="AF117"/>
      <c r="AG117" s="14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1:66" s="16" customFormat="1" ht="17.25" customHeight="1" thickBot="1">
      <c r="C118" s="1047"/>
      <c r="D118" s="476"/>
      <c r="E118" s="476"/>
      <c r="F118" s="476"/>
      <c r="G118" s="476"/>
      <c r="H118" s="476"/>
      <c r="I118" s="1048"/>
      <c r="J118" s="428"/>
      <c r="K118" s="429"/>
      <c r="L118" s="430"/>
      <c r="M118" s="421"/>
      <c r="N118" s="422"/>
      <c r="O118" s="422"/>
      <c r="P118" s="866"/>
      <c r="Q118" s="866"/>
      <c r="R118" s="866"/>
      <c r="S118" s="14"/>
      <c r="T118" s="14"/>
      <c r="U118" s="14"/>
      <c r="V118" s="14"/>
      <c r="W118" s="14"/>
      <c r="X118" s="14"/>
      <c r="Y118" s="14"/>
      <c r="AB118" s="324"/>
      <c r="AC118" s="14"/>
      <c r="AD118" s="14"/>
      <c r="AE118" s="14"/>
      <c r="AF118" s="14"/>
      <c r="AG118" s="14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1:66" s="16" customFormat="1" ht="17.25" customHeight="1" thickTop="1" thickBot="1">
      <c r="C119" s="1047"/>
      <c r="D119" s="476"/>
      <c r="E119" s="476"/>
      <c r="F119" s="476"/>
      <c r="G119" s="476"/>
      <c r="H119" s="476"/>
      <c r="I119" s="1048"/>
      <c r="J119" s="428"/>
      <c r="K119" s="429"/>
      <c r="L119" s="430"/>
      <c r="M119" s="421"/>
      <c r="N119" s="422"/>
      <c r="O119" s="422"/>
      <c r="P119" s="599" cm="1">
        <f t="array" ref="P119">astroDiametreSoleilEnDegre(AA6)</f>
        <v>0.52666666699999998</v>
      </c>
      <c r="Q119" s="599"/>
      <c r="R119" s="599"/>
      <c r="S119" s="559" t="str" cm="1">
        <f t="array" ref="S119">angleDecimal2Txt(angleConvert2Decimal(P119))</f>
        <v>+00°31.60 (+00.5266) [+00°31'36.00]</v>
      </c>
      <c r="T119" s="559"/>
      <c r="U119" s="559"/>
      <c r="V119" s="559"/>
      <c r="W119" s="559"/>
      <c r="X119" s="560"/>
      <c r="Y119" s="14"/>
      <c r="AB119" s="324"/>
      <c r="AC119" s="14"/>
      <c r="AD119" s="14"/>
      <c r="AE119" s="14"/>
      <c r="AF119" s="14"/>
      <c r="AG119" s="14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1:66" s="16" customFormat="1" ht="17.25" customHeight="1" thickTop="1" thickBot="1">
      <c r="C120" s="1049"/>
      <c r="D120" s="1050"/>
      <c r="E120" s="1050"/>
      <c r="F120" s="1050"/>
      <c r="G120" s="1050"/>
      <c r="H120" s="1050"/>
      <c r="I120" s="1051"/>
      <c r="J120" s="431"/>
      <c r="K120" s="432"/>
      <c r="L120" s="433"/>
      <c r="M120" s="423"/>
      <c r="N120" s="424"/>
      <c r="O120" s="424"/>
      <c r="P120" s="509" t="str" cm="1">
        <f t="array" ref="P120">angleDecimal2Txt(J117)</f>
        <v>+00°31.60 (+00.5266) [+00°31'36.00]</v>
      </c>
      <c r="Q120" s="509"/>
      <c r="R120" s="509"/>
      <c r="S120" s="416"/>
      <c r="T120" s="416"/>
      <c r="U120" s="416"/>
      <c r="V120" s="416"/>
      <c r="W120" s="416"/>
      <c r="X120" s="416"/>
      <c r="Y120" s="14"/>
      <c r="AB120" s="324"/>
      <c r="AC120" s="14"/>
      <c r="AD120" s="14"/>
      <c r="AE120" s="14"/>
      <c r="AF120" s="14"/>
      <c r="AG120" s="14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4"/>
    </row>
    <row r="121" spans="1:66" s="16" customFormat="1" ht="17.25" customHeight="1" thickTop="1" thickBot="1"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AB121" s="324"/>
      <c r="AC121" s="14"/>
      <c r="AD121" s="14"/>
      <c r="AE121" s="14"/>
      <c r="AF121" s="14"/>
      <c r="AG121" s="14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24"/>
    </row>
    <row r="122" spans="1:66" s="16" customFormat="1" ht="17.25" customHeight="1" thickBot="1">
      <c r="B122" s="25" t="s">
        <v>9</v>
      </c>
      <c r="C122" s="26"/>
      <c r="D122" s="26"/>
      <c r="E122" s="26"/>
      <c r="F122" s="498">
        <f>IF(G123=AD123,D126,IF(G123=AD124,D133,D139))</f>
        <v>-14.728333333333333</v>
      </c>
      <c r="G122" s="498"/>
      <c r="H122" s="498"/>
      <c r="I122" s="26"/>
      <c r="J122" s="26"/>
      <c r="K122" s="26" t="str" cm="1">
        <f t="array" ref="K122">latitudeDecimal2Txt(F122)</f>
        <v>S 14°43.70 (S 14.7283) [S 14°43'42.00]</v>
      </c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348"/>
      <c r="AC122"/>
      <c r="AD122" s="68" t="s">
        <v>561</v>
      </c>
      <c r="AF122" s="14"/>
      <c r="AG122" s="14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4"/>
    </row>
    <row r="123" spans="1:66" s="16" customFormat="1" ht="17.25" customHeight="1">
      <c r="A123" s="33"/>
      <c r="B123" s="33"/>
      <c r="C123" s="551" t="s">
        <v>35</v>
      </c>
      <c r="D123" s="551"/>
      <c r="E123" s="551"/>
      <c r="F123" s="551"/>
      <c r="G123" s="554" t="s">
        <v>561</v>
      </c>
      <c r="H123" s="555"/>
      <c r="I123" s="556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49"/>
      <c r="AC123" s="664" t="s">
        <v>36</v>
      </c>
      <c r="AD123" s="68" t="s">
        <v>10</v>
      </c>
      <c r="AE123"/>
      <c r="AF123" s="14"/>
      <c r="AG123" s="14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24"/>
    </row>
    <row r="124" spans="1:66" s="16" customFormat="1" ht="17.25" customHeight="1">
      <c r="C124" s="821" t="s">
        <v>10</v>
      </c>
      <c r="D124" s="823" t="s">
        <v>9</v>
      </c>
      <c r="E124" s="585"/>
      <c r="F124" s="585"/>
      <c r="G124" s="585"/>
      <c r="H124" s="585"/>
      <c r="I124" s="448" t="s">
        <v>626</v>
      </c>
      <c r="J124" s="541"/>
      <c r="K124" s="448" t="s">
        <v>13</v>
      </c>
      <c r="L124" s="449"/>
      <c r="M124" s="450"/>
      <c r="N124" s="454" t="s">
        <v>15</v>
      </c>
      <c r="O124" s="454"/>
      <c r="P124" s="454"/>
      <c r="Q124" s="454"/>
      <c r="R124" s="454"/>
      <c r="S124" s="14"/>
      <c r="AB124" s="343"/>
      <c r="AC124" s="664"/>
      <c r="AD124" s="68" t="s">
        <v>14</v>
      </c>
      <c r="AE124"/>
      <c r="AF124" s="14"/>
      <c r="AG124" s="1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4"/>
    </row>
    <row r="125" spans="1:66" s="16" customFormat="1" ht="17.25" customHeight="1" thickBot="1">
      <c r="C125" s="821"/>
      <c r="D125" s="823"/>
      <c r="E125" s="585"/>
      <c r="F125" s="585"/>
      <c r="G125" s="585"/>
      <c r="H125" s="585"/>
      <c r="I125" s="544"/>
      <c r="J125" s="545"/>
      <c r="K125" s="451"/>
      <c r="L125" s="452"/>
      <c r="M125" s="453"/>
      <c r="N125" s="454"/>
      <c r="O125" s="454"/>
      <c r="P125" s="454"/>
      <c r="Q125" s="454"/>
      <c r="R125" s="454"/>
      <c r="S125" s="14"/>
      <c r="AB125" s="343"/>
      <c r="AC125"/>
      <c r="AD125" s="71" t="s">
        <v>73</v>
      </c>
      <c r="AE125" s="3" t="s">
        <v>180</v>
      </c>
      <c r="AF125" s="14"/>
      <c r="AG125" s="14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31"/>
    </row>
    <row r="126" spans="1:66" s="16" customFormat="1" ht="17.25" customHeight="1" thickTop="1" thickBot="1">
      <c r="C126" s="821"/>
      <c r="D126" s="426" t="str">
        <f>IF(G123=AD123,AD131,"---")</f>
        <v>---</v>
      </c>
      <c r="E126" s="426"/>
      <c r="F126" s="426"/>
      <c r="G126" s="426"/>
      <c r="H126" s="427"/>
      <c r="I126" s="693" t="b">
        <f>E95</f>
        <v>0</v>
      </c>
      <c r="J126" s="694"/>
      <c r="K126" s="479">
        <v>10</v>
      </c>
      <c r="L126" s="480"/>
      <c r="M126" s="481"/>
      <c r="N126" s="455" t="s">
        <v>3</v>
      </c>
      <c r="O126" s="456" t="s">
        <v>546</v>
      </c>
      <c r="P126" s="457"/>
      <c r="Q126" s="457"/>
      <c r="R126" s="457"/>
      <c r="S126" s="493" t="str" cm="1">
        <f t="array" ref="S126">angleDecimal2Txt(AE126)</f>
        <v>+23°08.50 (+23.1416) [+23°08'30.00]</v>
      </c>
      <c r="T126" s="494"/>
      <c r="U126" s="494"/>
      <c r="V126" s="494"/>
      <c r="W126" s="494"/>
      <c r="AB126" s="343"/>
      <c r="AC126" s="3" t="s">
        <v>172</v>
      </c>
      <c r="AD126" s="3">
        <f>VLOOKUP(N126,Outils!$C$9:$E$10,3)</f>
        <v>1</v>
      </c>
      <c r="AE126" s="3" cm="1">
        <f t="array" ref="AE126">AD126*angleConvert2Decimal(O126)</f>
        <v>23.141666666666666</v>
      </c>
      <c r="AF126" s="14"/>
      <c r="AG126" s="14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31"/>
    </row>
    <row r="127" spans="1:66" s="16" customFormat="1" ht="17.25" customHeight="1" thickTop="1" thickBot="1">
      <c r="C127" s="821"/>
      <c r="D127" s="429"/>
      <c r="E127" s="429"/>
      <c r="F127" s="429"/>
      <c r="G127" s="429"/>
      <c r="H127" s="430"/>
      <c r="I127" s="434"/>
      <c r="J127" s="822"/>
      <c r="K127" s="482"/>
      <c r="L127" s="483"/>
      <c r="M127" s="484"/>
      <c r="N127" s="455"/>
      <c r="O127" s="458"/>
      <c r="P127" s="458"/>
      <c r="Q127" s="458"/>
      <c r="R127" s="458"/>
      <c r="S127" s="494"/>
      <c r="T127" s="494"/>
      <c r="U127" s="494"/>
      <c r="V127" s="494"/>
      <c r="W127" s="494"/>
      <c r="AB127" s="343"/>
      <c r="AC127" s="3" t="s">
        <v>173</v>
      </c>
      <c r="AD127" s="3">
        <f>VLOOKUP(N128,Outils!$C$9:$E$10,3)</f>
        <v>1</v>
      </c>
      <c r="AE127" s="3" cm="1">
        <f t="array" ref="AE127">AD127*angleConvert2Decimal(O128)</f>
        <v>23.138333333333332</v>
      </c>
      <c r="AF127" s="14"/>
      <c r="AG127" s="14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31"/>
    </row>
    <row r="128" spans="1:66" s="16" customFormat="1" ht="17.25" customHeight="1" thickTop="1" thickBot="1">
      <c r="C128" s="821"/>
      <c r="D128" s="429"/>
      <c r="E128" s="429"/>
      <c r="F128" s="429"/>
      <c r="G128" s="429"/>
      <c r="H128" s="430"/>
      <c r="I128" s="434"/>
      <c r="J128" s="822"/>
      <c r="K128" s="569">
        <v>11</v>
      </c>
      <c r="L128" s="570"/>
      <c r="M128" s="571"/>
      <c r="N128" s="455" t="s">
        <v>3</v>
      </c>
      <c r="O128" s="491" t="s">
        <v>547</v>
      </c>
      <c r="P128" s="458"/>
      <c r="Q128" s="458"/>
      <c r="R128" s="458"/>
      <c r="S128" s="493" t="str" cm="1">
        <f t="array" ref="S128">angleDecimal2Txt((AE127))</f>
        <v>+23°08.30 (+23.1383) [+23°08'18.00]</v>
      </c>
      <c r="T128" s="494"/>
      <c r="U128" s="494"/>
      <c r="V128" s="494"/>
      <c r="W128" s="494"/>
      <c r="AB128" s="343"/>
      <c r="AC128" s="3" t="s">
        <v>38</v>
      </c>
      <c r="AD128" s="5">
        <f>AE127-AE126</f>
        <v>-3.3333333333338544E-3</v>
      </c>
      <c r="AE128"/>
      <c r="AF128" s="14"/>
      <c r="AG128" s="14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4"/>
    </row>
    <row r="129" spans="1:66" s="16" customFormat="1" ht="17.25" customHeight="1" thickTop="1" thickBot="1">
      <c r="C129" s="821"/>
      <c r="D129" s="604" t="e" cm="1">
        <f t="array" ref="D129">latitudeDecimal2Txt(D126)</f>
        <v>#VALUE!</v>
      </c>
      <c r="E129" s="414"/>
      <c r="F129" s="414"/>
      <c r="G129" s="414"/>
      <c r="H129" s="414"/>
      <c r="I129" s="695"/>
      <c r="J129" s="696"/>
      <c r="K129" s="482"/>
      <c r="L129" s="483"/>
      <c r="M129" s="484"/>
      <c r="N129" s="455"/>
      <c r="O129" s="458"/>
      <c r="P129" s="458"/>
      <c r="Q129" s="458"/>
      <c r="R129" s="458"/>
      <c r="S129" s="494"/>
      <c r="T129" s="494"/>
      <c r="U129" s="494"/>
      <c r="V129" s="494"/>
      <c r="W129" s="494"/>
      <c r="AB129" s="343"/>
      <c r="AC129" s="3" t="s">
        <v>174</v>
      </c>
      <c r="AD129" s="5">
        <f>K128-K126</f>
        <v>1</v>
      </c>
      <c r="AF129" s="14"/>
      <c r="AG129" s="14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4"/>
    </row>
    <row r="130" spans="1:66" s="33" customFormat="1" ht="17.25" customHeight="1" thickTop="1">
      <c r="A130" s="16"/>
      <c r="B130" s="16"/>
      <c r="C130" s="59"/>
      <c r="D130" s="59"/>
      <c r="E130" s="59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343"/>
      <c r="AC130" s="3" t="s">
        <v>39</v>
      </c>
      <c r="AD130" s="5">
        <f>I126-K126</f>
        <v>-10</v>
      </c>
      <c r="AE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1:66" s="16" customFormat="1" ht="17.25" customHeight="1">
      <c r="C131" s="605" t="s">
        <v>14</v>
      </c>
      <c r="D131" s="585" t="s">
        <v>9</v>
      </c>
      <c r="E131" s="585"/>
      <c r="F131" s="585"/>
      <c r="G131" s="585"/>
      <c r="H131" s="585"/>
      <c r="I131" s="448" t="s">
        <v>626</v>
      </c>
      <c r="J131" s="541"/>
      <c r="K131" s="448" t="s">
        <v>618</v>
      </c>
      <c r="L131" s="449"/>
      <c r="M131" s="450"/>
      <c r="N131" s="454" t="s">
        <v>16</v>
      </c>
      <c r="O131" s="454"/>
      <c r="P131" s="454"/>
      <c r="Q131" s="454"/>
      <c r="R131" s="454"/>
      <c r="S131" s="454" t="s">
        <v>131</v>
      </c>
      <c r="T131" s="454"/>
      <c r="U131" s="454"/>
      <c r="V131" s="454"/>
      <c r="W131" s="454"/>
      <c r="AA131" s="14"/>
      <c r="AB131" s="343"/>
      <c r="AC131" s="3" t="s">
        <v>37</v>
      </c>
      <c r="AD131" s="3">
        <f>AE126+(AD128/AD129)*AD130</f>
        <v>23.175000000000004</v>
      </c>
      <c r="AE131"/>
      <c r="AF131" s="298"/>
      <c r="AG131" s="298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4"/>
    </row>
    <row r="132" spans="1:66" s="16" customFormat="1" ht="17.25" customHeight="1">
      <c r="C132" s="605"/>
      <c r="D132" s="585"/>
      <c r="E132" s="585"/>
      <c r="F132" s="585"/>
      <c r="G132" s="585"/>
      <c r="H132" s="585"/>
      <c r="I132" s="544"/>
      <c r="J132" s="545"/>
      <c r="K132" s="451"/>
      <c r="L132" s="452"/>
      <c r="M132" s="453"/>
      <c r="N132" s="454"/>
      <c r="O132" s="454"/>
      <c r="P132" s="454"/>
      <c r="Q132" s="454"/>
      <c r="R132" s="454"/>
      <c r="S132" s="454"/>
      <c r="T132" s="454"/>
      <c r="U132" s="454"/>
      <c r="V132" s="454"/>
      <c r="W132" s="454"/>
      <c r="AA132" s="14"/>
      <c r="AB132" s="343"/>
      <c r="AC132"/>
      <c r="AD132"/>
      <c r="AE132"/>
      <c r="AF132" s="14"/>
      <c r="AG132" s="14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4"/>
    </row>
    <row r="133" spans="1:66" s="16" customFormat="1" ht="17.25" customHeight="1">
      <c r="C133" s="605"/>
      <c r="D133" s="426" t="str">
        <f>IF(G123=AD124,AD137,"---")</f>
        <v>---</v>
      </c>
      <c r="E133" s="426"/>
      <c r="F133" s="426"/>
      <c r="G133" s="426"/>
      <c r="H133" s="426"/>
      <c r="I133" s="579" t="b">
        <f>E95</f>
        <v>0</v>
      </c>
      <c r="J133" s="579"/>
      <c r="K133" s="443">
        <v>0</v>
      </c>
      <c r="L133" s="443"/>
      <c r="M133" s="666"/>
      <c r="N133" s="455" t="s">
        <v>3</v>
      </c>
      <c r="O133" s="669" t="s">
        <v>617</v>
      </c>
      <c r="P133" s="670"/>
      <c r="Q133" s="670"/>
      <c r="R133" s="670"/>
      <c r="S133" s="455" t="s">
        <v>3</v>
      </c>
      <c r="T133" s="669">
        <f>0.2/60</f>
        <v>3.3333333333333335E-3</v>
      </c>
      <c r="U133" s="670"/>
      <c r="V133" s="670"/>
      <c r="W133" s="670"/>
      <c r="AA133" s="14"/>
      <c r="AB133" s="343"/>
      <c r="AC133" s="3" t="s">
        <v>175</v>
      </c>
      <c r="AD133" s="3">
        <f>VLOOKUP(N133,Outils!$C$9:$E$10,3)</f>
        <v>1</v>
      </c>
      <c r="AE133"/>
      <c r="AF133" s="14"/>
      <c r="AG133" s="14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4"/>
    </row>
    <row r="134" spans="1:66" s="16" customFormat="1" ht="17.25" customHeight="1" thickBot="1">
      <c r="C134" s="605"/>
      <c r="D134" s="429"/>
      <c r="E134" s="429"/>
      <c r="F134" s="429"/>
      <c r="G134" s="429"/>
      <c r="H134" s="429"/>
      <c r="I134" s="579"/>
      <c r="J134" s="579"/>
      <c r="K134" s="445"/>
      <c r="L134" s="445"/>
      <c r="M134" s="667"/>
      <c r="N134" s="455"/>
      <c r="O134" s="455"/>
      <c r="P134" s="455"/>
      <c r="Q134" s="455"/>
      <c r="R134" s="455"/>
      <c r="S134" s="455"/>
      <c r="T134" s="455"/>
      <c r="U134" s="455"/>
      <c r="V134" s="455"/>
      <c r="W134" s="455"/>
      <c r="Z134" s="14"/>
      <c r="AA134" s="14"/>
      <c r="AB134" s="343"/>
      <c r="AC134" s="3" t="s">
        <v>176</v>
      </c>
      <c r="AD134" s="3" cm="1">
        <f t="array" ref="AD134">angleConvert2Decimal(O133)*AD133</f>
        <v>23.176666666666666</v>
      </c>
      <c r="AE134"/>
      <c r="AF134" s="14"/>
      <c r="AG134" s="1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4"/>
    </row>
    <row r="135" spans="1:66" s="16" customFormat="1" ht="17.25" customHeight="1" thickTop="1" thickBot="1">
      <c r="C135" s="605"/>
      <c r="D135" s="604" t="e" cm="1">
        <f t="array" ref="D135">latitudeDecimal2Txt(D133)</f>
        <v>#VALUE!</v>
      </c>
      <c r="E135" s="414"/>
      <c r="F135" s="414"/>
      <c r="G135" s="414"/>
      <c r="H135" s="684"/>
      <c r="I135" s="579"/>
      <c r="J135" s="579"/>
      <c r="K135" s="603" t="str" cm="1">
        <f t="array" ref="K135">heureDecimal2Txt(K133)</f>
        <v>00:00:00.00(00.0000)</v>
      </c>
      <c r="L135" s="603"/>
      <c r="M135" s="604"/>
      <c r="N135" s="416" t="str" cm="1">
        <f t="array" ref="N135">angleDecimal2Txt(AD134)</f>
        <v>+23°10.59 (+23.1766) [+23°10'36.00]</v>
      </c>
      <c r="O135" s="416"/>
      <c r="P135" s="416"/>
      <c r="Q135" s="416"/>
      <c r="R135" s="416"/>
      <c r="S135" s="416" t="str" cm="1">
        <f t="array" ref="S135">angleDecimal2Txt(AD136)</f>
        <v>+00°00.19 (+00.0033) [+00°00'11.99]</v>
      </c>
      <c r="T135" s="671"/>
      <c r="U135" s="671"/>
      <c r="V135" s="671"/>
      <c r="W135" s="671"/>
      <c r="Z135" s="14"/>
      <c r="AB135" s="343"/>
      <c r="AC135" s="3" t="s">
        <v>177</v>
      </c>
      <c r="AD135" s="3">
        <f>VLOOKUP(S133,Outils!$C$9:$E$10,3)</f>
        <v>1</v>
      </c>
      <c r="AE135"/>
      <c r="AF135" s="14"/>
      <c r="AG135" s="14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4"/>
    </row>
    <row r="136" spans="1:66" s="16" customFormat="1" ht="17.25" customHeight="1" thickTop="1">
      <c r="A136" s="34" t="s">
        <v>544</v>
      </c>
      <c r="C136" s="59"/>
      <c r="D136" s="59"/>
      <c r="E136" s="59"/>
      <c r="I136"/>
      <c r="Z136" s="14"/>
      <c r="AB136" s="343"/>
      <c r="AC136" s="3" t="s">
        <v>178</v>
      </c>
      <c r="AD136" s="3" cm="1">
        <f t="array" ref="AD136">angleConvert2Decimal(T133)*AD135</f>
        <v>3.3333333333333301E-3</v>
      </c>
      <c r="AE136"/>
      <c r="AF136" s="298"/>
      <c r="AG136" s="298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4"/>
    </row>
    <row r="137" spans="1:66" s="16" customFormat="1" ht="17.25" customHeight="1">
      <c r="C137" s="605" t="s">
        <v>627</v>
      </c>
      <c r="D137" s="585" t="s">
        <v>9</v>
      </c>
      <c r="E137" s="585"/>
      <c r="F137" s="585"/>
      <c r="G137" s="585"/>
      <c r="H137" s="585"/>
      <c r="I137" s="531" t="s">
        <v>563</v>
      </c>
      <c r="J137" s="532"/>
      <c r="K137" s="532"/>
      <c r="L137" s="532"/>
      <c r="M137" s="533"/>
      <c r="AB137" s="343"/>
      <c r="AC137" s="3" t="s">
        <v>179</v>
      </c>
      <c r="AD137" s="3">
        <f>AD134+AD136*(I133-K133)</f>
        <v>23.176666666666666</v>
      </c>
      <c r="AE137"/>
      <c r="AF137" s="14"/>
      <c r="AG137" s="14"/>
      <c r="AH137"/>
      <c r="AI137" s="11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4"/>
    </row>
    <row r="138" spans="1:66" s="16" customFormat="1" ht="17.25" customHeight="1">
      <c r="C138" s="605"/>
      <c r="D138" s="585"/>
      <c r="E138" s="585"/>
      <c r="F138" s="585"/>
      <c r="G138" s="585"/>
      <c r="H138" s="585"/>
      <c r="I138" s="534"/>
      <c r="J138" s="535"/>
      <c r="K138" s="535"/>
      <c r="L138" s="535"/>
      <c r="M138" s="536"/>
      <c r="S138"/>
      <c r="T138"/>
      <c r="U138"/>
      <c r="V138"/>
      <c r="W138"/>
      <c r="X138"/>
      <c r="Y138"/>
      <c r="AB138" s="343"/>
      <c r="AC138" s="3"/>
      <c r="AD138" s="3"/>
      <c r="AE138"/>
      <c r="AF138" s="14"/>
      <c r="AG138" s="14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4"/>
    </row>
    <row r="139" spans="1:66" s="16" customFormat="1" ht="17.25" customHeight="1">
      <c r="C139" s="605"/>
      <c r="D139" s="428">
        <f>IF(G123=AD122,AD140,"---")</f>
        <v>-14.728333333333333</v>
      </c>
      <c r="E139" s="429"/>
      <c r="F139" s="429"/>
      <c r="G139" s="429"/>
      <c r="H139" s="429"/>
      <c r="I139" s="490" t="s">
        <v>4</v>
      </c>
      <c r="J139" s="597" t="s">
        <v>625</v>
      </c>
      <c r="K139" s="597"/>
      <c r="L139" s="597"/>
      <c r="M139" s="597"/>
      <c r="U139"/>
      <c r="V139"/>
      <c r="W139"/>
      <c r="X139"/>
      <c r="Y139"/>
      <c r="AB139" s="343"/>
      <c r="AC139" s="3" t="s">
        <v>175</v>
      </c>
      <c r="AD139" s="3">
        <f>VLOOKUP(I139,Outils!$C$9:$E$10,3)</f>
        <v>-1</v>
      </c>
      <c r="AE139"/>
      <c r="AF139" s="14"/>
      <c r="AG139" s="14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4"/>
    </row>
    <row r="140" spans="1:66" s="16" customFormat="1" ht="17.25" customHeight="1" thickBot="1">
      <c r="C140" s="605"/>
      <c r="D140" s="606"/>
      <c r="E140" s="607"/>
      <c r="F140" s="607"/>
      <c r="G140" s="607"/>
      <c r="H140" s="607"/>
      <c r="I140" s="490"/>
      <c r="J140" s="597"/>
      <c r="K140" s="597"/>
      <c r="L140" s="597"/>
      <c r="M140" s="597"/>
      <c r="U140"/>
      <c r="V140"/>
      <c r="W140"/>
      <c r="X140"/>
      <c r="Y140"/>
      <c r="AB140" s="343"/>
      <c r="AC140" s="3" t="s">
        <v>176</v>
      </c>
      <c r="AD140" s="3" cm="1">
        <f t="array" ref="AD140">angleConvert2Decimal(J139)*AD139</f>
        <v>-14.728333333333333</v>
      </c>
      <c r="AE140"/>
      <c r="AF140" s="14"/>
      <c r="AG140" s="14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4"/>
    </row>
    <row r="141" spans="1:66" s="16" customFormat="1" ht="17.25" customHeight="1" thickTop="1" thickBot="1">
      <c r="C141" s="605"/>
      <c r="D141" s="414" t="str" cm="1">
        <f t="array" ref="D141">latitudeDecimal2Txt(AD140)</f>
        <v>S 14°43.70 (S 14.7283) [S 14°43'42.00]</v>
      </c>
      <c r="E141" s="414"/>
      <c r="F141" s="414"/>
      <c r="G141" s="414"/>
      <c r="H141" s="414"/>
      <c r="I141"/>
      <c r="J141"/>
      <c r="K141"/>
      <c r="L141"/>
      <c r="N141"/>
      <c r="O141"/>
      <c r="U141"/>
      <c r="V141"/>
      <c r="W141"/>
      <c r="X141"/>
      <c r="Y141"/>
      <c r="AB141" s="343"/>
      <c r="AC141"/>
      <c r="AD141"/>
      <c r="AE141"/>
      <c r="AF141" s="14"/>
      <c r="AG141" s="14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4"/>
    </row>
    <row r="142" spans="1:66" s="16" customFormat="1" ht="17.25" customHeight="1" thickTop="1" thickBot="1">
      <c r="C142" s="59"/>
      <c r="D142" s="59"/>
      <c r="E142" s="59"/>
      <c r="F142" s="59"/>
      <c r="G142" s="59"/>
      <c r="S142" s="14"/>
      <c r="T142" s="14"/>
      <c r="U142" s="14"/>
      <c r="V142" s="14"/>
      <c r="W142" s="14"/>
      <c r="X142" s="14"/>
      <c r="AB142" s="324"/>
      <c r="AC142" s="14"/>
      <c r="AD142" s="14"/>
      <c r="AE142" s="14"/>
      <c r="AF142" s="14"/>
      <c r="AG142" s="14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24"/>
    </row>
    <row r="143" spans="1:66" s="16" customFormat="1" ht="17.25" customHeight="1" thickBot="1">
      <c r="B143" s="25" t="s">
        <v>23</v>
      </c>
      <c r="C143" s="26"/>
      <c r="D143" s="653" t="s">
        <v>72</v>
      </c>
      <c r="E143" s="654"/>
      <c r="F143" s="498">
        <f>IF(G144=AD144,O181,O171)</f>
        <v>66.61762218419355</v>
      </c>
      <c r="G143" s="498"/>
      <c r="H143" s="498"/>
      <c r="I143" s="26"/>
      <c r="J143" s="26"/>
      <c r="K143" s="26"/>
      <c r="L143" s="26" t="s">
        <v>60</v>
      </c>
      <c r="M143" s="653">
        <f>O146</f>
        <v>66.95</v>
      </c>
      <c r="N143" s="653"/>
      <c r="O143" s="26"/>
      <c r="P143" s="60"/>
      <c r="Q143" s="26" t="s">
        <v>95</v>
      </c>
      <c r="R143" s="26"/>
      <c r="S143" s="674">
        <f>-O158+O153+O162</f>
        <v>-0.26927469176226565</v>
      </c>
      <c r="T143" s="675"/>
      <c r="U143" s="676"/>
      <c r="V143" s="873" t="str" cm="1">
        <f t="array" ref="V143">angleDecimal2Txt(S143)</f>
        <v>-00°16.15 (-00.2692) [-00°16'09.38]</v>
      </c>
      <c r="W143" s="874"/>
      <c r="X143" s="874"/>
      <c r="Y143" s="874"/>
      <c r="Z143" s="875"/>
      <c r="AA143" s="26"/>
      <c r="AB143" s="325"/>
      <c r="AC143" s="14"/>
      <c r="AD143" s="14"/>
      <c r="AE143" s="14"/>
      <c r="AF143" s="14"/>
      <c r="AG143" s="14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24"/>
    </row>
    <row r="144" spans="1:66" s="16" customFormat="1" ht="17.25" customHeight="1">
      <c r="C144" s="476" t="s">
        <v>35</v>
      </c>
      <c r="D144" s="476"/>
      <c r="E144" s="476"/>
      <c r="F144" s="476"/>
      <c r="G144" s="555" t="s">
        <v>51</v>
      </c>
      <c r="H144" s="555"/>
      <c r="I144" s="555"/>
      <c r="P144" s="16" t="s">
        <v>69</v>
      </c>
      <c r="V144" s="14"/>
      <c r="W144" s="14"/>
      <c r="X144" s="14"/>
      <c r="Y144" s="14"/>
      <c r="Z144" s="14"/>
      <c r="AB144" s="324"/>
      <c r="AC144" s="1102" t="s">
        <v>36</v>
      </c>
      <c r="AD144" s="294" t="s">
        <v>50</v>
      </c>
      <c r="AE144" s="14"/>
      <c r="AF144" s="14"/>
      <c r="AG144" s="1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24"/>
    </row>
    <row r="145" spans="1:67" s="16" customFormat="1" ht="17.25" customHeight="1" thickBot="1">
      <c r="C145" s="33"/>
      <c r="D145" s="33"/>
      <c r="E145" s="33"/>
      <c r="F145" s="726" t="s">
        <v>62</v>
      </c>
      <c r="G145" s="726"/>
      <c r="H145" s="757"/>
      <c r="I145" s="757"/>
      <c r="J145" s="870">
        <f>IF(G144=AD144,"---",O171)</f>
        <v>66.61762218419355</v>
      </c>
      <c r="K145" s="871"/>
      <c r="L145" s="872"/>
      <c r="M145" s="97"/>
      <c r="N145" s="97"/>
      <c r="O145" s="97"/>
      <c r="P145" s="97"/>
      <c r="Q145" s="97"/>
      <c r="R145" s="97"/>
      <c r="S145" s="97"/>
      <c r="T145" s="97"/>
      <c r="U145" s="97"/>
      <c r="V145" s="98"/>
      <c r="W145" s="98"/>
      <c r="X145" s="98"/>
      <c r="Y145" s="98"/>
      <c r="Z145" s="98"/>
      <c r="AB145" s="324"/>
      <c r="AC145" s="1102"/>
      <c r="AD145" s="294" t="s">
        <v>51</v>
      </c>
      <c r="AE145" s="14"/>
      <c r="AF145" s="14"/>
      <c r="AG145" s="14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4"/>
    </row>
    <row r="146" spans="1:67" s="16" customFormat="1" ht="17.25" customHeight="1" thickTop="1" thickBot="1">
      <c r="H146" s="485" t="s">
        <v>47</v>
      </c>
      <c r="I146" s="486"/>
      <c r="J146" s="486"/>
      <c r="K146" s="486"/>
      <c r="L146" s="486"/>
      <c r="M146" s="486"/>
      <c r="N146" s="487"/>
      <c r="O146" s="469">
        <f>J110</f>
        <v>66.95</v>
      </c>
      <c r="P146" s="469"/>
      <c r="Q146" s="469"/>
      <c r="R146" s="469"/>
      <c r="S146" s="16" t="s">
        <v>54</v>
      </c>
      <c r="U146" s="751" t="str" cm="1">
        <f t="array" ref="U146">angleDecimal2Txt(O146)</f>
        <v>+66°57.00 (+66.9500) [+66°57'00.00]</v>
      </c>
      <c r="V146" s="752"/>
      <c r="W146" s="752"/>
      <c r="X146" s="752"/>
      <c r="Y146" s="752"/>
      <c r="Z146" s="438"/>
      <c r="AB146" s="324"/>
      <c r="AC146" s="14"/>
      <c r="AD146" s="14"/>
      <c r="AE146" s="14"/>
      <c r="AF146" s="14"/>
      <c r="AG146" s="14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4"/>
    </row>
    <row r="147" spans="1:67" s="16" customFormat="1" ht="17.25" customHeight="1" thickTop="1" thickBot="1">
      <c r="H147" s="485" t="s">
        <v>24</v>
      </c>
      <c r="I147" s="486"/>
      <c r="J147" s="486"/>
      <c r="K147" s="486"/>
      <c r="L147" s="486"/>
      <c r="M147" s="486"/>
      <c r="N147" s="487"/>
      <c r="O147" s="469">
        <f>J109</f>
        <v>2.1666666666666667E-2</v>
      </c>
      <c r="P147" s="469"/>
      <c r="Q147" s="469"/>
      <c r="R147" s="469"/>
      <c r="S147" s="16" t="s">
        <v>54</v>
      </c>
      <c r="U147" s="751" t="str" cm="1">
        <f t="array" ref="U147">angleDecimal2Txt(O147)</f>
        <v>+00°01.30 (+00.0216) [+00°01'18.00]</v>
      </c>
      <c r="V147" s="752"/>
      <c r="W147" s="752"/>
      <c r="X147" s="752"/>
      <c r="Y147" s="752"/>
      <c r="Z147" s="438"/>
      <c r="AB147" s="324"/>
      <c r="AC147" s="291" t="s">
        <v>59</v>
      </c>
      <c r="AD147" s="22">
        <f>O147</f>
        <v>2.1666666666666667E-2</v>
      </c>
      <c r="AE147" s="14"/>
      <c r="AF147" s="14"/>
      <c r="AG147" s="14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 s="24"/>
    </row>
    <row r="148" spans="1:67" s="16" customFormat="1" ht="17.25" customHeight="1" thickTop="1" thickBot="1">
      <c r="C148" s="59"/>
      <c r="D148" s="59"/>
      <c r="E148" s="59"/>
      <c r="F148" s="59"/>
      <c r="H148" s="485" t="s">
        <v>68</v>
      </c>
      <c r="I148" s="486"/>
      <c r="J148" s="486"/>
      <c r="K148" s="486"/>
      <c r="L148" s="486"/>
      <c r="M148" s="486"/>
      <c r="N148" s="487"/>
      <c r="O148" s="602">
        <f>AD149</f>
        <v>4.1436457377531689E-2</v>
      </c>
      <c r="P148" s="602"/>
      <c r="Q148" s="602"/>
      <c r="R148" s="602"/>
      <c r="S148" s="16" t="s">
        <v>54</v>
      </c>
      <c r="U148" s="751" t="str" cm="1">
        <f t="array" ref="U148">angleDecimal2Txt(O148)</f>
        <v>+00°02.48 (+00.0414) [+00°02'29.17]</v>
      </c>
      <c r="V148" s="752"/>
      <c r="W148" s="752"/>
      <c r="X148" s="752"/>
      <c r="Y148" s="752"/>
      <c r="Z148" s="438"/>
      <c r="AB148" s="324"/>
      <c r="AC148" s="291" t="s">
        <v>46</v>
      </c>
      <c r="AD148" s="292">
        <f>J108</f>
        <v>2</v>
      </c>
      <c r="AE148" s="14"/>
      <c r="AF148" s="14"/>
      <c r="AG148" s="14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4"/>
    </row>
    <row r="149" spans="1:67" s="16" customFormat="1" ht="17.25" customHeight="1" thickTop="1" thickBot="1">
      <c r="C149" s="59"/>
      <c r="D149" s="59"/>
      <c r="E149" s="59"/>
      <c r="F149" s="59"/>
      <c r="G149" s="59"/>
      <c r="K149" s="14"/>
      <c r="L149" s="14"/>
      <c r="M149" s="865" t="s">
        <v>113</v>
      </c>
      <c r="N149" s="865"/>
      <c r="O149" s="865"/>
      <c r="P149" s="865"/>
      <c r="Q149" s="14"/>
      <c r="R149" s="14"/>
      <c r="U149" s="14"/>
      <c r="V149" s="14"/>
      <c r="W149" s="14"/>
      <c r="X149" s="14"/>
      <c r="Y149" s="14"/>
      <c r="Z149" s="14"/>
      <c r="AB149" s="324"/>
      <c r="AC149" s="297" t="s">
        <v>67</v>
      </c>
      <c r="AD149" s="292">
        <f>0.0293 * SQRT(AD148)</f>
        <v>4.1436457377531689E-2</v>
      </c>
      <c r="AE149" s="14"/>
      <c r="AF149" s="14"/>
      <c r="AG149" s="14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4"/>
    </row>
    <row r="150" spans="1:67" s="16" customFormat="1" ht="17.25" customHeight="1" thickTop="1" thickBot="1">
      <c r="C150" s="59"/>
      <c r="D150" s="59"/>
      <c r="E150" s="59"/>
      <c r="F150" s="59"/>
      <c r="H150" s="460" t="s">
        <v>48</v>
      </c>
      <c r="I150" s="461"/>
      <c r="J150" s="461"/>
      <c r="K150" s="461"/>
      <c r="L150" s="461"/>
      <c r="M150" s="461"/>
      <c r="N150" s="462"/>
      <c r="O150" s="472">
        <f>O146-O147-O148</f>
        <v>66.886896875955813</v>
      </c>
      <c r="P150" s="473"/>
      <c r="Q150" s="16" t="s">
        <v>54</v>
      </c>
      <c r="R150" s="689">
        <f>O150*Outils!F4</f>
        <v>1.1673965769273382</v>
      </c>
      <c r="S150" s="689"/>
      <c r="T150" s="37" t="s">
        <v>64</v>
      </c>
      <c r="U150" s="751" t="str" cm="1">
        <f t="array" ref="U150">angleDecimal2Txt(O150)</f>
        <v>+66°53.21 (+66.8868) [+66°53'12.82]</v>
      </c>
      <c r="V150" s="752"/>
      <c r="W150" s="752"/>
      <c r="X150" s="752"/>
      <c r="Y150" s="752"/>
      <c r="Z150" s="438"/>
      <c r="AB150" s="324"/>
      <c r="AC150" s="14"/>
      <c r="AD150" s="14"/>
      <c r="AE150" s="14"/>
      <c r="AF150" s="14"/>
      <c r="AG150" s="14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4"/>
    </row>
    <row r="151" spans="1:67" s="16" customFormat="1" ht="17.25" customHeight="1" thickTop="1" thickBot="1"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U151" s="14"/>
      <c r="V151" s="14"/>
      <c r="W151" s="14"/>
      <c r="X151" s="14"/>
      <c r="Y151" s="14"/>
      <c r="Z151" s="14"/>
      <c r="AB151" s="324"/>
      <c r="AC151" s="14"/>
      <c r="AD151" s="14"/>
      <c r="AE151" s="14"/>
      <c r="AF151" s="14"/>
      <c r="AG151" s="14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4"/>
    </row>
    <row r="152" spans="1:67" ht="17.25" customHeight="1" thickTop="1" thickBot="1">
      <c r="A152" s="14"/>
      <c r="B152" s="14"/>
      <c r="C152" s="14"/>
      <c r="D152" s="14"/>
      <c r="E152" s="14"/>
      <c r="F152" s="16"/>
      <c r="G152" s="16"/>
      <c r="H152" s="463" t="s">
        <v>52</v>
      </c>
      <c r="I152" s="464"/>
      <c r="J152" s="464"/>
      <c r="K152" s="464"/>
      <c r="L152" s="464"/>
      <c r="M152" s="464"/>
      <c r="N152" s="465"/>
      <c r="O152" s="474">
        <f>J113</f>
        <v>2.8833333333333302E-3</v>
      </c>
      <c r="P152" s="475"/>
      <c r="Q152" s="475"/>
      <c r="R152" s="475"/>
      <c r="S152" s="16" t="s">
        <v>54</v>
      </c>
      <c r="T152" s="16"/>
      <c r="U152" s="751" t="str" cm="1">
        <f t="array" ref="U152">angleDecimal2Txt(O152)</f>
        <v>+00°00.17 (+00.0028) [+00°00'10.37]</v>
      </c>
      <c r="V152" s="752"/>
      <c r="W152" s="752"/>
      <c r="X152" s="752"/>
      <c r="Y152" s="752"/>
      <c r="Z152" s="438"/>
      <c r="AA152" s="16"/>
      <c r="AB152" s="324"/>
      <c r="AC152" s="291" t="s">
        <v>183</v>
      </c>
      <c r="AD152" s="292">
        <f>O152*COS(R150)</f>
        <v>1.1318451843031951E-3</v>
      </c>
      <c r="BN152" s="24"/>
      <c r="BO152" s="16"/>
    </row>
    <row r="153" spans="1:67" ht="17.25" customHeight="1" thickTop="1" thickBot="1">
      <c r="A153" s="14"/>
      <c r="B153" s="14"/>
      <c r="C153" s="14"/>
      <c r="D153" s="14"/>
      <c r="E153" s="14"/>
      <c r="F153" s="16"/>
      <c r="G153" s="16"/>
      <c r="H153" s="663" t="s">
        <v>140</v>
      </c>
      <c r="I153" s="461"/>
      <c r="J153" s="461"/>
      <c r="K153" s="461"/>
      <c r="L153" s="461"/>
      <c r="M153" s="461"/>
      <c r="N153" s="462"/>
      <c r="O153" s="440">
        <f>AD152</f>
        <v>1.1318451843031951E-3</v>
      </c>
      <c r="P153" s="440"/>
      <c r="Q153" s="440"/>
      <c r="R153" s="440"/>
      <c r="S153" s="16" t="s">
        <v>54</v>
      </c>
      <c r="T153" s="16"/>
      <c r="U153" s="751" t="str" cm="1">
        <f t="array" ref="U153">angleDecimal2Txt(O153)</f>
        <v>+00°00.06 (+00.0011) [+00°00'04.07]</v>
      </c>
      <c r="V153" s="752"/>
      <c r="W153" s="752"/>
      <c r="X153" s="752"/>
      <c r="Y153" s="752"/>
      <c r="Z153" s="438"/>
      <c r="AA153" s="16"/>
      <c r="AB153" s="324"/>
      <c r="BN153" s="24"/>
      <c r="BO153" s="16"/>
    </row>
    <row r="154" spans="1:67" ht="17.25" customHeight="1" thickTop="1">
      <c r="A154" s="14"/>
      <c r="B154" s="14"/>
      <c r="C154" s="14"/>
      <c r="D154" s="14"/>
      <c r="E154" s="14"/>
      <c r="F154" s="16"/>
      <c r="G154" s="16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6"/>
      <c r="AB154" s="324"/>
      <c r="BN154" s="24"/>
      <c r="BO154" s="16"/>
    </row>
    <row r="155" spans="1:67" ht="17.25" customHeight="1">
      <c r="A155" s="14"/>
      <c r="B155" s="14"/>
      <c r="C155" s="14"/>
      <c r="D155" s="14"/>
      <c r="E155" s="59"/>
      <c r="F155" s="16"/>
      <c r="G155" s="16"/>
      <c r="H155" s="14"/>
      <c r="I155" s="14"/>
      <c r="J155" s="14"/>
      <c r="K155" s="14"/>
      <c r="L155" s="14"/>
      <c r="M155" s="14"/>
      <c r="N155" s="14"/>
      <c r="O155" s="14"/>
      <c r="P155" s="16"/>
      <c r="Q155" s="16"/>
      <c r="R155" s="16"/>
      <c r="S155" s="510" t="s">
        <v>126</v>
      </c>
      <c r="T155" s="511"/>
      <c r="U155" s="512"/>
      <c r="V155" s="16"/>
      <c r="W155" s="16"/>
      <c r="X155" s="16"/>
      <c r="Y155" s="14"/>
      <c r="Z155" s="14"/>
      <c r="AA155" s="16"/>
      <c r="AB155" s="324"/>
      <c r="AC155" s="291" t="s">
        <v>49</v>
      </c>
      <c r="AD155" s="292" t="s">
        <v>185</v>
      </c>
      <c r="BN155" s="24"/>
      <c r="BO155" s="16"/>
    </row>
    <row r="156" spans="1:67" ht="17.25" customHeight="1">
      <c r="A156" s="14"/>
      <c r="B156" s="14"/>
      <c r="C156" s="14"/>
      <c r="D156" s="14"/>
      <c r="E156" s="59"/>
      <c r="F156" s="16"/>
      <c r="G156" s="16"/>
      <c r="H156" s="463" t="s">
        <v>65</v>
      </c>
      <c r="I156" s="464"/>
      <c r="J156" s="464"/>
      <c r="K156" s="464"/>
      <c r="L156" s="464"/>
      <c r="M156" s="464"/>
      <c r="N156" s="465"/>
      <c r="O156" s="661">
        <f>S156</f>
        <v>10</v>
      </c>
      <c r="P156" s="662"/>
      <c r="Q156" s="662"/>
      <c r="R156" s="662"/>
      <c r="S156" s="655">
        <v>10</v>
      </c>
      <c r="T156" s="656"/>
      <c r="U156" s="657"/>
      <c r="V156" s="16"/>
      <c r="W156" s="16"/>
      <c r="X156" s="16"/>
      <c r="Y156" s="14"/>
      <c r="Z156" s="14"/>
      <c r="AA156" s="16"/>
      <c r="AB156" s="324"/>
      <c r="AC156" s="291" t="s">
        <v>186</v>
      </c>
      <c r="AD156" s="292">
        <f>1/TAN((O150 + 7.31 / (O150 + 4.4)) * Outils!F4)</f>
        <v>0.4246923427253872</v>
      </c>
      <c r="BN156" s="24"/>
      <c r="BO156" s="16"/>
    </row>
    <row r="157" spans="1:67" ht="17.25" customHeight="1" thickBot="1">
      <c r="A157" s="14"/>
      <c r="B157" s="14"/>
      <c r="C157" s="14"/>
      <c r="D157" s="14"/>
      <c r="E157" s="14"/>
      <c r="F157" s="16"/>
      <c r="G157" s="16"/>
      <c r="H157" s="463" t="s">
        <v>66</v>
      </c>
      <c r="I157" s="464"/>
      <c r="J157" s="464"/>
      <c r="K157" s="464"/>
      <c r="L157" s="464"/>
      <c r="M157" s="464"/>
      <c r="N157" s="465"/>
      <c r="O157" s="661">
        <f>S157</f>
        <v>1010</v>
      </c>
      <c r="P157" s="662"/>
      <c r="Q157" s="662"/>
      <c r="R157" s="662"/>
      <c r="S157" s="655">
        <v>1010</v>
      </c>
      <c r="T157" s="656"/>
      <c r="U157" s="657"/>
      <c r="V157" s="16"/>
      <c r="W157" s="16"/>
      <c r="X157" s="16"/>
      <c r="Y157" s="14"/>
      <c r="Z157" s="14"/>
      <c r="AA157" s="16"/>
      <c r="AB157" s="324"/>
      <c r="AC157" s="291" t="s">
        <v>187</v>
      </c>
      <c r="AD157" s="292">
        <f>AD156/60</f>
        <v>7.0782057120897862E-3</v>
      </c>
      <c r="BN157" s="24"/>
      <c r="BO157" s="16"/>
    </row>
    <row r="158" spans="1:67" ht="17.25" customHeight="1" thickTop="1" thickBot="1">
      <c r="A158" s="14"/>
      <c r="B158" s="14"/>
      <c r="C158" s="14"/>
      <c r="D158" s="14"/>
      <c r="E158" s="14"/>
      <c r="F158" s="16"/>
      <c r="G158" s="16"/>
      <c r="H158" s="663" t="s">
        <v>141</v>
      </c>
      <c r="I158" s="461"/>
      <c r="J158" s="461"/>
      <c r="K158" s="461"/>
      <c r="L158" s="461"/>
      <c r="M158" s="461"/>
      <c r="N158" s="462"/>
      <c r="O158" s="440">
        <f>AD159</f>
        <v>7.0732034465688749E-3</v>
      </c>
      <c r="P158" s="440"/>
      <c r="Q158" s="440"/>
      <c r="R158" s="440"/>
      <c r="S158" s="16" t="s">
        <v>54</v>
      </c>
      <c r="T158" s="16"/>
      <c r="U158" s="751" t="str" cm="1">
        <f t="array" ref="U158">angleDecimal2Txt(O158)</f>
        <v>+00°00.42 (+00.0070) [+00°00'25.46]</v>
      </c>
      <c r="V158" s="752"/>
      <c r="W158" s="752"/>
      <c r="X158" s="752"/>
      <c r="Y158" s="752"/>
      <c r="Z158" s="438"/>
      <c r="AA158" s="16"/>
      <c r="AB158" s="324"/>
      <c r="AC158" s="291" t="s">
        <v>96</v>
      </c>
      <c r="AD158" s="292">
        <f xml:space="preserve"> 0.28 * O157 / (273 + O156)</f>
        <v>0.99929328621908131</v>
      </c>
      <c r="BN158" s="24"/>
      <c r="BO158" s="16"/>
    </row>
    <row r="159" spans="1:67" ht="17.25" customHeight="1" thickTop="1">
      <c r="A159" s="14"/>
      <c r="B159" s="14"/>
      <c r="C159" s="14"/>
      <c r="D159" s="14"/>
      <c r="E159" s="14"/>
      <c r="F159" s="16"/>
      <c r="G159" s="16"/>
      <c r="H159" s="14"/>
      <c r="I159" s="14"/>
      <c r="J159" s="14"/>
      <c r="K159" s="14"/>
      <c r="L159" s="14"/>
      <c r="M159" s="14"/>
      <c r="N159" s="14"/>
      <c r="O159" s="14"/>
      <c r="P159" s="16"/>
      <c r="Q159" s="16"/>
      <c r="R159" s="16"/>
      <c r="S159" s="16"/>
      <c r="T159" s="16"/>
      <c r="U159" s="16"/>
      <c r="V159" s="16"/>
      <c r="W159" s="16"/>
      <c r="X159" s="16"/>
      <c r="Y159" s="14"/>
      <c r="Z159" s="14"/>
      <c r="AA159" s="16"/>
      <c r="AB159" s="324"/>
      <c r="AC159" s="291" t="s">
        <v>184</v>
      </c>
      <c r="AD159" s="292">
        <f>AD158*AD157</f>
        <v>7.0732034465688749E-3</v>
      </c>
      <c r="BN159" s="24"/>
      <c r="BO159" s="16"/>
    </row>
    <row r="160" spans="1:67" ht="17.25" customHeight="1">
      <c r="A160" s="14"/>
      <c r="B160" s="14"/>
      <c r="C160" s="14"/>
      <c r="D160" s="14"/>
      <c r="E160" s="14"/>
      <c r="F160" s="16"/>
      <c r="G160" s="16"/>
      <c r="H160" s="463" t="s">
        <v>100</v>
      </c>
      <c r="I160" s="464"/>
      <c r="J160" s="464"/>
      <c r="K160" s="464"/>
      <c r="L160" s="464"/>
      <c r="M160" s="464"/>
      <c r="N160" s="465"/>
      <c r="O160" s="692">
        <f>J117</f>
        <v>0.52666666699999998</v>
      </c>
      <c r="P160" s="692"/>
      <c r="Q160" s="692"/>
      <c r="R160" s="692"/>
      <c r="S160" s="16"/>
      <c r="T160" s="16"/>
      <c r="U160" s="16"/>
      <c r="V160" s="16"/>
      <c r="W160" s="16"/>
      <c r="X160" s="16"/>
      <c r="Y160" s="16"/>
      <c r="Z160" s="16"/>
      <c r="AA160" s="16"/>
      <c r="AB160" s="324"/>
      <c r="BN160" s="24"/>
      <c r="BO160" s="16"/>
    </row>
    <row r="161" spans="1:67" ht="17.25" customHeight="1" thickBot="1">
      <c r="A161" s="16"/>
      <c r="B161" s="14"/>
      <c r="C161" s="14"/>
      <c r="D161" s="14"/>
      <c r="E161" s="59"/>
      <c r="F161" s="59"/>
      <c r="G161" s="59"/>
      <c r="H161" s="463" t="s">
        <v>70</v>
      </c>
      <c r="I161" s="464"/>
      <c r="J161" s="464"/>
      <c r="K161" s="464"/>
      <c r="L161" s="464"/>
      <c r="M161" s="464"/>
      <c r="N161" s="465"/>
      <c r="O161" s="692" t="str">
        <f>J112</f>
        <v>BordSup</v>
      </c>
      <c r="P161" s="692"/>
      <c r="Q161" s="692"/>
      <c r="R161" s="692"/>
      <c r="S161" s="16"/>
      <c r="T161" s="16"/>
      <c r="U161" s="16"/>
      <c r="V161" s="16"/>
      <c r="W161" s="16"/>
      <c r="X161" s="16"/>
      <c r="Y161" s="16"/>
      <c r="Z161" s="16"/>
      <c r="AA161" s="16"/>
      <c r="AB161" s="324"/>
      <c r="AC161" s="292" t="s">
        <v>30</v>
      </c>
      <c r="AD161" s="440" t="str">
        <f>J111</f>
        <v>Soleil</v>
      </c>
      <c r="AE161" s="440"/>
      <c r="BN161" s="24"/>
      <c r="BO161" s="16"/>
    </row>
    <row r="162" spans="1:67" ht="17.25" customHeight="1" thickTop="1" thickBot="1">
      <c r="A162" s="16"/>
      <c r="B162" s="16"/>
      <c r="C162" s="59"/>
      <c r="D162" s="59"/>
      <c r="E162" s="59"/>
      <c r="F162" s="59"/>
      <c r="G162" s="59"/>
      <c r="H162" s="663" t="s">
        <v>71</v>
      </c>
      <c r="I162" s="461"/>
      <c r="J162" s="461"/>
      <c r="K162" s="461"/>
      <c r="L162" s="461"/>
      <c r="M162" s="461"/>
      <c r="N162" s="462"/>
      <c r="O162" s="471">
        <f>AD165</f>
        <v>-0.26333333349999999</v>
      </c>
      <c r="P162" s="471"/>
      <c r="Q162" s="471"/>
      <c r="R162" s="471"/>
      <c r="S162" s="16" t="s">
        <v>54</v>
      </c>
      <c r="T162" s="16"/>
      <c r="U162" s="751" t="str" cm="1">
        <f t="array" ref="U162">angleDecimal2Txt(O162)</f>
        <v>-00°15.80 (-00.2633) [-00°15'48.00]</v>
      </c>
      <c r="V162" s="752"/>
      <c r="W162" s="752"/>
      <c r="X162" s="752"/>
      <c r="Y162" s="752"/>
      <c r="Z162" s="438"/>
      <c r="AA162" s="16"/>
      <c r="AB162" s="324"/>
      <c r="AC162" s="292" t="s">
        <v>190</v>
      </c>
      <c r="AD162" s="440" t="str">
        <f>O161</f>
        <v>BordSup</v>
      </c>
      <c r="AE162" s="440"/>
      <c r="BN162" s="24"/>
      <c r="BO162" s="16"/>
    </row>
    <row r="163" spans="1:67" ht="17.25" customHeight="1" thickTop="1">
      <c r="A163" s="16"/>
      <c r="B163" s="16"/>
      <c r="C163" s="59"/>
      <c r="D163" s="59"/>
      <c r="E163" s="59"/>
      <c r="F163" s="59"/>
      <c r="G163" s="59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6"/>
      <c r="AB163" s="324"/>
      <c r="AC163" s="292" t="s">
        <v>191</v>
      </c>
      <c r="AD163" s="441">
        <f>HLOOKUP(AD162,AD116:AF117,2)</f>
        <v>0</v>
      </c>
      <c r="AE163" s="441"/>
      <c r="BN163" s="24"/>
      <c r="BO163" s="16"/>
    </row>
    <row r="164" spans="1:67" ht="17.25" customHeight="1">
      <c r="A164" s="16"/>
      <c r="B164" s="16"/>
      <c r="C164" s="59"/>
      <c r="D164" s="59"/>
      <c r="E164" s="59"/>
      <c r="F164" s="59"/>
      <c r="G164" s="740" t="s">
        <v>107</v>
      </c>
      <c r="H164" s="741"/>
      <c r="I164" s="741"/>
      <c r="J164" s="741"/>
      <c r="K164" s="741"/>
      <c r="L164" s="741"/>
      <c r="M164" s="741"/>
      <c r="N164" s="741"/>
      <c r="O164" s="741"/>
      <c r="P164" s="741"/>
      <c r="Q164" s="741"/>
      <c r="R164" s="741"/>
      <c r="S164" s="742"/>
      <c r="T164" s="14"/>
      <c r="U164" s="14"/>
      <c r="V164" s="14"/>
      <c r="W164" s="14"/>
      <c r="X164" s="14"/>
      <c r="Y164" s="14"/>
      <c r="Z164" s="14"/>
      <c r="AA164" s="16"/>
      <c r="AB164" s="324"/>
      <c r="AC164" s="292" t="s">
        <v>100</v>
      </c>
      <c r="AD164" s="292" cm="1">
        <f t="array" ref="AD164">astroDiametreSoleilEnDegre($AA$6)</f>
        <v>0.52666666699999998</v>
      </c>
      <c r="AE164" s="292" cm="1">
        <f t="array" ref="AE164">angleConvert2Decimal(AD164)</f>
        <v>0.52666666699999998</v>
      </c>
      <c r="BN164" s="24"/>
      <c r="BO164" s="16"/>
    </row>
    <row r="165" spans="1:67" ht="17.25" customHeight="1">
      <c r="A165" s="16"/>
      <c r="B165" s="16"/>
      <c r="C165" s="59"/>
      <c r="D165" s="59"/>
      <c r="E165" s="59"/>
      <c r="F165" s="59"/>
      <c r="G165" s="693" t="s">
        <v>115</v>
      </c>
      <c r="H165" s="694"/>
      <c r="I165" s="737" t="s">
        <v>110</v>
      </c>
      <c r="J165" s="738"/>
      <c r="K165" s="738"/>
      <c r="L165" s="738"/>
      <c r="M165" s="738"/>
      <c r="N165" s="739"/>
      <c r="O165" s="743">
        <f>(O153-O158-O148+O160/2) * 60</f>
        <v>12.957331071612156</v>
      </c>
      <c r="P165" s="735"/>
      <c r="Q165" s="735"/>
      <c r="R165" s="735"/>
      <c r="S165" s="690" t="s">
        <v>108</v>
      </c>
      <c r="T165" s="14"/>
      <c r="U165" s="14"/>
      <c r="V165" s="14"/>
      <c r="W165" s="14"/>
      <c r="X165" s="14"/>
      <c r="Y165" s="14"/>
      <c r="Z165" s="14"/>
      <c r="AA165" s="16"/>
      <c r="AB165" s="324"/>
      <c r="AC165" s="292" t="s">
        <v>191</v>
      </c>
      <c r="AD165" s="441" cm="1">
        <f t="array" ref="AD165">astroDiametreSoleilEnDegre($AA$6,AD162)</f>
        <v>-0.26333333349999999</v>
      </c>
      <c r="AE165" s="441"/>
      <c r="BN165" s="24"/>
      <c r="BO165" s="16"/>
    </row>
    <row r="166" spans="1:67" ht="17.25" customHeight="1">
      <c r="A166" s="16"/>
      <c r="B166" s="16"/>
      <c r="C166" s="59"/>
      <c r="D166" s="59"/>
      <c r="E166" s="59"/>
      <c r="F166" s="59"/>
      <c r="G166" s="695"/>
      <c r="H166" s="696"/>
      <c r="I166" s="748" t="s">
        <v>114</v>
      </c>
      <c r="J166" s="749"/>
      <c r="K166" s="749"/>
      <c r="L166" s="749"/>
      <c r="M166" s="749"/>
      <c r="N166" s="750"/>
      <c r="O166" s="744"/>
      <c r="P166" s="736"/>
      <c r="Q166" s="736"/>
      <c r="R166" s="736"/>
      <c r="S166" s="691"/>
      <c r="T166" s="14"/>
      <c r="U166" s="14"/>
      <c r="V166" s="14"/>
      <c r="W166" s="14"/>
      <c r="X166" s="14"/>
      <c r="Y166" s="14"/>
      <c r="Z166" s="14"/>
      <c r="AA166" s="16"/>
      <c r="AB166" s="324"/>
      <c r="BN166" s="24"/>
      <c r="BO166" s="16"/>
    </row>
    <row r="167" spans="1:67" ht="17.25" customHeight="1">
      <c r="A167" s="16"/>
      <c r="B167" s="16"/>
      <c r="C167" s="59"/>
      <c r="D167" s="59"/>
      <c r="E167" s="59"/>
      <c r="F167" s="59"/>
      <c r="G167" s="59"/>
      <c r="H167" s="14"/>
      <c r="I167" s="737" t="s">
        <v>111</v>
      </c>
      <c r="J167" s="738"/>
      <c r="K167" s="738"/>
      <c r="L167" s="738"/>
      <c r="M167" s="738"/>
      <c r="N167" s="739"/>
      <c r="O167" s="735">
        <f>(O153-O158+O160/2)*60</f>
        <v>15.44351851426406</v>
      </c>
      <c r="P167" s="735"/>
      <c r="Q167" s="735"/>
      <c r="R167" s="735"/>
      <c r="S167" s="690" t="s">
        <v>108</v>
      </c>
      <c r="T167" s="14"/>
      <c r="U167" s="14"/>
      <c r="V167" s="14"/>
      <c r="W167" s="14"/>
      <c r="X167" s="14"/>
      <c r="Y167" s="14"/>
      <c r="Z167" s="14"/>
      <c r="AA167" s="16"/>
      <c r="AB167" s="324"/>
      <c r="BN167" s="24"/>
      <c r="BO167" s="16"/>
    </row>
    <row r="168" spans="1:67" ht="17.25" customHeight="1">
      <c r="A168" s="16"/>
      <c r="B168" s="16"/>
      <c r="C168" s="59"/>
      <c r="D168" s="59"/>
      <c r="E168" s="59"/>
      <c r="F168" s="59"/>
      <c r="G168" s="59"/>
      <c r="H168" s="14"/>
      <c r="I168" s="748" t="s">
        <v>112</v>
      </c>
      <c r="J168" s="749"/>
      <c r="K168" s="749"/>
      <c r="L168" s="749"/>
      <c r="M168" s="749"/>
      <c r="N168" s="750"/>
      <c r="O168" s="736"/>
      <c r="P168" s="736"/>
      <c r="Q168" s="736"/>
      <c r="R168" s="736"/>
      <c r="S168" s="691"/>
      <c r="T168" s="14"/>
      <c r="U168" s="14"/>
      <c r="V168" s="14"/>
      <c r="W168" s="14"/>
      <c r="X168" s="14"/>
      <c r="Y168" s="14"/>
      <c r="Z168" s="14"/>
      <c r="AA168" s="16"/>
      <c r="AB168" s="324"/>
      <c r="BN168" s="24"/>
      <c r="BO168" s="16"/>
    </row>
    <row r="169" spans="1:67" ht="17.25" customHeight="1">
      <c r="A169" s="16"/>
      <c r="B169" s="16"/>
      <c r="C169" s="59"/>
      <c r="D169" s="59"/>
      <c r="E169" s="59"/>
      <c r="F169" s="59"/>
      <c r="G169" s="59"/>
      <c r="H169" s="14"/>
      <c r="I169" s="466" t="s">
        <v>71</v>
      </c>
      <c r="J169" s="467"/>
      <c r="K169" s="467"/>
      <c r="L169" s="467"/>
      <c r="M169" s="467"/>
      <c r="N169" s="468"/>
      <c r="O169" s="727">
        <f>O162*60</f>
        <v>-15.80000001</v>
      </c>
      <c r="P169" s="728"/>
      <c r="Q169" s="728"/>
      <c r="R169" s="728"/>
      <c r="S169" s="73" t="s">
        <v>108</v>
      </c>
      <c r="T169" s="14"/>
      <c r="U169" s="14"/>
      <c r="V169" s="14"/>
      <c r="W169" s="14"/>
      <c r="X169" s="14"/>
      <c r="Y169" s="14"/>
      <c r="Z169" s="14"/>
      <c r="AA169" s="16"/>
      <c r="AB169" s="324"/>
      <c r="BN169" s="24"/>
      <c r="BO169" s="16"/>
    </row>
    <row r="170" spans="1:67" ht="17.25" customHeight="1" thickBot="1">
      <c r="A170" s="16"/>
      <c r="B170" s="16"/>
      <c r="C170" s="59"/>
      <c r="D170" s="59"/>
      <c r="E170" s="59"/>
      <c r="F170" s="59"/>
      <c r="G170" s="59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6"/>
      <c r="T170" s="16"/>
      <c r="U170" s="16"/>
      <c r="V170" s="16"/>
      <c r="W170" s="16"/>
      <c r="X170" s="16"/>
      <c r="Y170" s="16"/>
      <c r="Z170" s="16"/>
      <c r="AA170" s="16"/>
      <c r="AB170" s="324"/>
      <c r="BN170" s="24"/>
      <c r="BO170" s="16"/>
    </row>
    <row r="171" spans="1:67" ht="17.25" customHeight="1" thickTop="1" thickBot="1">
      <c r="A171" s="16"/>
      <c r="B171" s="16"/>
      <c r="C171" s="59"/>
      <c r="D171" s="59"/>
      <c r="E171" s="59"/>
      <c r="F171" s="59"/>
      <c r="G171" s="59"/>
      <c r="H171" s="745" t="s">
        <v>142</v>
      </c>
      <c r="I171" s="746"/>
      <c r="J171" s="746"/>
      <c r="K171" s="746"/>
      <c r="L171" s="746"/>
      <c r="M171" s="746"/>
      <c r="N171" s="747"/>
      <c r="O171" s="473">
        <f>O150-O158+O153+O162</f>
        <v>66.61762218419355</v>
      </c>
      <c r="P171" s="440"/>
      <c r="Q171" s="440"/>
      <c r="R171" s="440"/>
      <c r="S171" s="16" t="s">
        <v>54</v>
      </c>
      <c r="T171" s="16"/>
      <c r="U171" s="751" t="str" cm="1">
        <f t="array" ref="U171">angleDecimal2Txt(O171)</f>
        <v>+66°37.05 (+66.6176) [+66°37'03.43]</v>
      </c>
      <c r="V171" s="752"/>
      <c r="W171" s="752"/>
      <c r="X171" s="752"/>
      <c r="Y171" s="752"/>
      <c r="Z171" s="438"/>
      <c r="AA171" s="16"/>
      <c r="AB171" s="324"/>
      <c r="BN171" s="24"/>
      <c r="BO171" s="16"/>
    </row>
    <row r="172" spans="1:67" ht="17.25" customHeight="1" thickTop="1">
      <c r="A172" s="16"/>
      <c r="B172" s="16"/>
      <c r="C172" s="59"/>
      <c r="D172" s="59"/>
      <c r="E172" s="59"/>
      <c r="F172" s="59"/>
      <c r="G172" s="59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324"/>
      <c r="BN172" s="24"/>
      <c r="BO172" s="16"/>
    </row>
    <row r="173" spans="1:67" ht="17.25" customHeight="1">
      <c r="A173" s="16"/>
      <c r="B173" s="16"/>
      <c r="C173" s="59"/>
      <c r="D173" s="59"/>
      <c r="E173" s="59"/>
      <c r="F173" s="726" t="s">
        <v>63</v>
      </c>
      <c r="G173" s="726"/>
      <c r="H173" s="726"/>
      <c r="I173" s="726"/>
      <c r="J173" s="472" t="str">
        <f>IF(G144=AD144,O181,"---")</f>
        <v>---</v>
      </c>
      <c r="K173" s="625"/>
      <c r="L173" s="473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16"/>
      <c r="AB173" s="324"/>
      <c r="BN173" s="24"/>
      <c r="BO173" s="16"/>
    </row>
    <row r="174" spans="1:67" ht="17.25" customHeight="1">
      <c r="A174" s="16"/>
      <c r="B174" s="16"/>
      <c r="C174" s="59"/>
      <c r="D174" s="59"/>
      <c r="E174" s="59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324"/>
      <c r="BN174" s="24"/>
      <c r="BO174" s="16"/>
    </row>
    <row r="175" spans="1:67" ht="17.25" customHeight="1">
      <c r="A175" s="16"/>
      <c r="B175" s="16"/>
      <c r="C175" s="59"/>
      <c r="D175" s="59"/>
      <c r="E175" s="59"/>
      <c r="M175" s="16"/>
      <c r="N175" s="16"/>
      <c r="O175" s="16"/>
      <c r="P175" s="16"/>
      <c r="Q175" s="16"/>
      <c r="R175" s="16"/>
      <c r="S175" s="16"/>
      <c r="T175" s="100" t="s">
        <v>82</v>
      </c>
      <c r="U175" s="435" t="s">
        <v>33</v>
      </c>
      <c r="V175" s="435"/>
      <c r="W175" s="16"/>
      <c r="X175" s="16"/>
      <c r="Y175" s="16"/>
      <c r="Z175" s="16"/>
      <c r="AA175" s="16"/>
      <c r="AB175" s="324"/>
      <c r="BN175" s="24"/>
      <c r="BO175" s="16"/>
    </row>
    <row r="176" spans="1:67" ht="17.25" customHeight="1">
      <c r="A176" s="16"/>
      <c r="B176" s="16"/>
      <c r="C176" s="59"/>
      <c r="D176" s="59"/>
      <c r="E176" s="59"/>
      <c r="F176" s="59"/>
      <c r="G176" s="59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01" t="s">
        <v>78</v>
      </c>
      <c r="U176" s="435" t="s">
        <v>80</v>
      </c>
      <c r="V176" s="435"/>
      <c r="W176" s="16"/>
      <c r="X176" s="16"/>
      <c r="Y176" s="16"/>
      <c r="Z176" s="16"/>
      <c r="AA176" s="16"/>
      <c r="AB176" s="324"/>
      <c r="BN176" s="24"/>
      <c r="BO176" s="16"/>
    </row>
    <row r="177" spans="1:67" ht="17.25" customHeight="1">
      <c r="A177" s="16"/>
      <c r="B177" s="16"/>
      <c r="C177" s="59"/>
      <c r="D177" s="59"/>
      <c r="E177" s="59"/>
      <c r="F177" s="59"/>
      <c r="G177" s="59"/>
      <c r="H177" s="16" t="s">
        <v>72</v>
      </c>
      <c r="I177" s="40" t="s">
        <v>74</v>
      </c>
      <c r="J177" s="16" t="s">
        <v>60</v>
      </c>
      <c r="K177" s="437" t="s">
        <v>75</v>
      </c>
      <c r="L177" s="16" t="s">
        <v>59</v>
      </c>
      <c r="M177" s="16"/>
      <c r="N177" s="437" t="s">
        <v>77</v>
      </c>
      <c r="O177" s="40" t="s">
        <v>231</v>
      </c>
      <c r="P177" s="16"/>
      <c r="Q177" s="437" t="s">
        <v>77</v>
      </c>
      <c r="R177" s="16" t="s">
        <v>232</v>
      </c>
      <c r="S177" s="16"/>
      <c r="T177" s="99" t="s">
        <v>79</v>
      </c>
      <c r="U177" s="436" t="s">
        <v>81</v>
      </c>
      <c r="V177" s="436"/>
      <c r="W177" s="16"/>
      <c r="X177" s="16"/>
      <c r="Y177" s="16"/>
      <c r="AB177" s="324"/>
      <c r="BN177" s="24"/>
      <c r="BO177" s="16"/>
    </row>
    <row r="178" spans="1:67" ht="17.25" customHeight="1" thickBot="1">
      <c r="A178" s="16"/>
      <c r="B178" s="16"/>
      <c r="C178" s="59"/>
      <c r="D178" s="59"/>
      <c r="E178" s="59"/>
      <c r="F178" s="59"/>
      <c r="G178" s="59"/>
      <c r="H178" s="16"/>
      <c r="I178" s="40"/>
      <c r="J178" s="42">
        <f>O146</f>
        <v>66.95</v>
      </c>
      <c r="K178" s="437"/>
      <c r="L178" s="729">
        <f>O147</f>
        <v>2.1666666666666667E-2</v>
      </c>
      <c r="M178" s="730"/>
      <c r="N178" s="437"/>
      <c r="O178" s="733" t="s">
        <v>146</v>
      </c>
      <c r="P178" s="734"/>
      <c r="Q178" s="437"/>
      <c r="R178" s="102" t="s">
        <v>79</v>
      </c>
      <c r="S178" s="16"/>
      <c r="T178" s="16"/>
      <c r="U178" s="16"/>
      <c r="AB178" s="324"/>
      <c r="BN178" s="24"/>
      <c r="BO178" s="16"/>
    </row>
    <row r="179" spans="1:67" ht="17.25" customHeight="1" thickTop="1" thickBot="1">
      <c r="A179" s="16"/>
      <c r="B179" s="16"/>
      <c r="C179" s="59"/>
      <c r="D179" s="59"/>
      <c r="E179" s="59"/>
      <c r="F179" s="59"/>
      <c r="G179" s="59"/>
      <c r="H179" s="16"/>
      <c r="I179" s="40"/>
      <c r="K179" s="40" t="s">
        <v>230</v>
      </c>
      <c r="L179" s="731" cm="1">
        <f t="array" ref="L179">angleConvert2Decimal(L178)</f>
        <v>2.1666666666666699E-2</v>
      </c>
      <c r="M179" s="732"/>
      <c r="N179" s="16"/>
      <c r="O179" s="687" cm="1">
        <f t="array" ref="O179">angleConvert2Decimal(O178)</f>
        <v>0.17166666666666669</v>
      </c>
      <c r="P179" s="688"/>
      <c r="Q179" s="11"/>
      <c r="R179" s="93" cm="1">
        <f t="array" ref="R179">angleConvert2Decimal(R178)</f>
        <v>-0.53333333333333333</v>
      </c>
      <c r="T179" s="7" t="s">
        <v>103</v>
      </c>
      <c r="U179" s="7"/>
      <c r="V179" s="7">
        <f>R179+O179</f>
        <v>-0.36166666666666664</v>
      </c>
      <c r="W179" s="751" t="str" cm="1">
        <f t="array" ref="W179">angleDecimal2Txt(V179)</f>
        <v>-00°21.69 (-00.3616) [-00°21'42.00]</v>
      </c>
      <c r="X179" s="752"/>
      <c r="Y179" s="752"/>
      <c r="Z179" s="752"/>
      <c r="AA179" s="438"/>
      <c r="AB179" s="324"/>
      <c r="BN179" s="24"/>
      <c r="BO179" s="16"/>
    </row>
    <row r="180" spans="1:67" ht="17.25" customHeight="1" thickTop="1" thickBot="1">
      <c r="A180" s="16"/>
      <c r="B180" s="16"/>
      <c r="C180" s="59"/>
      <c r="D180" s="59"/>
      <c r="E180" s="59"/>
      <c r="F180" s="59"/>
      <c r="G180" s="59"/>
      <c r="H180" s="16"/>
      <c r="I180" s="40"/>
      <c r="J180" s="16"/>
      <c r="K180" s="40"/>
      <c r="L180" s="16"/>
      <c r="M180" s="16"/>
      <c r="N180" s="40"/>
      <c r="O180" s="16"/>
      <c r="P180" s="16"/>
      <c r="Q180" s="40"/>
      <c r="R180" s="45"/>
      <c r="S180" s="16"/>
      <c r="T180" s="16"/>
      <c r="U180" s="16"/>
      <c r="V180" s="16"/>
      <c r="W180" s="16"/>
      <c r="X180" s="16"/>
      <c r="Y180" s="16"/>
      <c r="Z180" s="16"/>
      <c r="AA180" s="16"/>
      <c r="AB180" s="324"/>
      <c r="BN180" s="24"/>
      <c r="BO180" s="16"/>
    </row>
    <row r="181" spans="1:67" ht="17.25" customHeight="1" thickTop="1" thickBot="1">
      <c r="A181" s="16"/>
      <c r="B181" s="16"/>
      <c r="C181" s="59"/>
      <c r="D181" s="59"/>
      <c r="E181" s="59"/>
      <c r="F181" s="59"/>
      <c r="G181" s="59"/>
      <c r="H181" s="745" t="s">
        <v>145</v>
      </c>
      <c r="I181" s="746"/>
      <c r="J181" s="746"/>
      <c r="K181" s="746"/>
      <c r="L181" s="746"/>
      <c r="M181" s="746"/>
      <c r="N181" s="747"/>
      <c r="O181" s="473">
        <f>J178-L179+O179+R179</f>
        <v>66.566666666666677</v>
      </c>
      <c r="P181" s="440"/>
      <c r="Q181" s="440"/>
      <c r="R181" s="440"/>
      <c r="S181" s="16" t="s">
        <v>54</v>
      </c>
      <c r="T181" s="16"/>
      <c r="U181" s="751" t="str" cm="1">
        <f t="array" ref="U181">angleDecimal2Txt(O181)</f>
        <v>+66°34.00 (+66.5666) [+66°34'00.00]</v>
      </c>
      <c r="V181" s="752"/>
      <c r="W181" s="752"/>
      <c r="X181" s="752"/>
      <c r="Y181" s="752"/>
      <c r="Z181" s="438"/>
      <c r="AA181" s="16"/>
      <c r="AB181" s="324"/>
      <c r="BN181" s="24"/>
      <c r="BO181" s="16"/>
    </row>
    <row r="182" spans="1:67" ht="17.25" customHeight="1" thickTop="1" thickBot="1">
      <c r="A182" s="16"/>
      <c r="B182" s="16"/>
      <c r="C182" s="59"/>
      <c r="D182" s="46"/>
      <c r="E182" s="59"/>
      <c r="F182" s="59"/>
      <c r="G182" s="59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324"/>
      <c r="BN182" s="24"/>
      <c r="BO182" s="16"/>
    </row>
    <row r="183" spans="1:67" ht="17.25" customHeight="1" thickBot="1">
      <c r="A183" s="16"/>
      <c r="B183" s="854" t="s">
        <v>255</v>
      </c>
      <c r="C183" s="855"/>
      <c r="D183" s="855"/>
      <c r="E183" s="855"/>
      <c r="F183" s="855"/>
      <c r="G183" s="855"/>
      <c r="H183" s="855"/>
      <c r="I183" s="855"/>
      <c r="J183" s="855"/>
      <c r="K183" s="855"/>
      <c r="L183" s="855"/>
      <c r="M183" s="855"/>
      <c r="N183" s="855"/>
      <c r="O183" s="855"/>
      <c r="P183" s="855"/>
      <c r="Q183" s="855"/>
      <c r="R183" s="855"/>
      <c r="S183" s="855"/>
      <c r="T183" s="855"/>
      <c r="U183" s="855"/>
      <c r="V183" s="855"/>
      <c r="W183" s="855"/>
      <c r="X183" s="855"/>
      <c r="Y183" s="855"/>
      <c r="Z183" s="855"/>
      <c r="AA183" s="855"/>
      <c r="AB183" s="325"/>
      <c r="BN183" s="24"/>
      <c r="BO183" s="16"/>
    </row>
    <row r="184" spans="1:67" ht="17.25" customHeight="1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324"/>
      <c r="BN184" s="24"/>
      <c r="BO184" s="16"/>
    </row>
    <row r="185" spans="1:67" ht="17.25" customHeight="1">
      <c r="A185" s="16"/>
      <c r="B185" s="16"/>
      <c r="C185" s="14"/>
      <c r="D185" s="14"/>
      <c r="E185" s="697" t="s">
        <v>257</v>
      </c>
      <c r="F185" s="698"/>
      <c r="G185" s="698"/>
      <c r="H185" s="698"/>
      <c r="I185" s="425">
        <f>90-Q186</f>
        <v>23.38237781580645</v>
      </c>
      <c r="J185" s="426"/>
      <c r="K185" s="426"/>
      <c r="L185" s="426"/>
      <c r="M185" s="427"/>
      <c r="N185" s="16"/>
      <c r="O185" s="860" t="s">
        <v>256</v>
      </c>
      <c r="P185" s="861"/>
      <c r="Q185" s="862"/>
      <c r="R185" s="862"/>
      <c r="S185" s="862"/>
      <c r="T185" s="863"/>
      <c r="AB185" s="324"/>
      <c r="BN185" s="24"/>
      <c r="BO185" s="16"/>
    </row>
    <row r="186" spans="1:67" ht="17.25" customHeight="1" thickBot="1">
      <c r="A186" s="16"/>
      <c r="B186" s="16"/>
      <c r="C186" s="14"/>
      <c r="D186" s="14"/>
      <c r="E186" s="699"/>
      <c r="F186" s="700"/>
      <c r="G186" s="700"/>
      <c r="H186" s="700"/>
      <c r="I186" s="606"/>
      <c r="J186" s="607"/>
      <c r="K186" s="607"/>
      <c r="L186" s="607"/>
      <c r="M186" s="715"/>
      <c r="N186" s="48" t="s">
        <v>116</v>
      </c>
      <c r="O186" s="847" t="s">
        <v>72</v>
      </c>
      <c r="P186" s="848"/>
      <c r="Q186" s="519">
        <f>F143</f>
        <v>66.61762218419355</v>
      </c>
      <c r="R186" s="520"/>
      <c r="S186" s="520"/>
      <c r="T186" s="113" t="s">
        <v>54</v>
      </c>
      <c r="Y186" s="16"/>
      <c r="Z186" s="16"/>
      <c r="AA186" s="16"/>
      <c r="AB186" s="324"/>
      <c r="BN186" s="24"/>
      <c r="BO186" s="16"/>
    </row>
    <row r="187" spans="1:67" ht="17.25" customHeight="1" thickTop="1" thickBot="1">
      <c r="A187" s="16"/>
      <c r="B187" s="16"/>
      <c r="C187" s="14"/>
      <c r="D187" s="14"/>
      <c r="E187" s="701"/>
      <c r="F187" s="702"/>
      <c r="G187" s="702"/>
      <c r="H187" s="702"/>
      <c r="I187" s="751" t="str" cm="1">
        <f t="array" ref="I187">angleDecimal2Txt(I185)</f>
        <v>+23°22.94 (+23.3823) [+23°22'56.56]</v>
      </c>
      <c r="J187" s="752"/>
      <c r="K187" s="752"/>
      <c r="L187" s="752"/>
      <c r="M187" s="438"/>
      <c r="N187" s="16"/>
      <c r="O187" s="847" t="s">
        <v>84</v>
      </c>
      <c r="P187" s="848"/>
      <c r="Q187" s="519">
        <f>F129</f>
        <v>0</v>
      </c>
      <c r="R187" s="520"/>
      <c r="S187" s="520"/>
      <c r="T187" s="113" t="s">
        <v>54</v>
      </c>
      <c r="Y187" s="16"/>
      <c r="Z187" s="16"/>
      <c r="AA187" s="16"/>
      <c r="AB187" s="324"/>
      <c r="BN187" s="24"/>
      <c r="BO187" s="16"/>
    </row>
    <row r="188" spans="1:67" ht="17.25" customHeight="1" thickTop="1">
      <c r="A188" s="16"/>
      <c r="B188" s="16"/>
      <c r="C188" s="14"/>
      <c r="D188" s="14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AA188" s="16"/>
      <c r="AB188" s="324"/>
      <c r="BN188" s="24"/>
      <c r="BO188" s="16"/>
    </row>
    <row r="189" spans="1:67" ht="17.25" customHeight="1">
      <c r="A189" s="16"/>
      <c r="B189" s="16"/>
      <c r="C189" s="14"/>
      <c r="D189" s="14"/>
      <c r="AB189" s="324"/>
      <c r="AC189" s="14" t="s">
        <v>591</v>
      </c>
      <c r="AD189" s="14">
        <v>-1</v>
      </c>
      <c r="BN189" s="24"/>
      <c r="BO189" s="16"/>
    </row>
    <row r="190" spans="1:67" ht="17.25" customHeight="1">
      <c r="A190" s="16"/>
      <c r="B190" s="16"/>
      <c r="C190" s="14"/>
      <c r="D190" s="14"/>
      <c r="E190" s="856" t="s">
        <v>213</v>
      </c>
      <c r="F190" s="857"/>
      <c r="G190" s="857"/>
      <c r="H190" s="857"/>
      <c r="I190" s="857"/>
      <c r="J190" s="857"/>
      <c r="K190" s="857"/>
      <c r="L190" s="857"/>
      <c r="M190" s="857"/>
      <c r="N190" s="857"/>
      <c r="O190" s="858"/>
      <c r="Q190" s="469" t="s">
        <v>593</v>
      </c>
      <c r="R190" s="469"/>
      <c r="S190" s="469"/>
      <c r="T190" s="834" t="str">
        <f>IF(T191&gt;T192,AC189,AC190)</f>
        <v>Soleil au Nord</v>
      </c>
      <c r="U190" s="834"/>
      <c r="V190" s="835" t="str">
        <f>IF(VLOOKUP(T190,AC189:AD190,2,FALSE)&lt;0,"Le soleil est au sud, et le nord est dans le dos","Le soleil est au nord, et le sud est dans le dos")</f>
        <v>Le soleil est au nord, et le sud est dans le dos</v>
      </c>
      <c r="W190" s="835"/>
      <c r="X190" s="835"/>
      <c r="Y190" s="835"/>
      <c r="Z190" s="835"/>
      <c r="AA190" s="835"/>
      <c r="AB190" s="324"/>
      <c r="AC190" s="14" t="s">
        <v>590</v>
      </c>
      <c r="AD190" s="14">
        <v>1</v>
      </c>
      <c r="BN190" s="24"/>
      <c r="BO190" s="16"/>
    </row>
    <row r="191" spans="1:67" ht="17.25" customHeight="1">
      <c r="A191" s="16"/>
      <c r="B191" s="16"/>
      <c r="C191" s="14"/>
      <c r="D191" s="14"/>
      <c r="E191" s="525"/>
      <c r="F191" s="525" t="s">
        <v>215</v>
      </c>
      <c r="G191" s="525"/>
      <c r="H191" s="525"/>
      <c r="I191" s="525"/>
      <c r="J191" s="525"/>
      <c r="K191" s="804" t="s">
        <v>217</v>
      </c>
      <c r="L191" s="859"/>
      <c r="M191" s="859"/>
      <c r="N191" s="859"/>
      <c r="O191" s="805"/>
      <c r="Q191" s="469" t="s">
        <v>85</v>
      </c>
      <c r="R191" s="469"/>
      <c r="S191" s="469"/>
      <c r="T191" s="834">
        <f>F125</f>
        <v>0</v>
      </c>
      <c r="U191" s="834"/>
      <c r="V191" s="835" t="str">
        <f>CONCATENATE("Lat et Dec - Meme sens ?: ",AC191)</f>
        <v>Lat et Dec - Meme sens ?: FALSE</v>
      </c>
      <c r="W191" s="835"/>
      <c r="X191" s="835"/>
      <c r="Y191" s="835"/>
      <c r="Z191" s="835"/>
      <c r="AA191" s="835"/>
      <c r="AB191" s="324"/>
      <c r="AC191" s="14" t="b">
        <f>IF(T191*T192&gt;0,TRUE,FALSE)</f>
        <v>0</v>
      </c>
      <c r="BN191" s="24"/>
      <c r="BO191" s="16"/>
    </row>
    <row r="192" spans="1:67" ht="17.25" customHeight="1">
      <c r="A192" s="16"/>
      <c r="B192" s="16"/>
      <c r="C192" s="14"/>
      <c r="D192" s="14"/>
      <c r="E192" s="525"/>
      <c r="F192" s="525" t="s">
        <v>216</v>
      </c>
      <c r="G192" s="525"/>
      <c r="H192" s="525"/>
      <c r="I192" s="525"/>
      <c r="J192" s="525"/>
      <c r="K192" s="804" t="s">
        <v>218</v>
      </c>
      <c r="L192" s="859"/>
      <c r="M192" s="859"/>
      <c r="N192" s="859"/>
      <c r="O192" s="805"/>
      <c r="Q192" s="469" t="s">
        <v>84</v>
      </c>
      <c r="R192" s="469"/>
      <c r="S192" s="469"/>
      <c r="T192" s="834">
        <f>Q187</f>
        <v>0</v>
      </c>
      <c r="U192" s="834"/>
      <c r="V192" s="835" t="str">
        <f>CONCATENATE("Lat &gt; Dec  ? : ",AC192)</f>
        <v>Lat &gt; Dec  ? : FALSE</v>
      </c>
      <c r="W192" s="835"/>
      <c r="X192" s="835"/>
      <c r="Y192" s="835"/>
      <c r="Z192" s="835"/>
      <c r="AA192" s="835"/>
      <c r="AB192" s="324"/>
      <c r="AC192" s="14" t="b">
        <f>IF(ABS(T191)&gt;ABS(T192),TRUE, FALSE)</f>
        <v>0</v>
      </c>
      <c r="BN192" s="24"/>
      <c r="BO192" s="16"/>
    </row>
    <row r="193" spans="1:67" ht="17.25" customHeight="1">
      <c r="A193" s="16"/>
      <c r="B193" s="16"/>
      <c r="C193" s="16"/>
      <c r="D193" s="16"/>
      <c r="E193" s="864" t="s">
        <v>214</v>
      </c>
      <c r="F193" s="864"/>
      <c r="G193" s="864"/>
      <c r="H193" s="864"/>
      <c r="I193" s="864"/>
      <c r="J193" s="864"/>
      <c r="K193" s="804" t="s">
        <v>219</v>
      </c>
      <c r="L193" s="859"/>
      <c r="M193" s="859"/>
      <c r="N193" s="859"/>
      <c r="O193" s="805"/>
      <c r="AB193" s="324"/>
      <c r="AD193" s="298"/>
      <c r="BN193" s="24"/>
      <c r="BO193" s="16"/>
    </row>
    <row r="194" spans="1:67" ht="17.25" customHeight="1">
      <c r="A194" s="16"/>
      <c r="B194" s="16"/>
      <c r="C194" s="59"/>
      <c r="D194" s="59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AB194" s="324"/>
      <c r="AD194" s="298"/>
      <c r="BN194" s="24"/>
      <c r="BO194" s="16"/>
    </row>
    <row r="195" spans="1:67" ht="17.25" customHeight="1" thickBot="1">
      <c r="A195" s="16"/>
      <c r="B195" s="16"/>
      <c r="C195" s="59"/>
      <c r="D195" s="59"/>
      <c r="E195" s="59"/>
      <c r="F195" s="59"/>
      <c r="G195" s="59"/>
      <c r="H195" s="16"/>
      <c r="I195" s="16"/>
      <c r="J195" s="16"/>
      <c r="K195" s="16"/>
      <c r="L195" s="16"/>
      <c r="AB195" s="324"/>
      <c r="AD195" s="298"/>
      <c r="BN195" s="24"/>
      <c r="BO195" s="16"/>
    </row>
    <row r="196" spans="1:67" ht="17.25" customHeight="1" thickTop="1">
      <c r="A196" s="16"/>
      <c r="B196" s="16"/>
      <c r="C196" s="59"/>
      <c r="D196" s="59"/>
      <c r="E196" s="59"/>
      <c r="F196" s="59"/>
      <c r="G196" s="59"/>
      <c r="H196" s="411" t="s">
        <v>212</v>
      </c>
      <c r="I196" s="412"/>
      <c r="J196" s="412"/>
      <c r="K196" s="412"/>
      <c r="L196" s="853"/>
      <c r="M196" s="843" cm="1">
        <f t="array" ref="M196">astroCalculLatitude(VLOOKUP(T190,AC189:AD190,2,FALSE),T192,Q186)</f>
        <v>-23.38237781580645</v>
      </c>
      <c r="N196" s="844"/>
      <c r="O196" s="216" t="s">
        <v>28</v>
      </c>
      <c r="P196" s="845" t="str">
        <f>latitudeDecimal2Txt(M196)</f>
        <v>S 23°22.94 (S 23.3823) [S 23°22'56.56]</v>
      </c>
      <c r="Q196" s="846"/>
      <c r="R196" s="846"/>
      <c r="S196" s="846"/>
      <c r="T196" s="846"/>
      <c r="U196" s="846"/>
      <c r="V196" t="s">
        <v>596</v>
      </c>
      <c r="AB196" s="324"/>
      <c r="BN196" s="24"/>
      <c r="BO196" s="16"/>
    </row>
    <row r="197" spans="1:67" ht="17.25" customHeight="1">
      <c r="A197" s="14"/>
      <c r="B197" s="14"/>
      <c r="C197" s="14"/>
      <c r="D197" s="14"/>
      <c r="M197" s="1064">
        <f>IF(AC191,IF(AC192,I185+T192,T192-I185),I185-T192)</f>
        <v>23.38237781580645</v>
      </c>
      <c r="N197" s="1065"/>
      <c r="O197" s="289" t="s">
        <v>28</v>
      </c>
      <c r="P197" s="1066" t="str">
        <f>latitudeDecimal2Txt(M197)</f>
        <v>N 23°22.94 (N 23.3823) [N 23°22'56.56]</v>
      </c>
      <c r="Q197" s="1067"/>
      <c r="R197" s="1067"/>
      <c r="S197" s="1067"/>
      <c r="T197" s="1067"/>
      <c r="U197" s="1067"/>
      <c r="V197" s="16" t="s">
        <v>595</v>
      </c>
      <c r="W197" s="16"/>
      <c r="X197" s="16"/>
      <c r="Y197" s="16"/>
      <c r="Z197" s="16"/>
      <c r="AA197" s="16"/>
      <c r="AB197" s="324"/>
      <c r="BN197" s="24"/>
      <c r="BO197" s="16"/>
    </row>
    <row r="198" spans="1:67" s="16" customFormat="1" ht="17.25" customHeight="1" thickBot="1">
      <c r="C198" s="59"/>
      <c r="D198" s="59"/>
      <c r="E198" s="59"/>
      <c r="F198" s="59"/>
      <c r="G198" s="59"/>
      <c r="H198" s="411" t="s">
        <v>171</v>
      </c>
      <c r="I198" s="412"/>
      <c r="J198" s="412"/>
      <c r="K198" s="412"/>
      <c r="L198" s="853"/>
      <c r="M198" s="1099">
        <f>Q100</f>
        <v>-7.1915837499999622</v>
      </c>
      <c r="N198" s="1100"/>
      <c r="O198" s="288" t="s">
        <v>28</v>
      </c>
      <c r="P198" s="1101" t="str">
        <f>longitudeDecimal2Txt(M198)</f>
        <v>W 07°11.49 (W 07.1915) [W 07°11'29.70]</v>
      </c>
      <c r="Q198" s="509"/>
      <c r="R198" s="509"/>
      <c r="S198" s="509"/>
      <c r="T198" s="509"/>
      <c r="U198" s="509"/>
      <c r="AB198" s="324"/>
      <c r="AC198" s="14"/>
      <c r="AD198" s="14"/>
      <c r="AE198" s="14"/>
      <c r="AF198" s="14"/>
      <c r="AG198" s="14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 s="24"/>
    </row>
    <row r="199" spans="1:67" ht="17.25" customHeight="1" thickTop="1" thickBot="1">
      <c r="A199" s="16"/>
      <c r="B199" s="16"/>
      <c r="C199" s="59"/>
      <c r="D199" s="59"/>
      <c r="E199" s="59"/>
      <c r="F199" s="59"/>
      <c r="G199" s="59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324"/>
      <c r="BN199" s="24"/>
      <c r="BO199" s="16"/>
    </row>
    <row r="200" spans="1:67" ht="17.25" customHeight="1" thickBot="1">
      <c r="A200" s="16"/>
      <c r="B200" s="25" t="s">
        <v>233</v>
      </c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325"/>
      <c r="BN200" s="24"/>
      <c r="BO200" s="16"/>
    </row>
    <row r="201" spans="1:67" s="16" customFormat="1" ht="17.25" customHeight="1">
      <c r="C201" s="59"/>
      <c r="D201" s="59"/>
      <c r="E201" s="59"/>
      <c r="F201" s="59"/>
      <c r="G201" s="59"/>
      <c r="AB201" s="324"/>
      <c r="AC201" s="14"/>
      <c r="AD201" s="14"/>
      <c r="AE201" s="14"/>
      <c r="AF201" s="14"/>
      <c r="AG201" s="14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 s="24"/>
    </row>
    <row r="202" spans="1:67" ht="17.25" customHeight="1" thickBot="1">
      <c r="A202" s="16"/>
      <c r="B202" s="16"/>
      <c r="C202" s="517" t="s">
        <v>234</v>
      </c>
      <c r="D202" s="517"/>
      <c r="E202" s="517"/>
      <c r="F202" s="517"/>
      <c r="G202" s="103"/>
      <c r="H202" s="517" t="s">
        <v>235</v>
      </c>
      <c r="I202" s="517"/>
      <c r="J202" s="517"/>
      <c r="K202" s="16"/>
      <c r="L202" s="852" t="s">
        <v>224</v>
      </c>
      <c r="M202" s="852"/>
      <c r="N202" s="852"/>
      <c r="O202" s="16"/>
      <c r="P202" s="16"/>
      <c r="Q202" s="415" t="s">
        <v>236</v>
      </c>
      <c r="R202" s="415"/>
      <c r="S202" s="415"/>
      <c r="T202" s="415"/>
      <c r="U202" s="90"/>
      <c r="V202" s="16"/>
      <c r="W202" s="16"/>
      <c r="X202" s="16"/>
      <c r="Y202" s="16"/>
      <c r="Z202" s="16"/>
      <c r="AA202" s="16"/>
      <c r="AB202" s="324"/>
      <c r="AD202" s="298"/>
      <c r="BN202" s="24"/>
      <c r="BO202" s="16"/>
    </row>
    <row r="203" spans="1:67" ht="17.25" customHeight="1" thickTop="1" thickBot="1">
      <c r="A203" s="16"/>
      <c r="B203" s="16"/>
      <c r="C203" s="59"/>
      <c r="D203" s="127" t="s">
        <v>41</v>
      </c>
      <c r="E203" s="525">
        <f>M196</f>
        <v>-23.38237781580645</v>
      </c>
      <c r="F203" s="525"/>
      <c r="G203" s="59"/>
      <c r="H203" s="16"/>
      <c r="I203" s="525" t="str">
        <f>V190</f>
        <v>Le soleil est au nord, et le sud est dans le dos</v>
      </c>
      <c r="J203" s="525"/>
      <c r="K203" s="16" t="s">
        <v>104</v>
      </c>
      <c r="L203" s="16"/>
      <c r="M203" s="525">
        <v>180</v>
      </c>
      <c r="N203" s="525"/>
      <c r="O203" s="16"/>
      <c r="P203" s="16"/>
      <c r="Q203" s="16"/>
      <c r="R203" s="128" t="s">
        <v>41</v>
      </c>
      <c r="S203" s="413">
        <f>E203</f>
        <v>-23.38237781580645</v>
      </c>
      <c r="T203" s="413"/>
      <c r="U203" s="684" t="str" cm="1">
        <f t="array" ref="U203">latitudeDecimal2Txt(S203)</f>
        <v>S 23°22.94 (S 23.3823) [S 23°22'56.56]</v>
      </c>
      <c r="V203" s="603"/>
      <c r="W203" s="603"/>
      <c r="X203" s="603"/>
      <c r="Y203" s="603"/>
      <c r="Z203" s="604"/>
      <c r="AA203" s="16"/>
      <c r="AB203" s="324"/>
      <c r="AD203" s="298"/>
      <c r="BN203" s="24"/>
      <c r="BO203" s="16"/>
    </row>
    <row r="204" spans="1:67" ht="17.25" customHeight="1" thickTop="1">
      <c r="A204" s="16"/>
      <c r="B204" s="16"/>
      <c r="C204" s="59"/>
      <c r="D204" s="127" t="s">
        <v>42</v>
      </c>
      <c r="E204" s="525">
        <f>M198</f>
        <v>-7.1915837499999622</v>
      </c>
      <c r="F204" s="525"/>
      <c r="G204" s="59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324"/>
      <c r="BN204" s="24"/>
      <c r="BO204" s="16"/>
    </row>
    <row r="205" spans="1:67" ht="17.25" customHeight="1">
      <c r="A205" s="16"/>
      <c r="B205" s="16"/>
      <c r="F205" s="59"/>
      <c r="G205" s="59"/>
      <c r="H205" s="16"/>
      <c r="I205" s="16"/>
      <c r="J205" s="16"/>
      <c r="K205" s="16"/>
      <c r="L205" s="16"/>
      <c r="M205" s="16"/>
      <c r="N205" s="16"/>
      <c r="O205" s="16"/>
      <c r="P205" s="16"/>
      <c r="Q205" s="415" t="s">
        <v>237</v>
      </c>
      <c r="R205" s="415"/>
      <c r="S205" s="415"/>
      <c r="T205" s="16"/>
      <c r="U205" s="16"/>
      <c r="V205" s="16"/>
      <c r="W205" s="16"/>
      <c r="X205" s="16"/>
      <c r="Y205" s="16"/>
      <c r="Z205" s="16"/>
      <c r="AA205" s="16"/>
      <c r="AB205" s="324"/>
      <c r="BN205" s="24"/>
      <c r="BO205" s="16"/>
    </row>
    <row r="206" spans="1:67" ht="17.25" customHeight="1">
      <c r="A206" s="16"/>
      <c r="B206" s="16"/>
      <c r="C206" s="59"/>
      <c r="D206" s="59"/>
      <c r="E206" s="59"/>
      <c r="F206" s="59"/>
      <c r="G206" s="59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413">
        <f>M203-90</f>
        <v>90</v>
      </c>
      <c r="S206" s="413"/>
      <c r="T206" s="50" t="s">
        <v>28</v>
      </c>
      <c r="U206" s="16"/>
      <c r="V206" s="16"/>
      <c r="W206" s="16"/>
      <c r="X206" s="16"/>
      <c r="Y206" s="16"/>
      <c r="Z206" s="16"/>
      <c r="AA206" s="16"/>
      <c r="AB206" s="324"/>
      <c r="BN206" s="24"/>
      <c r="BO206" s="16"/>
    </row>
    <row r="207" spans="1:67" ht="17.25" customHeight="1"/>
    <row r="208" spans="1:67" ht="17.25" customHeight="1" thickBot="1"/>
    <row r="209" spans="2:33" ht="17.25" customHeight="1" thickBot="1">
      <c r="B209" s="109" t="s">
        <v>241</v>
      </c>
      <c r="C209" s="110"/>
      <c r="D209" s="110"/>
      <c r="E209" s="110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</row>
    <row r="210" spans="2:33" ht="17.25" customHeight="1">
      <c r="AD210" s="298"/>
    </row>
    <row r="211" spans="2:33" ht="17.25" customHeight="1" thickBot="1">
      <c r="C211" s="515" t="s">
        <v>236</v>
      </c>
      <c r="D211" s="515"/>
      <c r="E211" s="515"/>
      <c r="F211" s="515"/>
      <c r="G211" s="90"/>
      <c r="H211" s="16"/>
      <c r="I211" s="16"/>
      <c r="J211" s="16"/>
      <c r="K211" s="16"/>
      <c r="L211" s="16"/>
      <c r="Q211" s="104" t="s">
        <v>242</v>
      </c>
      <c r="R211" s="104"/>
      <c r="S211" s="104"/>
      <c r="T211" s="104"/>
      <c r="U211" s="104"/>
      <c r="V211" s="104"/>
      <c r="W211" s="104"/>
    </row>
    <row r="212" spans="2:33" ht="17.25" customHeight="1" thickTop="1" thickBot="1">
      <c r="D212" s="129" t="s">
        <v>41</v>
      </c>
      <c r="E212" s="516">
        <f>I221</f>
        <v>0</v>
      </c>
      <c r="F212" s="516"/>
      <c r="G212" s="414" t="str" cm="1">
        <f t="array" ref="G212">latitudeDecimal2Txt(E212)</f>
        <v>N 00°00.00 (N 00.0000) [N 00°00'00.00]</v>
      </c>
      <c r="H212" s="414"/>
      <c r="I212" s="414"/>
      <c r="J212" s="414"/>
      <c r="K212" s="414"/>
      <c r="L212" s="414"/>
      <c r="R212" s="128" t="s">
        <v>41</v>
      </c>
      <c r="S212" s="413">
        <f>AG215</f>
        <v>-23.38237781580645</v>
      </c>
      <c r="T212" s="413"/>
      <c r="U212" s="414" t="str" cm="1">
        <f t="array" ref="U212">latitudeDecimal2Txt(S212)</f>
        <v>S 23°22.94 (S 23.3823) [S 23°22'56.56]</v>
      </c>
      <c r="V212" s="414"/>
      <c r="W212" s="414"/>
      <c r="X212" s="414"/>
      <c r="Y212" s="414"/>
      <c r="Z212" s="414"/>
      <c r="AC212" s="299" t="s">
        <v>273</v>
      </c>
      <c r="AD212" s="300">
        <f>D216</f>
        <v>30</v>
      </c>
    </row>
    <row r="213" spans="2:33" ht="17.25" customHeight="1" thickTop="1" thickBot="1">
      <c r="D213" s="129" t="s">
        <v>42</v>
      </c>
      <c r="E213" s="516">
        <v>-7</v>
      </c>
      <c r="F213" s="516"/>
      <c r="G213" s="414" t="str" cm="1">
        <f t="array" ref="G213">longitudeDecimal2Txt(E213)</f>
        <v>W 07°00.00 (W 07.0000) [W 07°00'00.00]</v>
      </c>
      <c r="H213" s="414"/>
      <c r="I213" s="414"/>
      <c r="J213" s="414"/>
      <c r="K213" s="414"/>
      <c r="L213" s="414"/>
      <c r="R213" s="128" t="s">
        <v>42</v>
      </c>
      <c r="S213" s="413">
        <f>AG216</f>
        <v>-20.499822126249384</v>
      </c>
      <c r="T213" s="413"/>
      <c r="U213" s="414" t="str" cm="1">
        <f t="array" ref="U213">longitudeDecimal2Txt(S213)</f>
        <v>W 20°29.98 (W 20.4998) [W 20°29'59.35]</v>
      </c>
      <c r="V213" s="414"/>
      <c r="W213" s="414"/>
      <c r="X213" s="414"/>
      <c r="Y213" s="414"/>
      <c r="Z213" s="414"/>
      <c r="AC213" s="299" t="s">
        <v>599</v>
      </c>
      <c r="AD213" s="300">
        <f>E212</f>
        <v>0</v>
      </c>
    </row>
    <row r="214" spans="2:33" ht="17.25" customHeight="1" thickTop="1"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AC214" s="299" t="s">
        <v>598</v>
      </c>
      <c r="AD214" s="300">
        <f>E213</f>
        <v>-7</v>
      </c>
    </row>
    <row r="215" spans="2:33" ht="17.25" customHeight="1">
      <c r="C215" s="515" t="s">
        <v>237</v>
      </c>
      <c r="D215" s="515"/>
      <c r="E215" s="515"/>
      <c r="F215" s="108"/>
      <c r="G215" s="16"/>
      <c r="H215" s="16"/>
      <c r="I215" s="16"/>
      <c r="J215" s="16"/>
      <c r="K215" s="16"/>
      <c r="L215" s="16"/>
      <c r="AC215" s="299" t="s">
        <v>243</v>
      </c>
      <c r="AD215" s="299">
        <f>TAN(AD212*Outils!F37) * (1 / COS(AD213*Outils!F37))</f>
        <v>0</v>
      </c>
      <c r="AE215" s="1093" t="s">
        <v>279</v>
      </c>
      <c r="AF215" s="1093"/>
      <c r="AG215" s="301">
        <f>S203</f>
        <v>-23.38237781580645</v>
      </c>
    </row>
    <row r="216" spans="2:33" ht="17.25" customHeight="1">
      <c r="D216" s="516">
        <v>30</v>
      </c>
      <c r="E216" s="516"/>
      <c r="F216" s="130" t="s">
        <v>28</v>
      </c>
      <c r="G216" s="16"/>
      <c r="H216" s="16"/>
      <c r="I216" s="16"/>
      <c r="J216" s="16"/>
      <c r="K216" s="16"/>
      <c r="L216" s="16"/>
      <c r="AC216" s="299" t="s">
        <v>244</v>
      </c>
      <c r="AD216" s="299">
        <f>AD214-AD213*AD215</f>
        <v>-7</v>
      </c>
      <c r="AE216" s="1093"/>
      <c r="AF216" s="1093"/>
      <c r="AG216" s="302">
        <f>E213+(S203-E212)*TAN(D216*Outils!F4)/COS(Outils!F4*E212)</f>
        <v>-20.499822126249384</v>
      </c>
    </row>
    <row r="218" spans="2:33">
      <c r="S218" s="16"/>
      <c r="T218" s="16"/>
    </row>
    <row r="220" spans="2:33" ht="17.25" customHeight="1">
      <c r="G220" s="11"/>
      <c r="P220" s="16"/>
      <c r="Q220" s="16"/>
    </row>
    <row r="221" spans="2:33" ht="17.25" customHeight="1" thickBot="1">
      <c r="G221" s="11"/>
    </row>
    <row r="222" spans="2:33" ht="15.75" thickBot="1">
      <c r="B222" s="109" t="s">
        <v>542</v>
      </c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1"/>
      <c r="AB222" s="327"/>
    </row>
    <row r="223" spans="2:33">
      <c r="K223" s="92"/>
      <c r="L223" s="92"/>
      <c r="AB223" s="327"/>
    </row>
    <row r="224" spans="2:33">
      <c r="B224" s="705" t="s">
        <v>1</v>
      </c>
      <c r="C224" s="705"/>
      <c r="D224" s="705" t="e">
        <f>#REF!</f>
        <v>#REF!</v>
      </c>
      <c r="E224" s="705"/>
      <c r="F224" s="705"/>
      <c r="G224" s="705"/>
      <c r="H224" s="234" t="s">
        <v>2</v>
      </c>
      <c r="I224" s="705" t="e">
        <f>#REF!</f>
        <v>#REF!</v>
      </c>
      <c r="J224" s="705"/>
      <c r="K224" s="705"/>
      <c r="L224" s="705"/>
      <c r="AB224" s="327"/>
    </row>
    <row r="225" spans="2:65">
      <c r="B225" s="706" t="s">
        <v>30</v>
      </c>
      <c r="C225" s="706"/>
      <c r="D225" s="994" t="s">
        <v>431</v>
      </c>
      <c r="E225" s="994"/>
      <c r="F225" s="994"/>
      <c r="G225" s="994"/>
      <c r="H225" s="228"/>
      <c r="I225" s="228"/>
      <c r="J225" s="228"/>
      <c r="K225" s="228"/>
      <c r="L225" s="228"/>
      <c r="AA225" s="225"/>
      <c r="AB225" s="327"/>
    </row>
    <row r="226" spans="2:65">
      <c r="B226" s="224"/>
      <c r="C226" s="224"/>
      <c r="D226" s="227"/>
      <c r="E226" s="224"/>
      <c r="AA226" s="225"/>
      <c r="AB226" s="327"/>
    </row>
    <row r="227" spans="2:65" s="92" customFormat="1" ht="17.25" customHeight="1" thickBot="1">
      <c r="B227" s="231" t="s">
        <v>401</v>
      </c>
      <c r="C227" s="231"/>
      <c r="D227" s="231"/>
      <c r="E227" s="231"/>
      <c r="F227" s="230"/>
      <c r="G227" s="230"/>
      <c r="H227" s="229"/>
      <c r="I227" s="229"/>
      <c r="J227" s="229"/>
      <c r="K227" s="229"/>
      <c r="L227" s="229"/>
      <c r="M227" s="229"/>
      <c r="N227" s="229"/>
      <c r="O227" s="229"/>
      <c r="P227" s="229"/>
      <c r="Q227" s="229"/>
      <c r="AB227" s="326"/>
      <c r="AC227" s="14"/>
      <c r="AD227" s="14"/>
      <c r="AE227" s="14"/>
      <c r="AF227" s="14"/>
      <c r="AG227" s="14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5" s="92" customFormat="1" ht="17.25" customHeight="1" thickTop="1">
      <c r="C228" s="759" t="s">
        <v>481</v>
      </c>
      <c r="D228" s="759"/>
      <c r="E228" s="819" t="str">
        <f>P110</f>
        <v>+66°57.00 (+66.9500) [+66°57'00.00]</v>
      </c>
      <c r="F228" s="759"/>
      <c r="G228" s="759"/>
      <c r="H228" s="759"/>
      <c r="I228" s="759"/>
      <c r="AB228" s="326"/>
      <c r="AC228" s="14"/>
      <c r="AD228" s="14"/>
      <c r="AE228" s="14"/>
      <c r="AF228" s="14"/>
      <c r="AG228" s="14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5" s="92" customFormat="1" ht="17.25" customHeight="1">
      <c r="C229" s="758" t="s">
        <v>70</v>
      </c>
      <c r="D229" s="758"/>
      <c r="E229" s="758" t="str">
        <f>M112</f>
        <v>BordSup</v>
      </c>
      <c r="F229" s="758"/>
      <c r="G229" s="758"/>
      <c r="H229" s="758"/>
      <c r="I229" s="758"/>
      <c r="AB229" s="326"/>
      <c r="AC229" s="14"/>
      <c r="AD229" s="14"/>
      <c r="AE229" s="14"/>
      <c r="AF229" s="14"/>
      <c r="AG229" s="14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5" s="92" customFormat="1" ht="17.25" customHeight="1">
      <c r="C230" s="753" t="s">
        <v>403</v>
      </c>
      <c r="D230" s="753"/>
      <c r="E230" s="758" t="str">
        <f>P109</f>
        <v>+00°01.30 (+00.0216) [+00°01'18.00]</v>
      </c>
      <c r="F230" s="814"/>
      <c r="G230" s="814"/>
      <c r="H230" s="814"/>
      <c r="I230" s="814"/>
      <c r="AB230" s="326"/>
      <c r="AC230" s="14"/>
      <c r="AD230" s="14"/>
      <c r="AE230" s="14"/>
      <c r="AF230" s="14"/>
      <c r="AG230" s="14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5" s="92" customFormat="1" ht="17.25" customHeight="1">
      <c r="C231" s="705" t="s">
        <v>404</v>
      </c>
      <c r="D231" s="705"/>
      <c r="E231" s="815" t="str">
        <f>CONCATENATE(M108, " m")</f>
        <v>2 m</v>
      </c>
      <c r="F231" s="815"/>
      <c r="G231" s="815"/>
      <c r="H231" s="815"/>
      <c r="I231" s="815"/>
      <c r="AB231" s="326"/>
      <c r="AC231" s="14"/>
      <c r="AD231" s="14"/>
      <c r="AE231" s="14"/>
      <c r="AF231" s="14"/>
      <c r="AG231" s="14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5" s="92" customFormat="1" ht="17.25" customHeight="1">
      <c r="E232" s="754" t="str">
        <f>U150</f>
        <v>+66°53.21 (+66.8868) [+66°53'12.82]</v>
      </c>
      <c r="F232" s="754"/>
      <c r="G232" s="754"/>
      <c r="H232" s="754"/>
      <c r="I232" s="754"/>
      <c r="J232" s="754" t="s">
        <v>482</v>
      </c>
      <c r="K232" s="754"/>
      <c r="L232" s="754"/>
      <c r="AB232" s="326"/>
      <c r="AC232" s="14"/>
      <c r="AD232" s="14"/>
      <c r="AE232" s="14"/>
      <c r="AF232" s="14"/>
      <c r="AG232" s="14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5" s="92" customFormat="1" ht="17.25" customHeight="1">
      <c r="E233" s="232"/>
      <c r="F233" s="766" t="s">
        <v>404</v>
      </c>
      <c r="G233" s="768"/>
      <c r="H233" s="800" t="str">
        <f>U148</f>
        <v>+00°02.48 (+00.0414) [+00°02'29.17]</v>
      </c>
      <c r="I233" s="755"/>
      <c r="J233" s="755"/>
      <c r="K233" s="755"/>
      <c r="L233" s="755"/>
      <c r="AB233" s="326"/>
      <c r="AC233" s="14"/>
      <c r="AD233" s="14"/>
      <c r="AE233" s="14"/>
      <c r="AF233" s="14"/>
      <c r="AG233" s="14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5" s="92" customFormat="1" ht="17.25" customHeight="1">
      <c r="F234" s="756" t="s">
        <v>411</v>
      </c>
      <c r="G234" s="756"/>
      <c r="H234" s="800" t="str">
        <f>U158</f>
        <v>+00°00.42 (+00.0070) [+00°00'25.46]</v>
      </c>
      <c r="I234" s="755"/>
      <c r="J234" s="755"/>
      <c r="K234" s="755"/>
      <c r="L234" s="755"/>
      <c r="AB234" s="326"/>
      <c r="AC234" s="14"/>
      <c r="AD234" s="14"/>
      <c r="AE234" s="14"/>
      <c r="AF234" s="14"/>
      <c r="AG234" s="1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5" s="92" customFormat="1" ht="17.25" customHeight="1">
      <c r="F235" s="756" t="s">
        <v>412</v>
      </c>
      <c r="G235" s="756"/>
      <c r="H235" s="756" t="str">
        <f>U153</f>
        <v>+00°00.06 (+00.0011) [+00°00'04.07]</v>
      </c>
      <c r="I235" s="756"/>
      <c r="J235" s="756"/>
      <c r="K235" s="756"/>
      <c r="L235" s="756"/>
      <c r="AB235" s="326"/>
      <c r="AC235" s="14"/>
      <c r="AD235" s="14"/>
      <c r="AE235" s="14"/>
      <c r="AF235" s="14"/>
      <c r="AG235" s="14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2:65" s="92" customFormat="1" ht="17.25" customHeight="1">
      <c r="F236" s="756" t="s">
        <v>100</v>
      </c>
      <c r="G236" s="756"/>
      <c r="H236" s="756" t="str" cm="1">
        <f t="array" ref="H236">angleDecimal2Txt(O160)</f>
        <v>+00°31.60 (+00.5266) [+00°31'36.00]</v>
      </c>
      <c r="I236" s="756"/>
      <c r="J236" s="756"/>
      <c r="K236" s="756"/>
      <c r="L236" s="756"/>
      <c r="AB236" s="326"/>
      <c r="AC236" s="14"/>
      <c r="AD236" s="14"/>
      <c r="AE236" s="14"/>
      <c r="AF236" s="14"/>
      <c r="AG236" s="14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2:65" s="92" customFormat="1" ht="17.25" customHeight="1">
      <c r="F237" s="756" t="s">
        <v>71</v>
      </c>
      <c r="G237" s="756"/>
      <c r="H237" s="756" t="str">
        <f>U162</f>
        <v>-00°15.80 (-00.2633) [-00°15'48.00]</v>
      </c>
      <c r="I237" s="756"/>
      <c r="J237" s="756"/>
      <c r="K237" s="756"/>
      <c r="L237" s="756"/>
      <c r="AB237" s="326"/>
      <c r="AC237" s="14"/>
      <c r="AD237" s="14"/>
      <c r="AE237" s="14"/>
      <c r="AF237" s="14"/>
      <c r="AG237" s="14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2:65" s="92" customFormat="1" ht="17.25" customHeight="1">
      <c r="D238" s="226"/>
      <c r="E238" s="754" t="str" cm="1">
        <f t="array" ref="E238">angleDecimal2Txt(F143)</f>
        <v>+66°37.05 (+66.6176) [+66°37'03.43]</v>
      </c>
      <c r="F238" s="754"/>
      <c r="G238" s="754"/>
      <c r="H238" s="754"/>
      <c r="I238" s="754"/>
      <c r="J238" s="754" t="s">
        <v>483</v>
      </c>
      <c r="K238" s="754"/>
      <c r="L238" s="754"/>
      <c r="AB238" s="326"/>
      <c r="AC238" s="14"/>
      <c r="AD238" s="14"/>
      <c r="AE238" s="14"/>
      <c r="AF238" s="14"/>
      <c r="AG238" s="14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2:65" s="92" customFormat="1" ht="17.25" customHeight="1">
      <c r="D239" s="226"/>
      <c r="F239" s="756" t="str" cm="1">
        <f t="array" ref="F239">angleDecimal2Txt(O153-O158-O148)</f>
        <v>-00°02.84 (-00.0473) [-00°02'50.56]</v>
      </c>
      <c r="G239" s="756"/>
      <c r="H239" s="756"/>
      <c r="I239" s="756"/>
      <c r="J239" s="756"/>
      <c r="K239" s="756" t="s">
        <v>413</v>
      </c>
      <c r="L239" s="756"/>
      <c r="M239" s="756"/>
      <c r="N239" s="797" t="s">
        <v>428</v>
      </c>
      <c r="O239" s="797"/>
      <c r="P239" s="797"/>
      <c r="AB239" s="326"/>
      <c r="AC239" s="14"/>
      <c r="AD239" s="14"/>
      <c r="AE239" s="14"/>
      <c r="AF239" s="14"/>
      <c r="AG239" s="14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2:65" s="92" customFormat="1" ht="17.25" customHeight="1">
      <c r="D240" s="226"/>
      <c r="F240" s="756" t="str" cm="1">
        <f t="array" ref="F240">angleDecimal2Txt(O153-O158-O148+O162)</f>
        <v>-00°18.64 (-00.3107) [-00°18'38.56]</v>
      </c>
      <c r="G240" s="756"/>
      <c r="H240" s="756"/>
      <c r="I240" s="756"/>
      <c r="J240" s="756"/>
      <c r="K240" s="756" t="s">
        <v>409</v>
      </c>
      <c r="L240" s="756"/>
      <c r="M240" s="756"/>
      <c r="N240" s="797"/>
      <c r="O240" s="797"/>
      <c r="P240" s="797"/>
      <c r="AB240" s="326"/>
      <c r="AC240" s="14"/>
      <c r="AD240" s="14"/>
      <c r="AE240" s="14"/>
      <c r="AF240" s="14"/>
      <c r="AG240" s="14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2:65" s="92" customFormat="1" ht="17.25" customHeight="1">
      <c r="D241" s="226"/>
      <c r="F241" s="756" t="str" cm="1">
        <f t="array" ref="F241">angleDecimal2Txt(O153-O158+O162)</f>
        <v>-00°16.15 (-00.2692) [-00°16'09.38]</v>
      </c>
      <c r="G241" s="756"/>
      <c r="H241" s="756"/>
      <c r="I241" s="756"/>
      <c r="J241" s="756"/>
      <c r="K241" s="756" t="s">
        <v>410</v>
      </c>
      <c r="L241" s="756"/>
      <c r="M241" s="756"/>
      <c r="N241" s="797"/>
      <c r="O241" s="797"/>
      <c r="P241" s="797"/>
      <c r="AB241" s="326"/>
      <c r="AC241" s="14"/>
      <c r="AD241" s="14"/>
      <c r="AE241" s="14"/>
      <c r="AF241" s="14"/>
      <c r="AG241" s="14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2:65" s="92" customFormat="1" ht="17.25" customHeight="1">
      <c r="AB242" s="326"/>
      <c r="AC242" s="14"/>
      <c r="AD242" s="14"/>
      <c r="AE242" s="14"/>
      <c r="AF242" s="14"/>
      <c r="AG242" s="14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2:65" s="92" customFormat="1" ht="17.25" customHeight="1">
      <c r="C243" s="226"/>
      <c r="AB243" s="326"/>
      <c r="AC243" s="14"/>
      <c r="AD243" s="14"/>
      <c r="AE243" s="14"/>
      <c r="AF243" s="14"/>
      <c r="AG243" s="14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</row>
    <row r="244" spans="2:65" s="92" customFormat="1" ht="17.25" customHeight="1" thickBot="1">
      <c r="B244" s="92" t="s">
        <v>552</v>
      </c>
      <c r="C244" s="230"/>
      <c r="D244" s="230"/>
      <c r="E244" s="230"/>
      <c r="F244" s="230"/>
      <c r="G244" s="230"/>
      <c r="H244" s="229"/>
      <c r="I244" s="229"/>
      <c r="J244" s="229"/>
      <c r="K244" s="229"/>
      <c r="L244" s="229"/>
      <c r="M244" s="229"/>
      <c r="N244" s="229"/>
      <c r="O244" s="229"/>
      <c r="P244" s="229"/>
      <c r="Q244" s="229"/>
      <c r="AB244" s="326"/>
      <c r="AC244" s="14"/>
      <c r="AD244" s="14"/>
      <c r="AE244" s="14"/>
      <c r="AF244" s="14"/>
      <c r="AG244" s="1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</row>
    <row r="245" spans="2:65" ht="17.25" customHeight="1" thickTop="1">
      <c r="B245" s="1041" t="s">
        <v>553</v>
      </c>
      <c r="C245" s="819" t="s">
        <v>610</v>
      </c>
      <c r="D245" s="819"/>
      <c r="E245" s="819" t="str">
        <f>O10</f>
        <v>N 46°06.00 (N 46.1000) [N 46°06'00.00]</v>
      </c>
      <c r="F245" s="819"/>
      <c r="G245" s="819"/>
      <c r="H245" s="819"/>
      <c r="I245" s="819"/>
      <c r="J245" s="819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AC245"/>
      <c r="AD245"/>
      <c r="AE245"/>
      <c r="AF245"/>
      <c r="AG245"/>
    </row>
    <row r="246" spans="2:65" ht="17.25" customHeight="1">
      <c r="B246" s="1041"/>
      <c r="C246" s="819" t="s">
        <v>606</v>
      </c>
      <c r="D246" s="819"/>
      <c r="E246" s="819" t="str">
        <f>O12</f>
        <v>W 05°00.00 (W 05.0000) [W 05°00'00.00]</v>
      </c>
      <c r="F246" s="819"/>
      <c r="G246" s="819"/>
      <c r="H246" s="819"/>
      <c r="I246" s="819"/>
      <c r="J246" s="819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AC246"/>
      <c r="AD246"/>
      <c r="AE246"/>
      <c r="AF246"/>
      <c r="AG246"/>
    </row>
    <row r="247" spans="2:65" ht="17.25" customHeight="1">
      <c r="B247" s="1041"/>
      <c r="C247" s="819" t="s">
        <v>11</v>
      </c>
      <c r="D247" s="819"/>
      <c r="E247" s="819" t="str">
        <f>O8</f>
        <v>10:20:35.00(10.3430)</v>
      </c>
      <c r="F247" s="819"/>
      <c r="G247" s="819"/>
      <c r="H247" s="819"/>
      <c r="I247" s="819"/>
      <c r="J247" s="819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AC247"/>
      <c r="AD247"/>
      <c r="AE247"/>
      <c r="AF247"/>
      <c r="AG247"/>
    </row>
    <row r="248" spans="2:65" ht="17.25" customHeight="1">
      <c r="B248" s="1041"/>
      <c r="C248" s="819" t="s">
        <v>106</v>
      </c>
      <c r="D248" s="819"/>
      <c r="E248" s="819" t="str">
        <f>O16</f>
        <v>+21°00.00 (+21.0000) [+21°00'00.00]</v>
      </c>
      <c r="F248" s="819"/>
      <c r="G248" s="819"/>
      <c r="H248" s="819"/>
      <c r="I248" s="819"/>
      <c r="J248" s="819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AC248"/>
      <c r="AD248"/>
      <c r="AE248"/>
      <c r="AF248"/>
      <c r="AG248"/>
    </row>
    <row r="249" spans="2:65" ht="17.25" customHeight="1">
      <c r="B249" s="1041"/>
      <c r="C249" s="819" t="s">
        <v>105</v>
      </c>
      <c r="D249" s="819"/>
      <c r="E249" s="1003">
        <f>I18</f>
        <v>5</v>
      </c>
      <c r="F249" s="1004"/>
      <c r="G249" s="1004"/>
      <c r="H249" s="1004"/>
      <c r="I249" s="1004"/>
      <c r="J249" s="303" t="s">
        <v>556</v>
      </c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AC249"/>
      <c r="AD249"/>
      <c r="AE249"/>
      <c r="AF249"/>
      <c r="AG249"/>
    </row>
    <row r="250" spans="2:65" ht="17.25" customHeight="1">
      <c r="F250" s="1005" t="s">
        <v>609</v>
      </c>
      <c r="G250" s="1006"/>
      <c r="H250" s="1000">
        <f>F25</f>
        <v>46.138899184437385</v>
      </c>
      <c r="I250" s="997"/>
      <c r="J250" s="997"/>
      <c r="K250" s="997"/>
      <c r="L250" s="1001"/>
      <c r="M250" s="92"/>
      <c r="N250" s="92"/>
      <c r="O250" s="92"/>
      <c r="P250" s="92"/>
      <c r="Q250" s="92"/>
      <c r="R250" s="92"/>
      <c r="S250" s="92"/>
      <c r="T250" s="92"/>
      <c r="AC250"/>
      <c r="AD250"/>
      <c r="AE250"/>
      <c r="AF250"/>
      <c r="AG250"/>
    </row>
    <row r="251" spans="2:65" ht="17.25" customHeight="1">
      <c r="B251" s="92"/>
      <c r="F251" s="1007" t="s">
        <v>555</v>
      </c>
      <c r="G251" s="1008"/>
      <c r="H251" s="995">
        <f>P33</f>
        <v>1.7918397477265013</v>
      </c>
      <c r="I251" s="996"/>
      <c r="J251" s="996"/>
      <c r="K251" s="996"/>
      <c r="L251" s="283" t="s">
        <v>556</v>
      </c>
      <c r="M251" s="92"/>
      <c r="N251" s="92"/>
      <c r="O251" s="92"/>
      <c r="P251" s="92"/>
      <c r="Q251" s="92"/>
      <c r="R251" s="92"/>
      <c r="S251" s="92"/>
      <c r="T251" s="92"/>
      <c r="AC251"/>
      <c r="AD251"/>
      <c r="AE251"/>
      <c r="AF251"/>
      <c r="AG251"/>
    </row>
    <row r="252" spans="2:65" ht="17.25" customHeight="1">
      <c r="B252" s="92"/>
      <c r="F252" s="1009"/>
      <c r="G252" s="1010"/>
      <c r="H252" s="995">
        <f>L38</f>
        <v>4.3099232541779581E-2</v>
      </c>
      <c r="I252" s="996"/>
      <c r="J252" s="996"/>
      <c r="K252" s="996"/>
      <c r="L252" s="305" t="s">
        <v>557</v>
      </c>
      <c r="M252" s="767" t="str">
        <f>P38</f>
        <v>Vers l'Est</v>
      </c>
      <c r="N252" s="768"/>
      <c r="O252" s="92"/>
      <c r="P252" s="92"/>
      <c r="Q252" s="92"/>
      <c r="R252" s="92"/>
      <c r="S252" s="92"/>
      <c r="T252" s="92"/>
      <c r="AC252"/>
      <c r="AD252"/>
      <c r="AE252"/>
      <c r="AF252"/>
      <c r="AG252"/>
    </row>
    <row r="253" spans="2:65" ht="17.25" customHeight="1">
      <c r="B253" s="92"/>
      <c r="C253" s="758" t="s">
        <v>554</v>
      </c>
      <c r="D253" s="758"/>
      <c r="E253" s="758"/>
      <c r="F253" s="758" t="str">
        <f>O20</f>
        <v>12:03:46.00(12.0627)</v>
      </c>
      <c r="G253" s="758"/>
      <c r="H253" s="1002"/>
      <c r="I253" s="1002"/>
      <c r="J253" s="1002"/>
      <c r="M253" s="92"/>
      <c r="N253" s="92"/>
      <c r="O253" s="92"/>
      <c r="P253" s="92"/>
      <c r="Q253" s="92"/>
      <c r="R253" s="92"/>
      <c r="S253" s="92"/>
      <c r="T253" s="92"/>
      <c r="AC253"/>
      <c r="AD253"/>
      <c r="AE253"/>
      <c r="AF253"/>
      <c r="AG253"/>
    </row>
    <row r="254" spans="2:65" ht="17.25" customHeight="1">
      <c r="B254" s="92"/>
      <c r="D254" s="998" t="s">
        <v>612</v>
      </c>
      <c r="E254" s="999"/>
      <c r="F254" s="767" t="s">
        <v>558</v>
      </c>
      <c r="G254" s="767"/>
      <c r="H254" s="766">
        <f>V53</f>
        <v>2.0471299193002674</v>
      </c>
      <c r="I254" s="996"/>
      <c r="J254" s="996"/>
      <c r="K254" s="996"/>
      <c r="L254" s="284" t="s">
        <v>258</v>
      </c>
      <c r="M254" s="92"/>
      <c r="N254" s="92"/>
      <c r="O254" s="92"/>
      <c r="P254" s="92"/>
      <c r="Q254" s="92"/>
      <c r="R254" s="92"/>
      <c r="S254" s="92"/>
      <c r="T254" s="92"/>
      <c r="AC254"/>
      <c r="AD254"/>
      <c r="AE254"/>
      <c r="AF254"/>
      <c r="AG254"/>
    </row>
    <row r="255" spans="2:65" ht="17.25" customHeight="1">
      <c r="B255" s="92"/>
      <c r="D255" s="999"/>
      <c r="E255" s="999"/>
      <c r="F255" s="997" t="s">
        <v>559</v>
      </c>
      <c r="G255" s="997"/>
      <c r="H255" s="766">
        <f>V55</f>
        <v>10.235649596501338</v>
      </c>
      <c r="I255" s="996"/>
      <c r="J255" s="996"/>
      <c r="K255" s="996"/>
      <c r="L255" s="284" t="s">
        <v>104</v>
      </c>
      <c r="M255" s="92"/>
      <c r="N255" s="92"/>
      <c r="O255" s="92"/>
      <c r="P255" s="92"/>
      <c r="Q255" s="92"/>
      <c r="R255" s="92"/>
      <c r="S255" s="92"/>
      <c r="T255" s="92"/>
      <c r="AC255"/>
      <c r="AD255"/>
      <c r="AE255"/>
      <c r="AF255"/>
      <c r="AG255"/>
    </row>
    <row r="256" spans="2:65" ht="17.25" customHeight="1">
      <c r="B256" s="92"/>
      <c r="D256" s="999"/>
      <c r="E256" s="999"/>
      <c r="F256" s="997" t="s">
        <v>560</v>
      </c>
      <c r="G256" s="997"/>
      <c r="H256" s="1000">
        <f>V57</f>
        <v>8.8229728435156696E-2</v>
      </c>
      <c r="I256" s="997"/>
      <c r="J256" s="997"/>
      <c r="K256" s="997"/>
      <c r="L256" s="1001"/>
      <c r="M256" s="92"/>
      <c r="N256" s="92"/>
      <c r="O256" s="92"/>
      <c r="P256" s="92"/>
      <c r="Q256" s="92"/>
      <c r="R256" s="92"/>
      <c r="S256" s="92"/>
      <c r="T256" s="92"/>
      <c r="AC256"/>
      <c r="AD256"/>
      <c r="AE256"/>
      <c r="AF256"/>
      <c r="AG256"/>
    </row>
    <row r="257" spans="2:33" ht="17.25" customHeight="1">
      <c r="B257" s="92"/>
      <c r="D257" s="999"/>
      <c r="E257" s="999"/>
      <c r="F257" s="1015" t="s">
        <v>11</v>
      </c>
      <c r="G257" s="1016"/>
      <c r="H257" s="1019" t="str">
        <f>X61</f>
        <v>12:23:24.66(12.3901)</v>
      </c>
      <c r="I257" s="1019"/>
      <c r="J257" s="1019"/>
      <c r="K257" s="1019"/>
      <c r="L257" s="1019"/>
      <c r="M257" s="92"/>
      <c r="N257" s="92"/>
      <c r="O257" s="92"/>
      <c r="P257" s="92"/>
      <c r="Q257" s="92"/>
      <c r="R257" s="92"/>
      <c r="S257" s="92"/>
      <c r="T257" s="92"/>
      <c r="AC257"/>
      <c r="AD257"/>
      <c r="AE257"/>
      <c r="AF257"/>
      <c r="AG257"/>
    </row>
    <row r="258" spans="2:33" ht="17.25" customHeight="1">
      <c r="B258" s="92"/>
      <c r="D258" s="999"/>
      <c r="E258" s="999"/>
      <c r="F258" s="1017" t="s">
        <v>171</v>
      </c>
      <c r="G258" s="1018"/>
      <c r="H258" s="1018" t="str">
        <f>X59</f>
        <v>W 04°54.70 (W 04.9117) [W 04°54'42.37]</v>
      </c>
      <c r="I258" s="1018"/>
      <c r="J258" s="1018"/>
      <c r="K258" s="1018"/>
      <c r="L258" s="1018"/>
      <c r="M258" s="92"/>
      <c r="N258" s="92"/>
      <c r="O258" s="92"/>
      <c r="P258" s="92"/>
      <c r="Q258" s="92"/>
      <c r="R258" s="92"/>
      <c r="S258" s="92"/>
      <c r="T258" s="92"/>
      <c r="AC258"/>
      <c r="AD258"/>
      <c r="AE258"/>
      <c r="AF258"/>
      <c r="AG258"/>
    </row>
    <row r="259" spans="2:33" ht="17.25" customHeight="1">
      <c r="B259" s="92"/>
      <c r="C259" s="226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AC259"/>
      <c r="AD259"/>
      <c r="AE259"/>
      <c r="AF259"/>
      <c r="AG259"/>
    </row>
    <row r="260" spans="2:33" ht="17.25" customHeight="1" thickBot="1">
      <c r="B260" s="229" t="s">
        <v>616</v>
      </c>
      <c r="C260" s="230"/>
      <c r="D260" s="230"/>
      <c r="E260" s="230"/>
      <c r="F260" s="230"/>
      <c r="G260" s="230"/>
      <c r="H260" s="229"/>
      <c r="I260" s="229"/>
      <c r="J260" s="229"/>
      <c r="K260" s="229"/>
      <c r="L260" s="229"/>
      <c r="M260" s="229"/>
      <c r="N260" s="229"/>
      <c r="O260" s="229"/>
      <c r="P260" s="229"/>
      <c r="Q260" s="229"/>
      <c r="R260" s="92"/>
      <c r="S260" s="92"/>
      <c r="T260" s="92"/>
      <c r="AC260"/>
      <c r="AD260"/>
      <c r="AE260"/>
      <c r="AF260"/>
      <c r="AG260"/>
    </row>
    <row r="261" spans="2:33" ht="17.25" customHeight="1" thickTop="1">
      <c r="B261" s="92"/>
      <c r="C261" s="1137" t="s">
        <v>11</v>
      </c>
      <c r="D261" s="1137"/>
      <c r="E261" s="1137" t="str">
        <f>S98</f>
        <v>12:32:31.74(12.5421)</v>
      </c>
      <c r="F261" s="1137"/>
      <c r="G261" s="1137"/>
      <c r="H261" s="1137"/>
      <c r="I261" s="1137"/>
      <c r="J261" s="1137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AC261"/>
      <c r="AD261"/>
      <c r="AE261"/>
      <c r="AF261"/>
      <c r="AG261"/>
    </row>
    <row r="262" spans="2:33" ht="17.25" customHeight="1">
      <c r="B262" s="92"/>
      <c r="C262" s="1137" t="s">
        <v>171</v>
      </c>
      <c r="D262" s="1137"/>
      <c r="E262" s="1137" t="str">
        <f>S100</f>
        <v>W 07°11.49 (W 07.1915) [W 07°11'29.70]</v>
      </c>
      <c r="F262" s="1137"/>
      <c r="G262" s="1137"/>
      <c r="H262" s="1137"/>
      <c r="I262" s="1137"/>
      <c r="J262" s="1137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AC262"/>
      <c r="AD262"/>
      <c r="AE262"/>
      <c r="AF262"/>
      <c r="AG262"/>
    </row>
    <row r="263" spans="2:33" ht="17.25" customHeight="1">
      <c r="B263" s="92"/>
      <c r="C263" s="226"/>
      <c r="D263" s="226"/>
      <c r="E263" s="226"/>
      <c r="F263" s="226"/>
      <c r="G263" s="226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AC263"/>
      <c r="AD263"/>
      <c r="AE263"/>
      <c r="AF263"/>
      <c r="AG263"/>
    </row>
    <row r="264" spans="2:33" ht="17.25" customHeight="1">
      <c r="B264" s="92"/>
      <c r="C264" s="226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AC264"/>
      <c r="AD264"/>
      <c r="AE264"/>
      <c r="AF264"/>
      <c r="AG264"/>
    </row>
    <row r="265" spans="2:33" ht="15.75" thickBot="1">
      <c r="B265" s="229" t="s">
        <v>551</v>
      </c>
      <c r="C265" s="230"/>
      <c r="D265" s="230"/>
      <c r="E265" s="230"/>
      <c r="F265" s="230"/>
      <c r="G265" s="230"/>
      <c r="H265" s="229"/>
      <c r="I265" s="229"/>
      <c r="J265" s="229"/>
      <c r="K265" s="229"/>
      <c r="L265" s="229"/>
      <c r="M265" s="229"/>
      <c r="N265" s="229"/>
      <c r="O265" s="229"/>
      <c r="P265" s="229"/>
      <c r="Q265" s="229"/>
      <c r="R265" s="92"/>
      <c r="S265" s="92"/>
      <c r="T265" s="92"/>
    </row>
    <row r="266" spans="2:33" ht="15.75" thickTop="1">
      <c r="B266" s="92"/>
      <c r="C266" s="819" t="s">
        <v>414</v>
      </c>
      <c r="D266" s="819"/>
      <c r="E266" s="819" t="str">
        <f>O10</f>
        <v>N 46°06.00 (N 46.1000) [N 46°06'00.00]</v>
      </c>
      <c r="F266" s="819"/>
      <c r="G266" s="819"/>
      <c r="H266" s="819"/>
      <c r="I266" s="819"/>
      <c r="J266" s="1002"/>
      <c r="K266" s="92"/>
      <c r="L266" s="92"/>
      <c r="M266" s="92"/>
      <c r="N266" s="92"/>
      <c r="O266" s="92"/>
      <c r="P266" s="92"/>
      <c r="Q266" s="92"/>
      <c r="R266" s="92"/>
      <c r="S266" s="92"/>
      <c r="T266" s="92"/>
    </row>
    <row r="267" spans="2:33">
      <c r="B267" s="92"/>
      <c r="C267" s="806" t="s">
        <v>9</v>
      </c>
      <c r="D267" s="806"/>
      <c r="E267" s="806" t="str" cm="1">
        <f t="array" ref="E267">latitudeDecimal2Txt(F122)</f>
        <v>S 14°43.70 (S 14.7283) [S 14°43'42.00]</v>
      </c>
      <c r="F267" s="806"/>
      <c r="G267" s="806"/>
      <c r="H267" s="806"/>
      <c r="I267" s="806"/>
      <c r="J267" s="1141"/>
      <c r="K267" s="92"/>
      <c r="L267" s="92"/>
      <c r="M267" s="92"/>
      <c r="N267" s="92"/>
      <c r="O267" s="92"/>
      <c r="P267" s="92"/>
      <c r="Q267" s="92"/>
      <c r="R267" s="92"/>
      <c r="S267" s="92"/>
      <c r="T267" s="92"/>
    </row>
    <row r="268" spans="2:33">
      <c r="B268" s="92"/>
      <c r="C268" s="92"/>
      <c r="D268" s="92"/>
      <c r="E268" s="92"/>
      <c r="F268" s="766" t="s">
        <v>432</v>
      </c>
      <c r="G268" s="767"/>
      <c r="H268" s="767"/>
      <c r="I268" s="767"/>
      <c r="J268" s="767"/>
      <c r="K268" s="767"/>
      <c r="L268" s="767"/>
      <c r="M268" s="768"/>
      <c r="N268" s="92"/>
      <c r="O268" s="92"/>
      <c r="P268" s="92"/>
      <c r="Q268" s="92"/>
      <c r="R268" s="92"/>
      <c r="S268" s="92"/>
      <c r="T268" s="92"/>
    </row>
    <row r="269" spans="2:33">
      <c r="B269" s="92"/>
      <c r="C269" s="92"/>
      <c r="D269" s="92"/>
      <c r="E269" s="92"/>
      <c r="F269" s="756" t="s">
        <v>72</v>
      </c>
      <c r="G269" s="756"/>
      <c r="H269" s="766" t="str" cm="1">
        <f t="array" ref="H269">angleDecimal2Txt(F143,0)</f>
        <v>+66°37.05</v>
      </c>
      <c r="I269" s="767"/>
      <c r="J269" s="767"/>
      <c r="K269" s="767"/>
      <c r="L269" s="767"/>
      <c r="M269" s="768"/>
      <c r="N269" s="92"/>
      <c r="O269" s="92"/>
      <c r="P269" s="92"/>
      <c r="Q269" s="92"/>
      <c r="R269" s="92"/>
      <c r="S269" s="92"/>
      <c r="T269" s="92"/>
    </row>
    <row r="270" spans="2:33" ht="18">
      <c r="B270" s="92"/>
      <c r="C270" s="754" t="s">
        <v>433</v>
      </c>
      <c r="D270" s="754"/>
      <c r="E270" s="754" t="str">
        <f>angleDecimal2Txt(I185,1)</f>
        <v>+23°22.94 (+23.3823) [+23°22'56.56]</v>
      </c>
      <c r="F270" s="754"/>
      <c r="G270" s="754"/>
      <c r="H270" s="754"/>
      <c r="I270" s="754"/>
      <c r="J270" s="754"/>
      <c r="K270" s="92"/>
      <c r="L270" s="92"/>
      <c r="M270" s="92"/>
      <c r="N270" s="92"/>
      <c r="O270" s="92"/>
      <c r="P270" s="92"/>
      <c r="Q270" s="92"/>
      <c r="R270" s="92"/>
      <c r="S270" s="92"/>
      <c r="T270" s="92"/>
    </row>
    <row r="271" spans="2:33">
      <c r="B271" s="16"/>
      <c r="C271" s="59"/>
      <c r="D271" s="59"/>
      <c r="E271" s="59"/>
      <c r="F271" s="1011" t="s">
        <v>213</v>
      </c>
      <c r="G271" s="1012"/>
      <c r="H271" s="1012"/>
      <c r="I271" s="1012"/>
      <c r="J271" s="1012"/>
      <c r="K271" s="1012"/>
      <c r="L271" s="1012"/>
      <c r="M271" s="1012"/>
      <c r="N271" s="1012"/>
      <c r="O271" s="1012"/>
      <c r="P271" s="1013"/>
      <c r="R271" s="16"/>
      <c r="S271" s="16"/>
      <c r="T271" s="16"/>
    </row>
    <row r="272" spans="2:33">
      <c r="B272" s="16"/>
      <c r="C272" s="59"/>
      <c r="D272" s="59"/>
      <c r="E272" s="59"/>
      <c r="F272" s="1014"/>
      <c r="G272" s="1014" t="s">
        <v>215</v>
      </c>
      <c r="H272" s="1014"/>
      <c r="I272" s="1014"/>
      <c r="J272" s="1014"/>
      <c r="K272" s="1014"/>
      <c r="L272" s="1028" t="s">
        <v>217</v>
      </c>
      <c r="M272" s="1029"/>
      <c r="N272" s="1029"/>
      <c r="O272" s="1029"/>
      <c r="P272" s="1030"/>
      <c r="R272" s="16"/>
      <c r="S272" s="16"/>
      <c r="T272" s="16"/>
    </row>
    <row r="273" spans="2:20">
      <c r="B273" s="16"/>
      <c r="C273" s="59"/>
      <c r="D273" s="59"/>
      <c r="E273" s="59"/>
      <c r="F273" s="1014"/>
      <c r="G273" s="1014" t="s">
        <v>216</v>
      </c>
      <c r="H273" s="1014"/>
      <c r="I273" s="1014"/>
      <c r="J273" s="1014"/>
      <c r="K273" s="1014"/>
      <c r="L273" s="1028" t="s">
        <v>218</v>
      </c>
      <c r="M273" s="1029"/>
      <c r="N273" s="1029"/>
      <c r="O273" s="1029"/>
      <c r="P273" s="1030"/>
      <c r="R273" s="16"/>
      <c r="S273" s="16"/>
      <c r="T273" s="16"/>
    </row>
    <row r="274" spans="2:20">
      <c r="B274" s="16"/>
      <c r="C274" s="59"/>
      <c r="D274" s="59"/>
      <c r="E274" s="59"/>
      <c r="F274" s="1031" t="s">
        <v>214</v>
      </c>
      <c r="G274" s="1031"/>
      <c r="H274" s="1031"/>
      <c r="I274" s="1031"/>
      <c r="J274" s="1031"/>
      <c r="K274" s="1031"/>
      <c r="L274" s="1028" t="s">
        <v>219</v>
      </c>
      <c r="M274" s="1029"/>
      <c r="N274" s="1029"/>
      <c r="O274" s="1029"/>
      <c r="P274" s="1030"/>
      <c r="R274" s="16"/>
      <c r="S274" s="16"/>
      <c r="T274" s="16"/>
    </row>
    <row r="275" spans="2:20">
      <c r="B275" s="16"/>
      <c r="C275" s="59"/>
      <c r="D275" s="59"/>
      <c r="E275" s="59"/>
      <c r="F275" s="756" t="s">
        <v>434</v>
      </c>
      <c r="G275" s="756"/>
      <c r="H275" s="766" t="b">
        <f>((F122*E68)&gt;0)</f>
        <v>0</v>
      </c>
      <c r="I275" s="767"/>
      <c r="J275" s="767"/>
      <c r="K275" s="767"/>
      <c r="L275" s="767"/>
      <c r="M275" s="768"/>
      <c r="N275" s="16"/>
      <c r="O275" s="16"/>
      <c r="P275" s="16"/>
      <c r="R275" s="16"/>
      <c r="S275" s="16"/>
      <c r="T275" s="16"/>
    </row>
    <row r="276" spans="2:20">
      <c r="B276" s="16"/>
      <c r="C276" s="59"/>
      <c r="D276" s="59"/>
      <c r="E276" s="59"/>
      <c r="F276" s="756" t="s">
        <v>435</v>
      </c>
      <c r="G276" s="756"/>
      <c r="H276" s="766" t="b">
        <f>(E68&gt;F122)</f>
        <v>1</v>
      </c>
      <c r="I276" s="767"/>
      <c r="J276" s="767"/>
      <c r="K276" s="767"/>
      <c r="L276" s="767"/>
      <c r="M276" s="768"/>
      <c r="N276" s="40" t="s">
        <v>615</v>
      </c>
      <c r="O276" s="1040" t="str">
        <f>P197</f>
        <v>N 23°22.94 (N 23.3823) [N 23°22'56.56]</v>
      </c>
      <c r="P276" s="831"/>
      <c r="Q276" s="831"/>
      <c r="R276" s="831"/>
      <c r="S276" s="832"/>
    </row>
    <row r="277" spans="2:20">
      <c r="B277" s="16"/>
      <c r="C277" s="59"/>
      <c r="D277" s="1020" t="s">
        <v>574</v>
      </c>
      <c r="E277" s="1021"/>
      <c r="F277" s="1022" t="s">
        <v>593</v>
      </c>
      <c r="G277" s="1022"/>
      <c r="H277" s="1138" t="str">
        <f>V190</f>
        <v>Le soleil est au nord, et le sud est dans le dos</v>
      </c>
      <c r="I277" s="1139"/>
      <c r="J277" s="1139"/>
      <c r="K277" s="1139"/>
      <c r="L277" s="1139"/>
      <c r="M277" s="1140"/>
      <c r="N277" s="16"/>
      <c r="O277" s="16"/>
      <c r="P277" s="233"/>
      <c r="Q277" s="233"/>
      <c r="R277" s="16"/>
      <c r="S277" s="16"/>
      <c r="T277" s="16"/>
    </row>
    <row r="278" spans="2:20">
      <c r="B278" s="16"/>
      <c r="C278" s="59"/>
      <c r="D278" s="1020"/>
      <c r="E278" s="1021"/>
      <c r="F278" s="1023" t="s">
        <v>613</v>
      </c>
      <c r="G278" s="1024"/>
      <c r="H278" s="1138" t="str">
        <f>V191</f>
        <v>Lat et Dec - Meme sens ?: FALSE</v>
      </c>
      <c r="I278" s="1139"/>
      <c r="J278" s="1139"/>
      <c r="K278" s="1139"/>
      <c r="L278" s="1139"/>
      <c r="M278" s="1140"/>
      <c r="N278" s="16"/>
      <c r="O278" s="16"/>
      <c r="P278" s="233"/>
      <c r="Q278" s="233"/>
      <c r="R278" s="16"/>
      <c r="S278" s="16"/>
      <c r="T278" s="16"/>
    </row>
    <row r="279" spans="2:20">
      <c r="B279" s="16"/>
      <c r="C279" s="59"/>
      <c r="D279" s="1020"/>
      <c r="E279" s="1021"/>
      <c r="F279" s="1023" t="s">
        <v>614</v>
      </c>
      <c r="G279" s="1025"/>
      <c r="H279" s="1138" t="str">
        <f>V192</f>
        <v>Lat &gt; Dec  ? : FALSE</v>
      </c>
      <c r="I279" s="1139"/>
      <c r="J279" s="1139"/>
      <c r="K279" s="1139"/>
      <c r="L279" s="1139"/>
      <c r="M279" s="1140"/>
      <c r="N279" s="40" t="s">
        <v>615</v>
      </c>
      <c r="O279" s="1040" t="str">
        <f>P196</f>
        <v>S 23°22.94 (S 23.3823) [S 23°22'56.56]</v>
      </c>
      <c r="P279" s="831"/>
      <c r="Q279" s="831"/>
      <c r="R279" s="831"/>
      <c r="S279" s="832"/>
    </row>
    <row r="280" spans="2:20">
      <c r="B280" s="849" t="s">
        <v>212</v>
      </c>
      <c r="C280" s="850"/>
      <c r="D280" s="851"/>
      <c r="E280" s="775" t="str">
        <f>P196</f>
        <v>S 23°22.94 (S 23.3823) [S 23°22'56.56]</v>
      </c>
      <c r="F280" s="775"/>
      <c r="G280" s="775"/>
      <c r="H280" s="1137"/>
      <c r="I280" s="1137"/>
      <c r="J280" s="1137"/>
      <c r="K280" s="16"/>
      <c r="L280" s="16"/>
      <c r="M280" s="16"/>
      <c r="N280" s="233"/>
      <c r="O280" s="233"/>
      <c r="P280" s="233"/>
      <c r="Q280" s="233"/>
      <c r="R280" s="16"/>
      <c r="S280" s="16"/>
      <c r="T280" s="16"/>
    </row>
    <row r="281" spans="2:20">
      <c r="B281" s="775" t="s">
        <v>171</v>
      </c>
      <c r="C281" s="775"/>
      <c r="D281" s="775"/>
      <c r="E281" s="775" t="str">
        <f>P198</f>
        <v>W 07°11.49 (W 07.1915) [W 07°11'29.70]</v>
      </c>
      <c r="F281" s="775"/>
      <c r="G281" s="775"/>
      <c r="H281" s="775"/>
      <c r="I281" s="775"/>
      <c r="J281" s="775"/>
      <c r="K281" s="16"/>
      <c r="L281" s="16"/>
      <c r="M281" s="16"/>
      <c r="N281" s="16"/>
      <c r="O281" s="16"/>
      <c r="P281" s="16"/>
      <c r="Q281" s="16"/>
      <c r="R281" s="16"/>
      <c r="S281" s="16"/>
      <c r="T281" s="16"/>
    </row>
  </sheetData>
  <protectedRanges>
    <protectedRange sqref="M94:Y94" name="Heure visee" securityDescriptor="O:WDG:WDD:(A;;CC;;;WD)"/>
  </protectedRanges>
  <dataConsolidate/>
  <mergeCells count="547">
    <mergeCell ref="C46:O46"/>
    <mergeCell ref="C47:O49"/>
    <mergeCell ref="Q47:U47"/>
    <mergeCell ref="H53:U54"/>
    <mergeCell ref="V53:W54"/>
    <mergeCell ref="X53:X54"/>
    <mergeCell ref="M76:P76"/>
    <mergeCell ref="E78:F78"/>
    <mergeCell ref="G77:I77"/>
    <mergeCell ref="J77:L77"/>
    <mergeCell ref="M77:P77"/>
    <mergeCell ref="G78:I78"/>
    <mergeCell ref="J78:L78"/>
    <mergeCell ref="M78:P78"/>
    <mergeCell ref="X74:AA74"/>
    <mergeCell ref="X72:AA73"/>
    <mergeCell ref="G72:I73"/>
    <mergeCell ref="J72:L73"/>
    <mergeCell ref="M72:P73"/>
    <mergeCell ref="E77:F77"/>
    <mergeCell ref="J74:L74"/>
    <mergeCell ref="P38:R39"/>
    <mergeCell ref="U38:W39"/>
    <mergeCell ref="X38:Z39"/>
    <mergeCell ref="AA38:AA39"/>
    <mergeCell ref="C39:D39"/>
    <mergeCell ref="E39:G39"/>
    <mergeCell ref="C42:O42"/>
    <mergeCell ref="C43:D43"/>
    <mergeCell ref="E43:G43"/>
    <mergeCell ref="I43:J43"/>
    <mergeCell ref="K43:N43"/>
    <mergeCell ref="P43:U43"/>
    <mergeCell ref="B30:AA30"/>
    <mergeCell ref="C32:R32"/>
    <mergeCell ref="C33:D33"/>
    <mergeCell ref="E33:G33"/>
    <mergeCell ref="I33:J34"/>
    <mergeCell ref="K33:L34"/>
    <mergeCell ref="N33:O34"/>
    <mergeCell ref="P33:Q34"/>
    <mergeCell ref="R33:R34"/>
    <mergeCell ref="C34:D34"/>
    <mergeCell ref="E34:G34"/>
    <mergeCell ref="C20:E21"/>
    <mergeCell ref="F20:H21"/>
    <mergeCell ref="I20:N21"/>
    <mergeCell ref="O20:X21"/>
    <mergeCell ref="C23:K24"/>
    <mergeCell ref="F25:H26"/>
    <mergeCell ref="I25:R26"/>
    <mergeCell ref="C26:E27"/>
    <mergeCell ref="F27:H28"/>
    <mergeCell ref="F12:H13"/>
    <mergeCell ref="I12:I13"/>
    <mergeCell ref="J12:N13"/>
    <mergeCell ref="O12:X13"/>
    <mergeCell ref="C16:E17"/>
    <mergeCell ref="I16:N17"/>
    <mergeCell ref="C18:E19"/>
    <mergeCell ref="F18:H19"/>
    <mergeCell ref="I18:N19"/>
    <mergeCell ref="O18:X19"/>
    <mergeCell ref="F16:H17"/>
    <mergeCell ref="O16:X17"/>
    <mergeCell ref="C12:E13"/>
    <mergeCell ref="F7:H7"/>
    <mergeCell ref="C8:E9"/>
    <mergeCell ref="F8:H9"/>
    <mergeCell ref="I8:N9"/>
    <mergeCell ref="O8:X9"/>
    <mergeCell ref="C10:E11"/>
    <mergeCell ref="F10:H11"/>
    <mergeCell ref="I10:I11"/>
    <mergeCell ref="J10:N11"/>
    <mergeCell ref="O10:X11"/>
    <mergeCell ref="B280:D280"/>
    <mergeCell ref="E280:J280"/>
    <mergeCell ref="B281:D281"/>
    <mergeCell ref="E281:J281"/>
    <mergeCell ref="C261:D261"/>
    <mergeCell ref="E261:J261"/>
    <mergeCell ref="C262:D262"/>
    <mergeCell ref="E262:J262"/>
    <mergeCell ref="F274:K274"/>
    <mergeCell ref="F275:G275"/>
    <mergeCell ref="H275:M275"/>
    <mergeCell ref="F276:G276"/>
    <mergeCell ref="H276:M276"/>
    <mergeCell ref="D277:E279"/>
    <mergeCell ref="F277:G277"/>
    <mergeCell ref="H277:M277"/>
    <mergeCell ref="F278:G278"/>
    <mergeCell ref="H278:M278"/>
    <mergeCell ref="F279:G279"/>
    <mergeCell ref="H279:M279"/>
    <mergeCell ref="C266:D266"/>
    <mergeCell ref="E266:J266"/>
    <mergeCell ref="C267:D267"/>
    <mergeCell ref="E267:J267"/>
    <mergeCell ref="O279:S279"/>
    <mergeCell ref="F268:M268"/>
    <mergeCell ref="F269:G269"/>
    <mergeCell ref="H269:M269"/>
    <mergeCell ref="C270:D270"/>
    <mergeCell ref="E270:J270"/>
    <mergeCell ref="F271:P271"/>
    <mergeCell ref="F272:F273"/>
    <mergeCell ref="G272:K272"/>
    <mergeCell ref="L272:P272"/>
    <mergeCell ref="G273:K273"/>
    <mergeCell ref="L273:P273"/>
    <mergeCell ref="L274:P274"/>
    <mergeCell ref="O276:S276"/>
    <mergeCell ref="B245:B249"/>
    <mergeCell ref="C246:D246"/>
    <mergeCell ref="E246:J246"/>
    <mergeCell ref="C247:D247"/>
    <mergeCell ref="E247:J247"/>
    <mergeCell ref="C249:D249"/>
    <mergeCell ref="E249:I249"/>
    <mergeCell ref="H250:L250"/>
    <mergeCell ref="F251:G252"/>
    <mergeCell ref="H251:K251"/>
    <mergeCell ref="H252:K252"/>
    <mergeCell ref="C248:D248"/>
    <mergeCell ref="E248:J248"/>
    <mergeCell ref="F250:G250"/>
    <mergeCell ref="M112:O112"/>
    <mergeCell ref="C113:D113"/>
    <mergeCell ref="J113:L116"/>
    <mergeCell ref="M113:O116"/>
    <mergeCell ref="P113:R114"/>
    <mergeCell ref="D114:I116"/>
    <mergeCell ref="P115:R115"/>
    <mergeCell ref="S115:X115"/>
    <mergeCell ref="P116:X116"/>
    <mergeCell ref="C112:I112"/>
    <mergeCell ref="C110:I110"/>
    <mergeCell ref="J110:L110"/>
    <mergeCell ref="M110:O110"/>
    <mergeCell ref="P110:X110"/>
    <mergeCell ref="H55:U56"/>
    <mergeCell ref="V55:W56"/>
    <mergeCell ref="X55:X56"/>
    <mergeCell ref="H57:U58"/>
    <mergeCell ref="V57:W58"/>
    <mergeCell ref="X57:X58"/>
    <mergeCell ref="H59:U60"/>
    <mergeCell ref="V59:W60"/>
    <mergeCell ref="X59:AC60"/>
    <mergeCell ref="H61:U62"/>
    <mergeCell ref="V61:W62"/>
    <mergeCell ref="X61:AC62"/>
    <mergeCell ref="C66:D66"/>
    <mergeCell ref="E66:G66"/>
    <mergeCell ref="E67:G67"/>
    <mergeCell ref="H67:M67"/>
    <mergeCell ref="E68:G68"/>
    <mergeCell ref="H68:M68"/>
    <mergeCell ref="Q98:R99"/>
    <mergeCell ref="B79:AA80"/>
    <mergeCell ref="E81:F82"/>
    <mergeCell ref="E76:F76"/>
    <mergeCell ref="G75:I75"/>
    <mergeCell ref="J75:L75"/>
    <mergeCell ref="M75:P75"/>
    <mergeCell ref="G76:I76"/>
    <mergeCell ref="J76:L76"/>
    <mergeCell ref="C1:F4"/>
    <mergeCell ref="G1:Y2"/>
    <mergeCell ref="G3:I4"/>
    <mergeCell ref="J3:L4"/>
    <mergeCell ref="N3:P4"/>
    <mergeCell ref="Q3:S4"/>
    <mergeCell ref="C37:O37"/>
    <mergeCell ref="C38:D38"/>
    <mergeCell ref="E38:G38"/>
    <mergeCell ref="I38:J39"/>
    <mergeCell ref="K38:K39"/>
    <mergeCell ref="L38:N39"/>
    <mergeCell ref="O38:O39"/>
    <mergeCell ref="T6:V6"/>
    <mergeCell ref="X6:Y6"/>
    <mergeCell ref="C7:E7"/>
    <mergeCell ref="G74:I74"/>
    <mergeCell ref="J111:L111"/>
    <mergeCell ref="M111:O111"/>
    <mergeCell ref="Q75:T75"/>
    <mergeCell ref="U75:W75"/>
    <mergeCell ref="X75:AA75"/>
    <mergeCell ref="Q76:T76"/>
    <mergeCell ref="U76:W76"/>
    <mergeCell ref="Q77:T77"/>
    <mergeCell ref="Q78:T78"/>
    <mergeCell ref="AA81:AA82"/>
    <mergeCell ref="U77:W77"/>
    <mergeCell ref="X77:AA77"/>
    <mergeCell ref="U78:W78"/>
    <mergeCell ref="X78:AA78"/>
    <mergeCell ref="M82:O82"/>
    <mergeCell ref="X82:Z82"/>
    <mergeCell ref="J81:Z81"/>
    <mergeCell ref="C131:C135"/>
    <mergeCell ref="D131:H132"/>
    <mergeCell ref="I131:J132"/>
    <mergeCell ref="J82:L82"/>
    <mergeCell ref="C105:I105"/>
    <mergeCell ref="J105:L105"/>
    <mergeCell ref="M105:O105"/>
    <mergeCell ref="P105:X105"/>
    <mergeCell ref="C106:I106"/>
    <mergeCell ref="J106:L106"/>
    <mergeCell ref="M106:O106"/>
    <mergeCell ref="P106:X106"/>
    <mergeCell ref="C107:I107"/>
    <mergeCell ref="M107:O107"/>
    <mergeCell ref="P107:X107"/>
    <mergeCell ref="J107:L107"/>
    <mergeCell ref="P109:X109"/>
    <mergeCell ref="C108:I108"/>
    <mergeCell ref="J108:L108"/>
    <mergeCell ref="M108:O108"/>
    <mergeCell ref="C109:I109"/>
    <mergeCell ref="J109:L109"/>
    <mergeCell ref="M109:O109"/>
    <mergeCell ref="C111:I111"/>
    <mergeCell ref="P119:R119"/>
    <mergeCell ref="S119:X119"/>
    <mergeCell ref="P120:X120"/>
    <mergeCell ref="C117:I120"/>
    <mergeCell ref="J117:L120"/>
    <mergeCell ref="M117:O120"/>
    <mergeCell ref="P117:R118"/>
    <mergeCell ref="C123:F123"/>
    <mergeCell ref="G123:I123"/>
    <mergeCell ref="D143:E143"/>
    <mergeCell ref="F143:H143"/>
    <mergeCell ref="M143:N143"/>
    <mergeCell ref="S143:U143"/>
    <mergeCell ref="V143:Z143"/>
    <mergeCell ref="C144:F144"/>
    <mergeCell ref="G144:I144"/>
    <mergeCell ref="C137:C141"/>
    <mergeCell ref="D137:H138"/>
    <mergeCell ref="I137:M138"/>
    <mergeCell ref="J139:M140"/>
    <mergeCell ref="D141:H141"/>
    <mergeCell ref="U148:Z148"/>
    <mergeCell ref="M149:P149"/>
    <mergeCell ref="H150:N150"/>
    <mergeCell ref="O150:P150"/>
    <mergeCell ref="R150:S150"/>
    <mergeCell ref="U150:Z150"/>
    <mergeCell ref="AC144:AC145"/>
    <mergeCell ref="F145:I145"/>
    <mergeCell ref="J145:L145"/>
    <mergeCell ref="H146:N146"/>
    <mergeCell ref="O146:R146"/>
    <mergeCell ref="U146:Z146"/>
    <mergeCell ref="H147:N147"/>
    <mergeCell ref="O147:R147"/>
    <mergeCell ref="U147:Z147"/>
    <mergeCell ref="S157:U157"/>
    <mergeCell ref="H158:N158"/>
    <mergeCell ref="O158:R158"/>
    <mergeCell ref="U158:Z158"/>
    <mergeCell ref="H160:N160"/>
    <mergeCell ref="O160:R160"/>
    <mergeCell ref="H161:N161"/>
    <mergeCell ref="O161:R161"/>
    <mergeCell ref="H152:N152"/>
    <mergeCell ref="O152:R152"/>
    <mergeCell ref="U152:Z152"/>
    <mergeCell ref="H153:N153"/>
    <mergeCell ref="O153:R153"/>
    <mergeCell ref="U153:Z153"/>
    <mergeCell ref="S155:U155"/>
    <mergeCell ref="H156:N156"/>
    <mergeCell ref="O156:R156"/>
    <mergeCell ref="S156:U156"/>
    <mergeCell ref="H171:N171"/>
    <mergeCell ref="O171:R171"/>
    <mergeCell ref="U171:Z171"/>
    <mergeCell ref="AD161:AE161"/>
    <mergeCell ref="H162:N162"/>
    <mergeCell ref="O162:R162"/>
    <mergeCell ref="U162:Z162"/>
    <mergeCell ref="AD162:AE162"/>
    <mergeCell ref="AD163:AE163"/>
    <mergeCell ref="G164:S164"/>
    <mergeCell ref="G165:H166"/>
    <mergeCell ref="I165:N165"/>
    <mergeCell ref="O165:R166"/>
    <mergeCell ref="S165:S166"/>
    <mergeCell ref="AD165:AE165"/>
    <mergeCell ref="I166:N166"/>
    <mergeCell ref="V191:AA191"/>
    <mergeCell ref="U175:V175"/>
    <mergeCell ref="U176:V176"/>
    <mergeCell ref="Q190:S190"/>
    <mergeCell ref="T190:U190"/>
    <mergeCell ref="V190:AA190"/>
    <mergeCell ref="Q191:S191"/>
    <mergeCell ref="K177:K178"/>
    <mergeCell ref="N177:N178"/>
    <mergeCell ref="Q177:Q178"/>
    <mergeCell ref="U177:V177"/>
    <mergeCell ref="L178:M178"/>
    <mergeCell ref="O178:P178"/>
    <mergeCell ref="L179:M179"/>
    <mergeCell ref="O179:P179"/>
    <mergeCell ref="W179:AA179"/>
    <mergeCell ref="O181:R181"/>
    <mergeCell ref="U181:Z181"/>
    <mergeCell ref="B183:AA183"/>
    <mergeCell ref="E185:H187"/>
    <mergeCell ref="I185:M186"/>
    <mergeCell ref="O185:T185"/>
    <mergeCell ref="O186:P186"/>
    <mergeCell ref="Q186:S186"/>
    <mergeCell ref="S213:T213"/>
    <mergeCell ref="U213:Z213"/>
    <mergeCell ref="C215:E215"/>
    <mergeCell ref="E204:F204"/>
    <mergeCell ref="M196:N196"/>
    <mergeCell ref="P196:U196"/>
    <mergeCell ref="C202:F202"/>
    <mergeCell ref="H202:J202"/>
    <mergeCell ref="L202:N202"/>
    <mergeCell ref="Q202:T202"/>
    <mergeCell ref="H198:L198"/>
    <mergeCell ref="M198:N198"/>
    <mergeCell ref="P198:U198"/>
    <mergeCell ref="AE215:AF216"/>
    <mergeCell ref="D216:E216"/>
    <mergeCell ref="E72:F73"/>
    <mergeCell ref="E74:F74"/>
    <mergeCell ref="E203:F203"/>
    <mergeCell ref="I203:J203"/>
    <mergeCell ref="M203:N203"/>
    <mergeCell ref="S203:T203"/>
    <mergeCell ref="U203:Z203"/>
    <mergeCell ref="Q205:S205"/>
    <mergeCell ref="R206:S206"/>
    <mergeCell ref="C211:F211"/>
    <mergeCell ref="E212:F212"/>
    <mergeCell ref="G212:L212"/>
    <mergeCell ref="S212:T212"/>
    <mergeCell ref="U212:Z212"/>
    <mergeCell ref="E193:J193"/>
    <mergeCell ref="K193:O193"/>
    <mergeCell ref="H196:L196"/>
    <mergeCell ref="X76:AA76"/>
    <mergeCell ref="C83:D83"/>
    <mergeCell ref="E83:F83"/>
    <mergeCell ref="G83:I83"/>
    <mergeCell ref="G81:I82"/>
    <mergeCell ref="G87:I87"/>
    <mergeCell ref="J87:L87"/>
    <mergeCell ref="M87:O87"/>
    <mergeCell ref="P87:S87"/>
    <mergeCell ref="T87:W87"/>
    <mergeCell ref="X87:Z87"/>
    <mergeCell ref="C86:D86"/>
    <mergeCell ref="E86:F86"/>
    <mergeCell ref="X83:Z83"/>
    <mergeCell ref="X85:Z85"/>
    <mergeCell ref="C84:D84"/>
    <mergeCell ref="E84:F84"/>
    <mergeCell ref="J84:L84"/>
    <mergeCell ref="M84:O84"/>
    <mergeCell ref="P84:S84"/>
    <mergeCell ref="T84:W84"/>
    <mergeCell ref="X84:Z84"/>
    <mergeCell ref="J85:L85"/>
    <mergeCell ref="J83:L83"/>
    <mergeCell ref="M83:O83"/>
    <mergeCell ref="P83:S83"/>
    <mergeCell ref="C85:D85"/>
    <mergeCell ref="E85:F85"/>
    <mergeCell ref="G84:I84"/>
    <mergeCell ref="G85:I85"/>
    <mergeCell ref="O148:R148"/>
    <mergeCell ref="C104:I104"/>
    <mergeCell ref="J104:O104"/>
    <mergeCell ref="E75:F75"/>
    <mergeCell ref="Q72:T73"/>
    <mergeCell ref="U72:W73"/>
    <mergeCell ref="M74:P74"/>
    <mergeCell ref="Q74:T74"/>
    <mergeCell ref="U74:W74"/>
    <mergeCell ref="M85:O85"/>
    <mergeCell ref="P85:S85"/>
    <mergeCell ref="T85:W85"/>
    <mergeCell ref="P82:S82"/>
    <mergeCell ref="T82:W82"/>
    <mergeCell ref="T83:W83"/>
    <mergeCell ref="C87:D87"/>
    <mergeCell ref="E87:F87"/>
    <mergeCell ref="G86:I86"/>
    <mergeCell ref="J86:L86"/>
    <mergeCell ref="M86:O86"/>
    <mergeCell ref="P86:S86"/>
    <mergeCell ref="E91:F91"/>
    <mergeCell ref="E92:F92"/>
    <mergeCell ref="B224:C224"/>
    <mergeCell ref="D224:G224"/>
    <mergeCell ref="I224:L224"/>
    <mergeCell ref="B225:C225"/>
    <mergeCell ref="D225:G225"/>
    <mergeCell ref="C228:D228"/>
    <mergeCell ref="E228:I228"/>
    <mergeCell ref="E94:F94"/>
    <mergeCell ref="G94:H94"/>
    <mergeCell ref="E95:F95"/>
    <mergeCell ref="G95:H95"/>
    <mergeCell ref="E96:F96"/>
    <mergeCell ref="G96:H96"/>
    <mergeCell ref="G98:H98"/>
    <mergeCell ref="J112:L112"/>
    <mergeCell ref="F122:H122"/>
    <mergeCell ref="F173:I173"/>
    <mergeCell ref="J173:L173"/>
    <mergeCell ref="I167:N167"/>
    <mergeCell ref="H157:N157"/>
    <mergeCell ref="H148:N148"/>
    <mergeCell ref="E213:F213"/>
    <mergeCell ref="G213:L213"/>
    <mergeCell ref="E190:O190"/>
    <mergeCell ref="C229:D229"/>
    <mergeCell ref="E229:I229"/>
    <mergeCell ref="C230:D230"/>
    <mergeCell ref="E230:I230"/>
    <mergeCell ref="C231:D231"/>
    <mergeCell ref="E231:I231"/>
    <mergeCell ref="E232:I232"/>
    <mergeCell ref="J232:L232"/>
    <mergeCell ref="F233:G233"/>
    <mergeCell ref="H233:L233"/>
    <mergeCell ref="F241:J241"/>
    <mergeCell ref="K241:M241"/>
    <mergeCell ref="C245:D245"/>
    <mergeCell ref="E245:J245"/>
    <mergeCell ref="F234:G234"/>
    <mergeCell ref="H234:L234"/>
    <mergeCell ref="F235:G235"/>
    <mergeCell ref="H235:L235"/>
    <mergeCell ref="F236:G236"/>
    <mergeCell ref="H236:L236"/>
    <mergeCell ref="F237:G237"/>
    <mergeCell ref="H237:L237"/>
    <mergeCell ref="E238:I238"/>
    <mergeCell ref="J238:L238"/>
    <mergeCell ref="V192:AA192"/>
    <mergeCell ref="M197:N197"/>
    <mergeCell ref="P197:U197"/>
    <mergeCell ref="K192:O192"/>
    <mergeCell ref="H181:N181"/>
    <mergeCell ref="M252:N252"/>
    <mergeCell ref="C253:E253"/>
    <mergeCell ref="F253:J253"/>
    <mergeCell ref="D254:E258"/>
    <mergeCell ref="F254:G254"/>
    <mergeCell ref="H254:K254"/>
    <mergeCell ref="F255:G255"/>
    <mergeCell ref="H255:K255"/>
    <mergeCell ref="H256:L256"/>
    <mergeCell ref="H257:L257"/>
    <mergeCell ref="F258:G258"/>
    <mergeCell ref="F256:G256"/>
    <mergeCell ref="F257:G257"/>
    <mergeCell ref="H258:L258"/>
    <mergeCell ref="F239:J239"/>
    <mergeCell ref="K239:M239"/>
    <mergeCell ref="N239:P241"/>
    <mergeCell ref="F240:J240"/>
    <mergeCell ref="K240:M240"/>
    <mergeCell ref="G92:H92"/>
    <mergeCell ref="G91:K91"/>
    <mergeCell ref="E93:F93"/>
    <mergeCell ref="G93:H93"/>
    <mergeCell ref="N100:P101"/>
    <mergeCell ref="Q192:S192"/>
    <mergeCell ref="T192:U192"/>
    <mergeCell ref="N98:P99"/>
    <mergeCell ref="O167:R168"/>
    <mergeCell ref="O157:R157"/>
    <mergeCell ref="O187:P187"/>
    <mergeCell ref="Q187:S187"/>
    <mergeCell ref="E191:E192"/>
    <mergeCell ref="F191:J191"/>
    <mergeCell ref="K191:O191"/>
    <mergeCell ref="F192:J192"/>
    <mergeCell ref="T191:U191"/>
    <mergeCell ref="I187:M187"/>
    <mergeCell ref="S167:S168"/>
    <mergeCell ref="I168:N168"/>
    <mergeCell ref="I169:N169"/>
    <mergeCell ref="O169:R169"/>
    <mergeCell ref="D139:H140"/>
    <mergeCell ref="I139:I140"/>
    <mergeCell ref="AH73:AJ73"/>
    <mergeCell ref="AH74:AJ74"/>
    <mergeCell ref="AH75:AJ75"/>
    <mergeCell ref="AH76:AJ76"/>
    <mergeCell ref="AH77:AJ77"/>
    <mergeCell ref="AH78:AJ78"/>
    <mergeCell ref="AD82:AH82"/>
    <mergeCell ref="AD59:AG60"/>
    <mergeCell ref="Q100:R101"/>
    <mergeCell ref="S98:Y99"/>
    <mergeCell ref="S100:Y101"/>
    <mergeCell ref="T86:W86"/>
    <mergeCell ref="X86:Z86"/>
    <mergeCell ref="AD73:AG73"/>
    <mergeCell ref="AC123:AC124"/>
    <mergeCell ref="C124:C129"/>
    <mergeCell ref="D124:H125"/>
    <mergeCell ref="I124:J125"/>
    <mergeCell ref="K124:M125"/>
    <mergeCell ref="N124:R125"/>
    <mergeCell ref="D126:H128"/>
    <mergeCell ref="I126:J129"/>
    <mergeCell ref="K126:M127"/>
    <mergeCell ref="N126:N127"/>
    <mergeCell ref="O126:R127"/>
    <mergeCell ref="S126:W127"/>
    <mergeCell ref="K128:M129"/>
    <mergeCell ref="N128:N129"/>
    <mergeCell ref="O128:R129"/>
    <mergeCell ref="S128:W129"/>
    <mergeCell ref="D129:H129"/>
    <mergeCell ref="K131:M132"/>
    <mergeCell ref="N131:R132"/>
    <mergeCell ref="S131:W132"/>
    <mergeCell ref="D133:H134"/>
    <mergeCell ref="I133:J135"/>
    <mergeCell ref="K133:M134"/>
    <mergeCell ref="N133:N134"/>
    <mergeCell ref="O133:R134"/>
    <mergeCell ref="S133:S134"/>
    <mergeCell ref="T133:W134"/>
    <mergeCell ref="D135:H135"/>
    <mergeCell ref="K135:M135"/>
    <mergeCell ref="N135:R135"/>
    <mergeCell ref="S135:W135"/>
  </mergeCells>
  <conditionalFormatting sqref="C83:Z83">
    <cfRule type="expression" dxfId="3" priority="8">
      <formula>$AA83="N"</formula>
    </cfRule>
  </conditionalFormatting>
  <conditionalFormatting sqref="E84:Z87">
    <cfRule type="expression" dxfId="2" priority="6">
      <formula>$AA84="N"</formula>
    </cfRule>
  </conditionalFormatting>
  <conditionalFormatting sqref="E92:K92">
    <cfRule type="expression" dxfId="1" priority="2">
      <formula>($E92)</formula>
    </cfRule>
  </conditionalFormatting>
  <conditionalFormatting sqref="E93:K96">
    <cfRule type="expression" dxfId="0" priority="1">
      <formula>($E93)</formula>
    </cfRule>
  </conditionalFormatting>
  <dataValidations count="6">
    <dataValidation type="list" allowBlank="1" showInputMessage="1" showErrorMessage="1" sqref="M112:O112" xr:uid="{FF1E45B1-01A8-48AB-AA67-4E9925AC7569}">
      <formula1>$AD$116:$AF$116</formula1>
    </dataValidation>
    <dataValidation type="list" allowBlank="1" showInputMessage="1" showErrorMessage="1" sqref="J104:O104" xr:uid="{361C1CBB-5AB7-4684-B1B9-BA437F9A6D6F}">
      <formula1>#REF!</formula1>
    </dataValidation>
    <dataValidation type="list" allowBlank="1" showInputMessage="1" showErrorMessage="1" sqref="G144:I144" xr:uid="{6389785C-30B3-47B5-A50C-DCC1BA66DAC3}">
      <formula1>$AD$144:$AD$145</formula1>
    </dataValidation>
    <dataValidation type="list" allowBlank="1" showInputMessage="1" showErrorMessage="1" sqref="AA83:AA87" xr:uid="{D06DD7F5-BD7D-4BE3-B506-97872570B381}">
      <formula1>$AC$81:$AE$81</formula1>
    </dataValidation>
    <dataValidation type="list" allowBlank="1" showInputMessage="1" showErrorMessage="1" sqref="C26:E27" xr:uid="{3248FE28-FB5B-46A4-B709-0C2BD93775F9}">
      <formula1>$AC$26:$AC$27</formula1>
    </dataValidation>
    <dataValidation type="list" allowBlank="1" showInputMessage="1" showErrorMessage="1" sqref="G123:I123" xr:uid="{4FB7D603-8CD7-4526-94B4-502EF3292687}">
      <formula1>$AD$90:$AD$92</formula1>
    </dataValidation>
  </dataValidations>
  <printOptions horizontalCentered="1" verticalCentered="1"/>
  <pageMargins left="0.25" right="0.25" top="0.1" bottom="0.1" header="0.3" footer="0.3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eridienneLongitudeparpaire_ResetRealisation_Click" altText="Reset Realisation">
                <anchor moveWithCells="1" sizeWithCells="1">
                  <from>
                    <xdr:col>0</xdr:col>
                    <xdr:colOff>123825</xdr:colOff>
                    <xdr:row>78</xdr:row>
                    <xdr:rowOff>76200</xdr:rowOff>
                  </from>
                  <to>
                    <xdr:col>4</xdr:col>
                    <xdr:colOff>57150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220</xdr:row>
                    <xdr:rowOff>38100</xdr:rowOff>
                  </from>
                  <to>
                    <xdr:col>10</xdr:col>
                    <xdr:colOff>9525</xdr:colOff>
                    <xdr:row>221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B96C21C-A9FB-4852-B3A9-61268582FE35}">
          <x14:formula1>
            <xm:f>Outils!$C$9:$C$10</xm:f>
          </x14:formula1>
          <xm:sqref>I10:I11 N126:N129 N133:N134 S133:S134 I139:I140</xm:sqref>
        </x14:dataValidation>
        <x14:dataValidation type="list" allowBlank="1" showInputMessage="1" showErrorMessage="1" xr:uid="{088B484B-20FF-44BF-81E3-FDA7CC7F1B64}">
          <x14:formula1>
            <xm:f>Outils!$D$9:$D$10</xm:f>
          </x14:formula1>
          <xm:sqref>I12:I13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N261"/>
  <sheetViews>
    <sheetView topLeftCell="A241" zoomScaleNormal="100" workbookViewId="0">
      <selection activeCell="H255" sqref="H255:M255"/>
    </sheetView>
  </sheetViews>
  <sheetFormatPr baseColWidth="10" defaultColWidth="5.140625" defaultRowHeight="17.25" customHeight="1" outlineLevelRow="1" outlineLevelCol="1"/>
  <cols>
    <col min="1" max="2" width="6.42578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3" width="6.42578125" style="16" customWidth="1"/>
    <col min="14" max="15" width="8.140625" style="16" customWidth="1"/>
    <col min="16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549" t="s">
        <v>132</v>
      </c>
      <c r="D1" s="549"/>
      <c r="E1" s="549"/>
      <c r="F1" s="549"/>
      <c r="G1" s="537" t="s">
        <v>133</v>
      </c>
      <c r="H1" s="537"/>
      <c r="I1" s="537"/>
      <c r="J1" s="537"/>
      <c r="K1" s="537"/>
      <c r="L1" s="537"/>
      <c r="M1" s="537"/>
      <c r="N1" s="537"/>
      <c r="O1" s="537"/>
      <c r="P1" s="537"/>
      <c r="Q1" s="537"/>
      <c r="R1" s="537"/>
      <c r="S1" s="537"/>
      <c r="T1" s="537"/>
      <c r="U1" s="537"/>
      <c r="V1" s="537"/>
      <c r="W1" s="537"/>
      <c r="X1" s="537"/>
      <c r="Y1" s="537"/>
    </row>
    <row r="2" spans="2:66" ht="17.25" customHeight="1">
      <c r="C2" s="549"/>
      <c r="D2" s="549"/>
      <c r="E2" s="549"/>
      <c r="F2" s="549"/>
      <c r="G2" s="537"/>
      <c r="H2" s="537"/>
      <c r="I2" s="537"/>
      <c r="J2" s="537"/>
      <c r="K2" s="537"/>
      <c r="L2" s="537"/>
      <c r="M2" s="537"/>
      <c r="N2" s="537"/>
      <c r="O2" s="537"/>
      <c r="P2" s="537"/>
      <c r="Q2" s="537"/>
      <c r="R2" s="537"/>
      <c r="S2" s="537"/>
      <c r="T2" s="537"/>
      <c r="U2" s="537"/>
      <c r="V2" s="537"/>
      <c r="W2" s="537"/>
      <c r="X2" s="537"/>
      <c r="Y2" s="537"/>
    </row>
    <row r="3" spans="2:66" ht="17.25" customHeight="1">
      <c r="C3" s="549"/>
      <c r="D3" s="549"/>
      <c r="E3" s="549"/>
      <c r="F3" s="549"/>
      <c r="G3" s="546" t="s">
        <v>137</v>
      </c>
      <c r="H3" s="546"/>
      <c r="I3" s="546"/>
      <c r="J3" s="547" t="s">
        <v>136</v>
      </c>
      <c r="K3" s="547"/>
      <c r="L3" s="547"/>
      <c r="N3" s="561" t="s">
        <v>227</v>
      </c>
      <c r="O3" s="561"/>
      <c r="P3" s="561"/>
      <c r="Q3" s="513" t="s">
        <v>192</v>
      </c>
      <c r="R3" s="513"/>
      <c r="S3" s="513"/>
    </row>
    <row r="4" spans="2:66" ht="17.25" customHeight="1">
      <c r="C4" s="549"/>
      <c r="D4" s="549"/>
      <c r="E4" s="549"/>
      <c r="F4" s="549"/>
      <c r="G4" s="429"/>
      <c r="H4" s="429"/>
      <c r="I4" s="429"/>
      <c r="J4" s="548"/>
      <c r="K4" s="548"/>
      <c r="L4" s="548"/>
      <c r="N4" s="561"/>
      <c r="O4" s="561"/>
      <c r="P4" s="561"/>
      <c r="Q4" s="513"/>
      <c r="R4" s="513"/>
      <c r="S4" s="513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94" t="str" cm="1">
        <f t="array" ref="E7">dateDecimale2txt(dateConvert2Decimal(E8),0)</f>
        <v>2010/05/05</v>
      </c>
      <c r="F7" s="94"/>
      <c r="G7" s="95"/>
      <c r="H7" s="96"/>
      <c r="I7" s="94" t="str" cm="1">
        <f t="array" ref="I7">heureDecimal2Txt(E11)</f>
        <v>08:18:53.00(08.3147)</v>
      </c>
      <c r="J7" s="94"/>
      <c r="K7" s="94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85"/>
      <c r="AB7" s="62"/>
    </row>
    <row r="8" spans="2:66" ht="17.25" customHeight="1">
      <c r="C8" s="538" t="s">
        <v>1</v>
      </c>
      <c r="D8" s="539"/>
      <c r="E8" s="529" t="s">
        <v>311</v>
      </c>
      <c r="F8" s="530"/>
      <c r="G8" s="530"/>
      <c r="H8" s="59"/>
      <c r="I8" s="514"/>
      <c r="J8" s="514"/>
      <c r="K8" s="514"/>
      <c r="L8" s="514"/>
      <c r="M8" s="514"/>
      <c r="N8" s="514"/>
      <c r="O8" s="514"/>
      <c r="AC8" s="3" t="s">
        <v>162</v>
      </c>
      <c r="AD8" s="3" cm="1">
        <f t="array" ref="AD8">heureConvert2Decimal(I11)</f>
        <v>8.3147222222222226</v>
      </c>
    </row>
    <row r="9" spans="2:66" ht="17.25" customHeight="1" thickBot="1">
      <c r="C9" s="540" t="s">
        <v>11</v>
      </c>
      <c r="D9" s="541"/>
      <c r="E9" s="540" t="s">
        <v>2</v>
      </c>
      <c r="F9" s="552"/>
      <c r="G9" s="552"/>
      <c r="H9" s="541"/>
      <c r="I9" s="526" t="s">
        <v>229</v>
      </c>
      <c r="J9" s="526"/>
      <c r="K9" s="526"/>
      <c r="L9" s="526" t="s">
        <v>225</v>
      </c>
      <c r="M9" s="526"/>
      <c r="N9" s="526"/>
      <c r="O9" s="526"/>
      <c r="P9" s="526"/>
      <c r="Q9" s="526" t="s">
        <v>226</v>
      </c>
      <c r="R9" s="526"/>
      <c r="S9" s="526"/>
      <c r="T9" s="526"/>
      <c r="U9" s="526"/>
      <c r="V9" s="637" t="s">
        <v>122</v>
      </c>
      <c r="W9" s="638"/>
      <c r="X9" s="638"/>
      <c r="Y9" s="639"/>
      <c r="AB9" s="63"/>
      <c r="AC9" s="3" t="s">
        <v>163</v>
      </c>
      <c r="AD9" s="67">
        <f>L11</f>
        <v>0</v>
      </c>
    </row>
    <row r="10" spans="2:66" ht="17.25" customHeight="1">
      <c r="C10" s="542"/>
      <c r="D10" s="543"/>
      <c r="E10" s="544"/>
      <c r="F10" s="553"/>
      <c r="G10" s="553"/>
      <c r="H10" s="545"/>
      <c r="I10" s="526"/>
      <c r="J10" s="526"/>
      <c r="K10" s="526"/>
      <c r="L10" s="526"/>
      <c r="M10" s="526"/>
      <c r="N10" s="526"/>
      <c r="O10" s="526"/>
      <c r="P10" s="526"/>
      <c r="Q10" s="526"/>
      <c r="R10" s="526"/>
      <c r="S10" s="526"/>
      <c r="T10" s="526"/>
      <c r="U10" s="526"/>
      <c r="V10" s="640"/>
      <c r="W10" s="641"/>
      <c r="X10" s="641"/>
      <c r="Y10" s="642"/>
      <c r="AC10" s="3" t="s">
        <v>164</v>
      </c>
      <c r="AD10" s="3">
        <f>Q11/3600</f>
        <v>0</v>
      </c>
    </row>
    <row r="11" spans="2:66" ht="17.25" customHeight="1" thickBot="1">
      <c r="C11" s="544"/>
      <c r="D11" s="545"/>
      <c r="E11" s="649">
        <f>AD8+AD9+AD10+AD11</f>
        <v>8.3147222222222226</v>
      </c>
      <c r="F11" s="650"/>
      <c r="G11" s="650"/>
      <c r="H11" s="651"/>
      <c r="I11" s="456" t="s">
        <v>312</v>
      </c>
      <c r="J11" s="456"/>
      <c r="K11" s="456"/>
      <c r="L11" s="635">
        <v>0</v>
      </c>
      <c r="M11" s="635"/>
      <c r="N11" s="635"/>
      <c r="O11" s="635"/>
      <c r="P11" s="635"/>
      <c r="Q11" s="635">
        <v>0</v>
      </c>
      <c r="R11" s="635"/>
      <c r="S11" s="635"/>
      <c r="T11" s="635"/>
      <c r="U11" s="636"/>
      <c r="V11" s="634" t="s">
        <v>121</v>
      </c>
      <c r="W11" s="634"/>
      <c r="X11" s="634"/>
      <c r="Y11" s="634"/>
      <c r="AC11" s="3" t="s">
        <v>29</v>
      </c>
      <c r="AD11" s="3" cm="1">
        <f t="array" ref="AD11">heureConvert2Decimal(V11) / 60</f>
        <v>0</v>
      </c>
    </row>
    <row r="12" spans="2:66" customFormat="1" ht="17.25" customHeight="1" thickTop="1" thickBot="1">
      <c r="B12" s="16"/>
      <c r="E12" s="643" t="str" cm="1">
        <f t="array" ref="E12">heureDecimal2Txt(E11)</f>
        <v>08:18:53.00(08.3147)</v>
      </c>
      <c r="F12" s="644"/>
      <c r="G12" s="644"/>
      <c r="H12" s="645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18" customHeight="1">
      <c r="B15"/>
      <c r="C15" s="626" t="s">
        <v>165</v>
      </c>
      <c r="D15" s="627"/>
      <c r="E15" s="627"/>
      <c r="F15" s="627"/>
      <c r="G15" s="627"/>
      <c r="H15" s="627"/>
      <c r="I15" s="628"/>
      <c r="J15" s="1181" t="s">
        <v>167</v>
      </c>
      <c r="K15" s="1181"/>
      <c r="L15" s="1181"/>
      <c r="M15" s="1181"/>
      <c r="N15" s="1181"/>
      <c r="O15" s="1181"/>
      <c r="P15"/>
      <c r="Q15"/>
      <c r="R15"/>
      <c r="S15"/>
      <c r="T15"/>
      <c r="U15"/>
      <c r="V15"/>
      <c r="W15"/>
      <c r="X15"/>
      <c r="Y15"/>
      <c r="Z15"/>
      <c r="AA15"/>
      <c r="AC15" s="68" t="s">
        <v>166</v>
      </c>
      <c r="AD15" s="68" t="s">
        <v>167</v>
      </c>
    </row>
    <row r="16" spans="2:66" ht="18" hidden="1" customHeight="1" outlineLevel="1" thickTop="1" thickBot="1">
      <c r="B16" s="14"/>
      <c r="C16" s="626" t="s">
        <v>128</v>
      </c>
      <c r="D16" s="627"/>
      <c r="E16" s="627"/>
      <c r="F16" s="627"/>
      <c r="G16" s="627"/>
      <c r="H16" s="627"/>
      <c r="I16" s="628"/>
      <c r="J16" s="980" cm="1">
        <f t="array" ref="J16">angleConvert2Decimal(M16)</f>
        <v>0.9</v>
      </c>
      <c r="K16" s="981"/>
      <c r="L16" s="982"/>
      <c r="M16" s="983" t="s">
        <v>99</v>
      </c>
      <c r="N16" s="984"/>
      <c r="O16" s="985"/>
      <c r="P16" s="751" t="str" cm="1">
        <f t="array" ref="P16">angleDecimal2Txt(J16)</f>
        <v>+00°54.00 (+00.9000) [+00°54'00.00]</v>
      </c>
      <c r="Q16" s="752"/>
      <c r="R16" s="752"/>
      <c r="S16" s="752"/>
      <c r="T16" s="752"/>
      <c r="U16" s="752"/>
      <c r="V16" s="752"/>
      <c r="W16" s="752"/>
      <c r="X16" s="438"/>
      <c r="Y16" s="14"/>
    </row>
    <row r="17" spans="2:46" ht="18" hidden="1" customHeight="1" outlineLevel="1" thickTop="1" thickBot="1">
      <c r="C17" s="477" t="s">
        <v>127</v>
      </c>
      <c r="D17" s="477"/>
      <c r="E17" s="477"/>
      <c r="F17" s="477"/>
      <c r="G17" s="477"/>
      <c r="H17" s="477"/>
      <c r="I17" s="477"/>
      <c r="J17" s="472" cm="1">
        <f t="array" ref="J17">angleConvert2Decimal(M17)</f>
        <v>33.4</v>
      </c>
      <c r="K17" s="625"/>
      <c r="L17" s="473"/>
      <c r="M17" s="988" t="s">
        <v>211</v>
      </c>
      <c r="N17" s="989"/>
      <c r="O17" s="990"/>
      <c r="P17" s="416" t="str" cm="1">
        <f t="array" ref="P17">angleDecimal2Txt(J17)</f>
        <v>+33°24.00 (+33.3999) [+33°24'00.00]</v>
      </c>
      <c r="Q17" s="416"/>
      <c r="R17" s="416"/>
      <c r="S17" s="416"/>
      <c r="T17" s="416"/>
      <c r="U17" s="416"/>
      <c r="V17" s="416"/>
      <c r="W17" s="416"/>
      <c r="X17" s="416"/>
      <c r="Y17" s="14"/>
    </row>
    <row r="18" spans="2:46" ht="18" hidden="1" customHeight="1" outlineLevel="1" thickTop="1" thickBot="1">
      <c r="C18" s="477" t="s">
        <v>135</v>
      </c>
      <c r="D18" s="477"/>
      <c r="E18" s="477"/>
      <c r="F18" s="477"/>
      <c r="G18" s="477"/>
      <c r="H18" s="477"/>
      <c r="I18" s="477"/>
      <c r="J18" s="472" cm="1">
        <f t="array" ref="J18">angleConvert2Decimal(M18)</f>
        <v>16.25</v>
      </c>
      <c r="K18" s="625"/>
      <c r="L18" s="473"/>
      <c r="M18" s="988">
        <f>(J17-J16)/2</f>
        <v>16.25</v>
      </c>
      <c r="N18" s="989"/>
      <c r="O18" s="990"/>
      <c r="P18" s="416" t="str" cm="1">
        <f t="array" ref="P18">angleDecimal2Txt(J18)</f>
        <v>+16°15.00 (+16.2500) [+16°15'00.00]</v>
      </c>
      <c r="Q18" s="416"/>
      <c r="R18" s="416"/>
      <c r="S18" s="416"/>
      <c r="T18" s="416"/>
      <c r="U18" s="416"/>
      <c r="V18" s="416"/>
      <c r="W18" s="416"/>
      <c r="X18" s="416"/>
      <c r="Y18" s="14"/>
    </row>
    <row r="19" spans="2:46" ht="18" customHeight="1" collapsed="1" thickBot="1">
      <c r="C19" s="633" t="s">
        <v>19</v>
      </c>
      <c r="D19" s="633"/>
      <c r="E19" s="633"/>
      <c r="F19" s="633"/>
      <c r="G19" s="633"/>
      <c r="H19" s="633"/>
      <c r="I19" s="633"/>
      <c r="J19" s="620">
        <f>M19</f>
        <v>4</v>
      </c>
      <c r="K19" s="621"/>
      <c r="L19" s="622"/>
      <c r="M19" s="528">
        <v>4</v>
      </c>
      <c r="N19" s="528"/>
      <c r="O19" s="528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2:46" ht="18" customHeight="1" thickTop="1" thickBot="1">
      <c r="B20" s="14"/>
      <c r="C20" s="646" t="s">
        <v>20</v>
      </c>
      <c r="D20" s="647"/>
      <c r="E20" s="647"/>
      <c r="F20" s="647"/>
      <c r="G20" s="647"/>
      <c r="H20" s="647"/>
      <c r="I20" s="648"/>
      <c r="J20" s="440" cm="1">
        <f t="array" ref="J20">angleConvert2Decimal(M20)</f>
        <v>0.05</v>
      </c>
      <c r="K20" s="441"/>
      <c r="L20" s="441"/>
      <c r="M20" s="527" t="s">
        <v>399</v>
      </c>
      <c r="N20" s="528"/>
      <c r="O20" s="528"/>
      <c r="P20" s="416" t="str" cm="1">
        <f t="array" ref="P20">angleDecimal2Txt(J20)</f>
        <v>+00°03.00 (+00.0500) [+00°03'00.00]</v>
      </c>
      <c r="Q20" s="416"/>
      <c r="R20" s="416"/>
      <c r="S20" s="416"/>
      <c r="T20" s="416"/>
      <c r="U20" s="416"/>
      <c r="V20" s="416"/>
      <c r="W20" s="416"/>
      <c r="X20" s="416"/>
      <c r="Y20" s="14"/>
    </row>
    <row r="21" spans="2:46" ht="18" customHeight="1" thickTop="1" thickBot="1">
      <c r="C21" s="492" t="s">
        <v>26</v>
      </c>
      <c r="D21" s="492"/>
      <c r="E21" s="492"/>
      <c r="F21" s="492"/>
      <c r="G21" s="492"/>
      <c r="H21" s="492"/>
      <c r="I21" s="492"/>
      <c r="J21" s="440" cm="1">
        <f t="array" ref="J21">IF(J15=AC15,J18,angleConvert2Decimal(M21))</f>
        <v>18.916666666666668</v>
      </c>
      <c r="K21" s="441"/>
      <c r="L21" s="441"/>
      <c r="M21" s="527" t="s">
        <v>400</v>
      </c>
      <c r="N21" s="528"/>
      <c r="O21" s="528"/>
      <c r="P21" s="416" t="str" cm="1">
        <f t="array" ref="P21">angleDecimal2Txt(J21)</f>
        <v>+18°55.00 (+18.9166) [+18°55'00.00]</v>
      </c>
      <c r="Q21" s="416"/>
      <c r="R21" s="416"/>
      <c r="S21" s="416"/>
      <c r="T21" s="416"/>
      <c r="U21" s="416"/>
      <c r="V21" s="416"/>
      <c r="W21" s="416"/>
      <c r="X21" s="416"/>
      <c r="Y21" s="14"/>
    </row>
    <row r="22" spans="2:46" ht="18" hidden="1" customHeight="1" outlineLevel="1" thickTop="1">
      <c r="C22" s="568" t="s">
        <v>30</v>
      </c>
      <c r="D22" s="568"/>
      <c r="E22" s="568"/>
      <c r="F22" s="568"/>
      <c r="G22" s="568"/>
      <c r="H22" s="568"/>
      <c r="I22" s="568"/>
      <c r="J22" s="463" t="str">
        <f>M22</f>
        <v>Lune</v>
      </c>
      <c r="K22" s="464"/>
      <c r="L22" s="465"/>
      <c r="M22" s="1182" t="s">
        <v>33</v>
      </c>
      <c r="N22" s="1183"/>
      <c r="O22" s="1184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2:46" ht="18" customHeight="1" collapsed="1" thickTop="1">
      <c r="C23" s="568" t="s">
        <v>56</v>
      </c>
      <c r="D23" s="568"/>
      <c r="E23" s="568"/>
      <c r="F23" s="568"/>
      <c r="G23" s="568"/>
      <c r="H23" s="568"/>
      <c r="I23" s="568"/>
      <c r="J23" s="602" t="str">
        <f>M23</f>
        <v>BordInf</v>
      </c>
      <c r="K23" s="602"/>
      <c r="L23" s="602"/>
      <c r="M23" s="601" t="s">
        <v>57</v>
      </c>
      <c r="N23" s="601"/>
      <c r="O23" s="601"/>
      <c r="P23" s="14"/>
      <c r="Q23" s="14"/>
      <c r="R23" s="14"/>
      <c r="S23" s="14"/>
      <c r="T23" s="14"/>
      <c r="U23" s="14"/>
      <c r="V23" s="14"/>
      <c r="W23" s="14"/>
      <c r="X23" s="14"/>
      <c r="Y23" s="14"/>
      <c r="AH23" s="16"/>
    </row>
    <row r="24" spans="2:46" ht="17.25" customHeight="1" thickBot="1">
      <c r="C24" s="562" t="s">
        <v>151</v>
      </c>
      <c r="D24" s="563"/>
      <c r="E24" s="563" t="s">
        <v>152</v>
      </c>
      <c r="F24" s="563"/>
      <c r="G24" s="563"/>
      <c r="H24" s="563"/>
      <c r="I24" s="1187"/>
      <c r="J24" s="425" cm="1">
        <f t="array" ref="J24">angleConvert2Decimal(M24)</f>
        <v>0.90666666666666662</v>
      </c>
      <c r="K24" s="426"/>
      <c r="L24" s="427"/>
      <c r="M24" s="419" t="s">
        <v>490</v>
      </c>
      <c r="N24" s="420"/>
      <c r="O24" s="420"/>
      <c r="P24"/>
      <c r="Q24"/>
      <c r="R24"/>
      <c r="S24"/>
      <c r="T24"/>
      <c r="U24"/>
      <c r="V24"/>
      <c r="W24"/>
      <c r="X24"/>
      <c r="Y24" s="14"/>
    </row>
    <row r="25" spans="2:46" ht="20.25" customHeight="1" thickTop="1" thickBot="1">
      <c r="C25" s="566"/>
      <c r="D25" s="567"/>
      <c r="E25" s="567"/>
      <c r="F25" s="567"/>
      <c r="G25" s="567"/>
      <c r="H25" s="567"/>
      <c r="I25" s="1188"/>
      <c r="J25" s="867"/>
      <c r="K25" s="868"/>
      <c r="L25" s="869"/>
      <c r="M25" s="423"/>
      <c r="N25" s="424"/>
      <c r="O25" s="424"/>
      <c r="P25" s="414" t="str" cm="1">
        <f t="array" ref="P25">angleDecimal2Txt(J24)</f>
        <v>+00°54.39 (+00.9066) [+00°54'24.00]</v>
      </c>
      <c r="Q25" s="414"/>
      <c r="R25" s="414"/>
      <c r="S25" s="414"/>
      <c r="T25" s="414"/>
      <c r="U25" s="414"/>
      <c r="V25" s="414"/>
      <c r="W25" s="414"/>
      <c r="X25" s="414"/>
      <c r="Y25" s="14"/>
      <c r="AC25" s="69" t="s">
        <v>98</v>
      </c>
      <c r="AD25" s="70" t="s">
        <v>57</v>
      </c>
      <c r="AE25" s="70" t="s">
        <v>188</v>
      </c>
      <c r="AF25" s="70" t="s">
        <v>58</v>
      </c>
      <c r="AL25">
        <f>MATCH(AJ26,$E$74:$Q$74,1)</f>
        <v>1</v>
      </c>
      <c r="AM25">
        <f>INDEX($E$74:$Q$76,1,$AL$25)</f>
        <v>54</v>
      </c>
      <c r="AN25">
        <f>INDEX($E$74:$Q$76,1,1+$AL$25)</f>
        <v>55</v>
      </c>
    </row>
    <row r="26" spans="2:46" ht="17.25" customHeight="1" thickTop="1" thickBot="1">
      <c r="C26" s="1044" t="s">
        <v>100</v>
      </c>
      <c r="D26" s="1045"/>
      <c r="E26" s="1045"/>
      <c r="F26" s="1045"/>
      <c r="G26" s="1045"/>
      <c r="H26" s="1045"/>
      <c r="I26" s="1046"/>
      <c r="J26" s="425" cm="1">
        <f t="array" ref="J26">angleConvert2Decimal(M26)</f>
        <v>0.49399999999999999</v>
      </c>
      <c r="K26" s="426"/>
      <c r="L26" s="427"/>
      <c r="M26" s="419">
        <f>P28</f>
        <v>0.49399999999999999</v>
      </c>
      <c r="N26" s="420"/>
      <c r="O26" s="420"/>
      <c r="P26" s="866" t="s">
        <v>97</v>
      </c>
      <c r="Q26" s="866"/>
      <c r="R26" s="866"/>
      <c r="S26" s="14"/>
      <c r="U26" s="14"/>
      <c r="V26" s="14"/>
      <c r="W26" s="14"/>
      <c r="X26" s="14"/>
      <c r="Y26" s="14"/>
      <c r="AC26" s="142" t="s">
        <v>189</v>
      </c>
      <c r="AD26" s="143">
        <v>0.5</v>
      </c>
      <c r="AE26" s="143">
        <v>-0.5</v>
      </c>
      <c r="AF26" s="143">
        <v>0</v>
      </c>
      <c r="AI26" t="s">
        <v>314</v>
      </c>
      <c r="AJ26">
        <f>J24*60</f>
        <v>54.4</v>
      </c>
      <c r="AK26" t="s">
        <v>333</v>
      </c>
      <c r="AM26">
        <f>INDEX($E$74:$Q$76,3,$AL$25)</f>
        <v>0.49</v>
      </c>
      <c r="AN26">
        <f>INDEX($E$74:$Q$76,3,1+$AL$25)</f>
        <v>0.5</v>
      </c>
      <c r="AQ26" s="255" t="s">
        <v>334</v>
      </c>
      <c r="AR26" s="255">
        <f>AJ26-AM25</f>
        <v>0.39999999999999858</v>
      </c>
    </row>
    <row r="27" spans="2:46" ht="17.25" customHeight="1" thickBot="1">
      <c r="C27" s="1047"/>
      <c r="D27" s="476"/>
      <c r="E27" s="476"/>
      <c r="F27" s="476"/>
      <c r="G27" s="476"/>
      <c r="H27" s="476"/>
      <c r="I27" s="1048"/>
      <c r="J27" s="428"/>
      <c r="K27" s="429"/>
      <c r="L27" s="430"/>
      <c r="M27" s="421"/>
      <c r="N27" s="422"/>
      <c r="O27" s="422"/>
      <c r="P27" s="866"/>
      <c r="Q27" s="866"/>
      <c r="R27" s="866"/>
      <c r="S27" s="14"/>
      <c r="T27" s="1169" t="s">
        <v>495</v>
      </c>
      <c r="U27" s="1170"/>
      <c r="V27" s="1170"/>
      <c r="W27" s="1170"/>
      <c r="X27" s="1170"/>
      <c r="Y27" s="1167" t="str" cm="1">
        <f t="array" ref="Y27">angleDecimal2Txt(J24/2,0)</f>
        <v>+00°27.19</v>
      </c>
      <c r="Z27" s="1168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255" t="s">
        <v>335</v>
      </c>
      <c r="AR27" s="255">
        <f>AN25-AM25</f>
        <v>1</v>
      </c>
    </row>
    <row r="28" spans="2:46" ht="17.25" customHeight="1" thickTop="1" thickBot="1">
      <c r="C28" s="1047"/>
      <c r="D28" s="476"/>
      <c r="E28" s="476"/>
      <c r="F28" s="476"/>
      <c r="G28" s="476"/>
      <c r="H28" s="476"/>
      <c r="I28" s="1048"/>
      <c r="J28" s="428"/>
      <c r="K28" s="429"/>
      <c r="L28" s="430"/>
      <c r="M28" s="421"/>
      <c r="N28" s="422"/>
      <c r="O28" s="422"/>
      <c r="P28" s="599">
        <f>AR29</f>
        <v>0.49399999999999999</v>
      </c>
      <c r="Q28" s="599"/>
      <c r="R28" s="599"/>
      <c r="S28" s="559" t="str">
        <f>angleDecimal2Txt(AR29)</f>
        <v>+00°29.64 (+00.4940) [+00°29'38.40]</v>
      </c>
      <c r="T28" s="1185"/>
      <c r="U28" s="1185"/>
      <c r="V28" s="1185"/>
      <c r="W28" s="1185"/>
      <c r="X28" s="1186"/>
      <c r="Y28" s="14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255" t="s">
        <v>336</v>
      </c>
      <c r="AR28" s="255">
        <f>AR26/AR27</f>
        <v>0.39999999999999858</v>
      </c>
    </row>
    <row r="29" spans="2:46" ht="17.25" customHeight="1" thickTop="1" thickBot="1">
      <c r="C29" s="1049"/>
      <c r="D29" s="1050"/>
      <c r="E29" s="1050"/>
      <c r="F29" s="1050"/>
      <c r="G29" s="1050"/>
      <c r="H29" s="1050"/>
      <c r="I29" s="1051"/>
      <c r="J29" s="431"/>
      <c r="K29" s="432"/>
      <c r="L29" s="433"/>
      <c r="M29" s="423"/>
      <c r="N29" s="424"/>
      <c r="O29" s="424"/>
      <c r="P29" s="509" t="str" cm="1">
        <f t="array" ref="P29">angleDecimal2Txt(J26)</f>
        <v>+00°29.64 (+00.4940) [+00°29'38.40]</v>
      </c>
      <c r="Q29" s="509"/>
      <c r="R29" s="509"/>
      <c r="S29" s="416"/>
      <c r="T29" s="416"/>
      <c r="U29" s="416"/>
      <c r="V29" s="416"/>
      <c r="W29" s="416"/>
      <c r="X29" s="416"/>
      <c r="Y29" s="14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256" t="s">
        <v>493</v>
      </c>
      <c r="AR29" s="255">
        <f>AM26+AR28*(AN26-AM26)</f>
        <v>0.49399999999999999</v>
      </c>
    </row>
    <row r="30" spans="2:46" ht="17.25" customHeight="1" thickTop="1" thickBot="1"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255" t="s">
        <v>494</v>
      </c>
      <c r="AR30" s="254">
        <f>AR29/2</f>
        <v>0.247</v>
      </c>
      <c r="AS30" s="1165" t="str" cm="1">
        <f t="array" ref="AS30">angleDecimal2Txt(AR30)</f>
        <v>+00°14.82 (+00.2470) [+00°14'49.20]</v>
      </c>
      <c r="AT30" s="1166"/>
    </row>
    <row r="31" spans="2:46" ht="17.25" customHeight="1" thickBot="1">
      <c r="B31" s="25" t="s">
        <v>199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62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</row>
    <row r="32" spans="2:46" ht="17.25" customHeight="1" thickTop="1" thickBot="1">
      <c r="C32" s="598" t="s">
        <v>7</v>
      </c>
      <c r="D32" s="598"/>
      <c r="E32" s="598"/>
      <c r="F32" s="598"/>
      <c r="G32" s="573">
        <f>AD33</f>
        <v>-27.5</v>
      </c>
      <c r="H32" s="574"/>
      <c r="I32" s="574"/>
      <c r="J32" s="455" t="s">
        <v>4</v>
      </c>
      <c r="K32" s="558" t="s">
        <v>622</v>
      </c>
      <c r="L32" s="455"/>
      <c r="M32" s="455"/>
      <c r="N32" s="455"/>
      <c r="O32" s="455"/>
      <c r="P32" s="493" t="str" cm="1">
        <f t="array" ref="P32">latitudeDecimal2Txt(G32)</f>
        <v>S 27°30.00 (S 27.5000) [S 27°30'00.00]</v>
      </c>
      <c r="Q32" s="493"/>
      <c r="R32" s="493"/>
      <c r="S32" s="493"/>
      <c r="T32" s="493"/>
      <c r="U32" s="493"/>
      <c r="V32" s="493"/>
      <c r="W32" s="493"/>
      <c r="X32" s="493"/>
      <c r="Y32" s="493"/>
      <c r="AC32" s="3" t="s">
        <v>168</v>
      </c>
      <c r="AD32" s="3">
        <f>VLOOKUP(J32,Outils!$C$9:$E$10,3)</f>
        <v>-1</v>
      </c>
    </row>
    <row r="33" spans="1:66" ht="17.25" customHeight="1" thickTop="1" thickBot="1">
      <c r="A33" s="820" t="s">
        <v>129</v>
      </c>
      <c r="B33" s="311" t="s">
        <v>130</v>
      </c>
      <c r="C33" s="598"/>
      <c r="D33" s="598"/>
      <c r="E33" s="598"/>
      <c r="F33" s="598"/>
      <c r="G33" s="574"/>
      <c r="H33" s="574"/>
      <c r="I33" s="574"/>
      <c r="J33" s="455"/>
      <c r="K33" s="455"/>
      <c r="L33" s="455"/>
      <c r="M33" s="455"/>
      <c r="N33" s="455"/>
      <c r="O33" s="455"/>
      <c r="P33" s="493"/>
      <c r="Q33" s="493"/>
      <c r="R33" s="493"/>
      <c r="S33" s="493"/>
      <c r="T33" s="493"/>
      <c r="U33" s="493"/>
      <c r="V33" s="493"/>
      <c r="W33" s="493"/>
      <c r="X33" s="493"/>
      <c r="Y33" s="493"/>
      <c r="AC33" s="3" t="s">
        <v>169</v>
      </c>
      <c r="AD33" s="3" cm="1">
        <f t="array" ref="AD33">angleConvert2Decimal(K32)*AD32</f>
        <v>-27.5</v>
      </c>
    </row>
    <row r="34" spans="1:66" ht="17.25" customHeight="1" thickTop="1" thickBot="1">
      <c r="A34" s="820"/>
      <c r="B34" s="311" t="s">
        <v>138</v>
      </c>
      <c r="C34" s="710" t="s">
        <v>8</v>
      </c>
      <c r="D34" s="710"/>
      <c r="E34" s="710"/>
      <c r="F34" s="710"/>
      <c r="G34" s="573">
        <f>AD35</f>
        <v>63</v>
      </c>
      <c r="H34" s="574"/>
      <c r="I34" s="574"/>
      <c r="J34" s="455" t="s">
        <v>5</v>
      </c>
      <c r="K34" s="558" t="s">
        <v>623</v>
      </c>
      <c r="L34" s="455"/>
      <c r="M34" s="455"/>
      <c r="N34" s="455"/>
      <c r="O34" s="455"/>
      <c r="P34" s="493" t="str" cm="1">
        <f t="array" ref="P34">longitudeDecimal2Txt(G34)</f>
        <v>E 63°00.00 (E 63.0000) [E 63°00'00.00]</v>
      </c>
      <c r="Q34" s="493"/>
      <c r="R34" s="493"/>
      <c r="S34" s="493"/>
      <c r="T34" s="493"/>
      <c r="U34" s="493"/>
      <c r="V34" s="493"/>
      <c r="W34" s="493"/>
      <c r="X34" s="493"/>
      <c r="Y34" s="493"/>
      <c r="Z34" s="14"/>
      <c r="AC34" s="3" t="s">
        <v>170</v>
      </c>
      <c r="AD34" s="3">
        <f>VLOOKUP(J34,Outils!$D$9:$E$10,2)</f>
        <v>1</v>
      </c>
      <c r="BN34" s="31"/>
    </row>
    <row r="35" spans="1:66" ht="17.25" customHeight="1" thickTop="1" thickBot="1">
      <c r="C35" s="710"/>
      <c r="D35" s="710"/>
      <c r="E35" s="710"/>
      <c r="F35" s="710"/>
      <c r="G35" s="574"/>
      <c r="H35" s="574"/>
      <c r="I35" s="574"/>
      <c r="J35" s="455"/>
      <c r="K35" s="455"/>
      <c r="L35" s="455"/>
      <c r="M35" s="455"/>
      <c r="N35" s="455"/>
      <c r="O35" s="455"/>
      <c r="P35" s="493"/>
      <c r="Q35" s="493"/>
      <c r="R35" s="493"/>
      <c r="S35" s="493"/>
      <c r="T35" s="493"/>
      <c r="U35" s="493"/>
      <c r="V35" s="493"/>
      <c r="W35" s="493"/>
      <c r="X35" s="493"/>
      <c r="Y35" s="493"/>
      <c r="Z35" s="14"/>
      <c r="AC35" s="3" t="s">
        <v>171</v>
      </c>
      <c r="AD35" s="3" cm="1">
        <f t="array" ref="AD35">angleConvert2Decimal(K34)*AD34</f>
        <v>63</v>
      </c>
      <c r="BN35" s="31"/>
    </row>
    <row r="36" spans="1:66" ht="17.25" customHeight="1" thickTop="1" thickBot="1">
      <c r="A36"/>
      <c r="B36"/>
      <c r="C36"/>
      <c r="D36" s="14"/>
      <c r="E36" s="14"/>
      <c r="F36" s="14"/>
      <c r="G36" s="14"/>
      <c r="H36" s="14"/>
      <c r="BN36" s="31"/>
    </row>
    <row r="37" spans="1:66" ht="17.25" customHeight="1" thickBot="1">
      <c r="B37" s="25" t="s">
        <v>9</v>
      </c>
      <c r="C37" s="75"/>
      <c r="D37" s="75"/>
      <c r="E37" s="75"/>
      <c r="F37" s="478">
        <f>IF(G38=AD38,D41,IF(G38=AD37,D54,D48))</f>
        <v>23.147284259259258</v>
      </c>
      <c r="G37" s="498"/>
      <c r="H37" s="498"/>
      <c r="I37" s="26"/>
      <c r="J37" s="26"/>
      <c r="K37" s="26" t="str" cm="1">
        <f t="array" ref="K37">latitudeDecimal2Txt(F37)</f>
        <v>N 23°08.83 (N 23.1472) [N 23°08'50.22]</v>
      </c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64"/>
      <c r="AD37" s="68" t="s">
        <v>562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</row>
    <row r="38" spans="1:66" s="33" customFormat="1" ht="17.25" customHeight="1">
      <c r="C38" s="551" t="s">
        <v>35</v>
      </c>
      <c r="D38" s="551"/>
      <c r="E38" s="551"/>
      <c r="F38" s="551"/>
      <c r="G38" s="554" t="s">
        <v>10</v>
      </c>
      <c r="H38" s="555"/>
      <c r="I38" s="556"/>
      <c r="AB38" s="65"/>
      <c r="AC38" s="664" t="s">
        <v>36</v>
      </c>
      <c r="AD38" s="68" t="s">
        <v>10</v>
      </c>
      <c r="AE38"/>
      <c r="BA38"/>
      <c r="BB38"/>
      <c r="BC38"/>
      <c r="BD38"/>
      <c r="BE38"/>
      <c r="BF38"/>
      <c r="BG38"/>
      <c r="BH38"/>
      <c r="BI38"/>
      <c r="BJ38"/>
      <c r="BK38"/>
      <c r="BL38"/>
      <c r="BM38"/>
    </row>
    <row r="39" spans="1:66" ht="17.25" customHeight="1" outlineLevel="1">
      <c r="C39" s="821" t="s">
        <v>10</v>
      </c>
      <c r="D39" s="823" t="s">
        <v>9</v>
      </c>
      <c r="E39" s="585"/>
      <c r="F39" s="585"/>
      <c r="G39" s="585"/>
      <c r="H39" s="585"/>
      <c r="I39" s="448" t="s">
        <v>626</v>
      </c>
      <c r="J39" s="541"/>
      <c r="K39" s="448" t="s">
        <v>13</v>
      </c>
      <c r="L39" s="449"/>
      <c r="M39" s="450"/>
      <c r="N39" s="454" t="s">
        <v>15</v>
      </c>
      <c r="O39" s="454"/>
      <c r="P39" s="454"/>
      <c r="Q39" s="454"/>
      <c r="R39" s="454"/>
      <c r="S39" s="14"/>
      <c r="AC39" s="664"/>
      <c r="AD39" s="68" t="s">
        <v>14</v>
      </c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</row>
    <row r="40" spans="1:66" ht="17.25" customHeight="1" outlineLevel="1" thickBot="1">
      <c r="C40" s="821"/>
      <c r="D40" s="823"/>
      <c r="E40" s="585"/>
      <c r="F40" s="585"/>
      <c r="G40" s="585"/>
      <c r="H40" s="585"/>
      <c r="I40" s="544"/>
      <c r="J40" s="545"/>
      <c r="K40" s="451"/>
      <c r="L40" s="452"/>
      <c r="M40" s="453"/>
      <c r="N40" s="454"/>
      <c r="O40" s="454"/>
      <c r="P40" s="454"/>
      <c r="Q40" s="454"/>
      <c r="R40" s="454"/>
      <c r="S40" s="14"/>
      <c r="AD40" s="71" t="s">
        <v>73</v>
      </c>
      <c r="AE40" s="3" t="s">
        <v>180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</row>
    <row r="41" spans="1:66" ht="17.25" customHeight="1" outlineLevel="1" thickTop="1" thickBot="1">
      <c r="C41" s="821"/>
      <c r="D41" s="426">
        <f>IF(G38=AD38,AD46,"---")</f>
        <v>23.147284259259258</v>
      </c>
      <c r="E41" s="426"/>
      <c r="F41" s="426"/>
      <c r="G41" s="426"/>
      <c r="H41" s="427"/>
      <c r="I41" s="693">
        <f>E11</f>
        <v>8.3147222222222226</v>
      </c>
      <c r="J41" s="694"/>
      <c r="K41" s="479">
        <v>10</v>
      </c>
      <c r="L41" s="480"/>
      <c r="M41" s="481"/>
      <c r="N41" s="455" t="s">
        <v>3</v>
      </c>
      <c r="O41" s="456" t="s">
        <v>546</v>
      </c>
      <c r="P41" s="457"/>
      <c r="Q41" s="457"/>
      <c r="R41" s="457"/>
      <c r="S41" s="493" t="str" cm="1">
        <f t="array" ref="S41">angleDecimal2Txt(AE41)</f>
        <v>+23°08.50 (+23.1416) [+23°08'30.00]</v>
      </c>
      <c r="T41" s="494"/>
      <c r="U41" s="494"/>
      <c r="V41" s="494"/>
      <c r="W41" s="494"/>
      <c r="AC41" s="3" t="s">
        <v>172</v>
      </c>
      <c r="AD41" s="3">
        <f>VLOOKUP(N41,Outils!$C$9:$E$10,3)</f>
        <v>1</v>
      </c>
      <c r="AE41" s="3" cm="1">
        <f t="array" ref="AE41">AD41*angleConvert2Decimal(O41)</f>
        <v>23.141666666666666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</row>
    <row r="42" spans="1:66" ht="17.25" customHeight="1" outlineLevel="1" thickTop="1" thickBot="1">
      <c r="C42" s="821"/>
      <c r="D42" s="429"/>
      <c r="E42" s="429"/>
      <c r="F42" s="429"/>
      <c r="G42" s="429"/>
      <c r="H42" s="430"/>
      <c r="I42" s="434"/>
      <c r="J42" s="822"/>
      <c r="K42" s="482"/>
      <c r="L42" s="483"/>
      <c r="M42" s="484"/>
      <c r="N42" s="455"/>
      <c r="O42" s="458"/>
      <c r="P42" s="458"/>
      <c r="Q42" s="458"/>
      <c r="R42" s="458"/>
      <c r="S42" s="494"/>
      <c r="T42" s="494"/>
      <c r="U42" s="494"/>
      <c r="V42" s="494"/>
      <c r="W42" s="494"/>
      <c r="AC42" s="3" t="s">
        <v>173</v>
      </c>
      <c r="AD42" s="3">
        <f>VLOOKUP(N43,Outils!$C$9:$E$10,3)</f>
        <v>1</v>
      </c>
      <c r="AE42" s="3" cm="1">
        <f t="array" ref="AE42">AD42*angleConvert2Decimal(O43)</f>
        <v>23.138333333333332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</row>
    <row r="43" spans="1:66" ht="17.25" customHeight="1" outlineLevel="1" thickTop="1" thickBot="1">
      <c r="C43" s="821"/>
      <c r="D43" s="429"/>
      <c r="E43" s="429"/>
      <c r="F43" s="429"/>
      <c r="G43" s="429"/>
      <c r="H43" s="430"/>
      <c r="I43" s="434"/>
      <c r="J43" s="822"/>
      <c r="K43" s="569">
        <v>11</v>
      </c>
      <c r="L43" s="570"/>
      <c r="M43" s="571"/>
      <c r="N43" s="455" t="s">
        <v>3</v>
      </c>
      <c r="O43" s="491" t="s">
        <v>547</v>
      </c>
      <c r="P43" s="458"/>
      <c r="Q43" s="458"/>
      <c r="R43" s="458"/>
      <c r="S43" s="493" t="str" cm="1">
        <f t="array" ref="S43">angleDecimal2Txt((AE42))</f>
        <v>+23°08.30 (+23.1383) [+23°08'18.00]</v>
      </c>
      <c r="T43" s="494"/>
      <c r="U43" s="494"/>
      <c r="V43" s="494"/>
      <c r="W43" s="494"/>
      <c r="AC43" s="3" t="s">
        <v>38</v>
      </c>
      <c r="AD43" s="5">
        <f>AE42-AE41</f>
        <v>-3.3333333333338544E-3</v>
      </c>
    </row>
    <row r="44" spans="1:66" ht="17.25" customHeight="1" outlineLevel="1" thickTop="1" thickBot="1">
      <c r="C44" s="821"/>
      <c r="D44" s="604" t="str" cm="1">
        <f t="array" ref="D44">latitudeDecimal2Txt(D41)</f>
        <v>N 23°08.83 (N 23.1472) [N 23°08'50.22]</v>
      </c>
      <c r="E44" s="414"/>
      <c r="F44" s="414"/>
      <c r="G44" s="414"/>
      <c r="H44" s="414"/>
      <c r="I44" s="695"/>
      <c r="J44" s="696"/>
      <c r="K44" s="482"/>
      <c r="L44" s="483"/>
      <c r="M44" s="484"/>
      <c r="N44" s="455"/>
      <c r="O44" s="458"/>
      <c r="P44" s="458"/>
      <c r="Q44" s="458"/>
      <c r="R44" s="458"/>
      <c r="S44" s="494"/>
      <c r="T44" s="494"/>
      <c r="U44" s="494"/>
      <c r="V44" s="494"/>
      <c r="W44" s="494"/>
      <c r="AC44" s="3" t="s">
        <v>174</v>
      </c>
      <c r="AD44" s="5">
        <f>K43-K41</f>
        <v>1</v>
      </c>
      <c r="AE44" s="16"/>
      <c r="AF44" s="16"/>
      <c r="AG44" s="16"/>
      <c r="AH44" s="16"/>
    </row>
    <row r="45" spans="1:66" ht="17.25" customHeight="1" thickTop="1">
      <c r="F45" s="16"/>
      <c r="G45" s="16"/>
      <c r="AC45" s="3" t="s">
        <v>39</v>
      </c>
      <c r="AD45" s="5">
        <f>I41-K41</f>
        <v>-1.6852777777777774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</row>
    <row r="46" spans="1:66" ht="17.25" hidden="1" customHeight="1" outlineLevel="1">
      <c r="C46" s="605" t="s">
        <v>14</v>
      </c>
      <c r="D46" s="585" t="s">
        <v>9</v>
      </c>
      <c r="E46" s="585"/>
      <c r="F46" s="585"/>
      <c r="G46" s="585"/>
      <c r="H46" s="585"/>
      <c r="I46" s="448" t="s">
        <v>626</v>
      </c>
      <c r="J46" s="541"/>
      <c r="K46" s="448" t="s">
        <v>618</v>
      </c>
      <c r="L46" s="449"/>
      <c r="M46" s="450"/>
      <c r="N46" s="454" t="s">
        <v>16</v>
      </c>
      <c r="O46" s="454"/>
      <c r="P46" s="454"/>
      <c r="Q46" s="454"/>
      <c r="R46" s="454"/>
      <c r="S46" s="454" t="s">
        <v>131</v>
      </c>
      <c r="T46" s="454"/>
      <c r="U46" s="454"/>
      <c r="V46" s="454"/>
      <c r="W46" s="454"/>
      <c r="AA46" s="14"/>
      <c r="AC46" s="3" t="s">
        <v>37</v>
      </c>
      <c r="AD46" s="3">
        <f>AE41+(AD43/AD44)*AD45</f>
        <v>23.147284259259258</v>
      </c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</row>
    <row r="47" spans="1:66" ht="17.25" hidden="1" customHeight="1" outlineLevel="1">
      <c r="C47" s="605"/>
      <c r="D47" s="585"/>
      <c r="E47" s="585"/>
      <c r="F47" s="585"/>
      <c r="G47" s="585"/>
      <c r="H47" s="585"/>
      <c r="I47" s="544"/>
      <c r="J47" s="545"/>
      <c r="K47" s="451"/>
      <c r="L47" s="452"/>
      <c r="M47" s="453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AA47" s="14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</row>
    <row r="48" spans="1:66" ht="17.25" hidden="1" customHeight="1" outlineLevel="1">
      <c r="C48" s="605"/>
      <c r="D48" s="426" t="str">
        <f>IF(G38=AD39,AD52,"---")</f>
        <v>---</v>
      </c>
      <c r="E48" s="426"/>
      <c r="F48" s="426"/>
      <c r="G48" s="426"/>
      <c r="H48" s="426"/>
      <c r="I48" s="579">
        <f>E11</f>
        <v>8.3147222222222226</v>
      </c>
      <c r="J48" s="579"/>
      <c r="K48" s="443">
        <v>0</v>
      </c>
      <c r="L48" s="443"/>
      <c r="M48" s="666"/>
      <c r="N48" s="455" t="s">
        <v>3</v>
      </c>
      <c r="O48" s="669" t="s">
        <v>617</v>
      </c>
      <c r="P48" s="670"/>
      <c r="Q48" s="670"/>
      <c r="R48" s="670"/>
      <c r="S48" s="455" t="s">
        <v>3</v>
      </c>
      <c r="T48" s="669">
        <f>0.2/60</f>
        <v>3.3333333333333335E-3</v>
      </c>
      <c r="U48" s="670"/>
      <c r="V48" s="670"/>
      <c r="W48" s="670"/>
      <c r="AA48" s="14"/>
      <c r="AC48" s="3" t="s">
        <v>175</v>
      </c>
      <c r="AD48" s="3">
        <f>VLOOKUP(N48,Outils!$C$9:$E$10,3)</f>
        <v>1</v>
      </c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</row>
    <row r="49" spans="1:65" ht="17.25" hidden="1" customHeight="1" outlineLevel="1" thickBot="1">
      <c r="C49" s="605"/>
      <c r="D49" s="429"/>
      <c r="E49" s="429"/>
      <c r="F49" s="429"/>
      <c r="G49" s="429"/>
      <c r="H49" s="429"/>
      <c r="I49" s="579"/>
      <c r="J49" s="579"/>
      <c r="K49" s="445"/>
      <c r="L49" s="445"/>
      <c r="M49" s="667"/>
      <c r="N49" s="455"/>
      <c r="O49" s="455"/>
      <c r="P49" s="455"/>
      <c r="Q49" s="455"/>
      <c r="R49" s="455"/>
      <c r="S49" s="455"/>
      <c r="T49" s="455"/>
      <c r="U49" s="455"/>
      <c r="V49" s="455"/>
      <c r="W49" s="455"/>
      <c r="Z49" s="14"/>
      <c r="AA49" s="14"/>
      <c r="AC49" s="3" t="s">
        <v>176</v>
      </c>
      <c r="AD49" s="3" cm="1">
        <f t="array" ref="AD49">angleConvert2Decimal(O48)*AD48</f>
        <v>23.176666666666666</v>
      </c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</row>
    <row r="50" spans="1:65" ht="17.25" hidden="1" customHeight="1" outlineLevel="1" thickTop="1" thickBot="1">
      <c r="C50" s="605"/>
      <c r="D50" s="604" t="e" cm="1">
        <f t="array" ref="D50">latitudeDecimal2Txt(D48)</f>
        <v>#VALUE!</v>
      </c>
      <c r="E50" s="414"/>
      <c r="F50" s="414"/>
      <c r="G50" s="414"/>
      <c r="H50" s="684"/>
      <c r="I50" s="579"/>
      <c r="J50" s="579"/>
      <c r="K50" s="603" t="str" cm="1">
        <f t="array" ref="K50">heureDecimal2Txt(K48)</f>
        <v>00:00:00.00(00.0000)</v>
      </c>
      <c r="L50" s="603"/>
      <c r="M50" s="604"/>
      <c r="N50" s="416" t="str" cm="1">
        <f t="array" ref="N50">angleDecimal2Txt(AD49)</f>
        <v>+23°10.59 (+23.1766) [+23°10'36.00]</v>
      </c>
      <c r="O50" s="416"/>
      <c r="P50" s="416"/>
      <c r="Q50" s="416"/>
      <c r="R50" s="416"/>
      <c r="S50" s="416" t="str" cm="1">
        <f t="array" ref="S50">angleDecimal2Txt(AD51)</f>
        <v>+00°00.19 (+00.0033) [+00°00'11.99]</v>
      </c>
      <c r="T50" s="671"/>
      <c r="U50" s="671"/>
      <c r="V50" s="671"/>
      <c r="W50" s="671"/>
      <c r="Z50" s="14"/>
      <c r="AC50" s="3" t="s">
        <v>177</v>
      </c>
      <c r="AD50" s="3">
        <f>VLOOKUP(S48,Outils!$C$9:$E$10,3)</f>
        <v>1</v>
      </c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</row>
    <row r="51" spans="1:65" ht="17.25" customHeight="1" collapsed="1">
      <c r="A51" s="34" t="s">
        <v>544</v>
      </c>
      <c r="F51" s="16"/>
      <c r="G51" s="16"/>
      <c r="I51"/>
      <c r="Z51" s="14"/>
      <c r="AC51" s="3" t="s">
        <v>178</v>
      </c>
      <c r="AD51" s="3" cm="1">
        <f t="array" ref="AD51">angleConvert2Decimal(T48)*AD50</f>
        <v>3.3333333333333301E-3</v>
      </c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</row>
    <row r="52" spans="1:65" ht="17.25" hidden="1" customHeight="1" outlineLevel="1">
      <c r="C52" s="605" t="s">
        <v>627</v>
      </c>
      <c r="D52" s="585" t="s">
        <v>9</v>
      </c>
      <c r="E52" s="585"/>
      <c r="F52" s="585"/>
      <c r="G52" s="585"/>
      <c r="H52" s="585"/>
      <c r="I52" s="531" t="s">
        <v>563</v>
      </c>
      <c r="J52" s="532"/>
      <c r="K52" s="532"/>
      <c r="L52" s="532"/>
      <c r="M52" s="533"/>
      <c r="AC52" s="3" t="s">
        <v>179</v>
      </c>
      <c r="AD52" s="3">
        <f>AD49+AD51*(I48-K48)</f>
        <v>23.204382407407408</v>
      </c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</row>
    <row r="53" spans="1:65" ht="17.25" hidden="1" customHeight="1" outlineLevel="1">
      <c r="C53" s="605"/>
      <c r="D53" s="585"/>
      <c r="E53" s="585"/>
      <c r="F53" s="585"/>
      <c r="G53" s="585"/>
      <c r="H53" s="585"/>
      <c r="I53" s="534"/>
      <c r="J53" s="535"/>
      <c r="K53" s="535"/>
      <c r="L53" s="535"/>
      <c r="M53" s="536"/>
      <c r="S53"/>
      <c r="T53"/>
      <c r="U53"/>
      <c r="V53"/>
      <c r="W53"/>
      <c r="X53"/>
      <c r="Y53"/>
      <c r="AC53" s="3"/>
      <c r="AD53" s="3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</row>
    <row r="54" spans="1:65" ht="17.25" hidden="1" customHeight="1" outlineLevel="1">
      <c r="C54" s="605"/>
      <c r="D54" s="428" t="str">
        <f>IF(G38=AD37,AD55,"---")</f>
        <v>---</v>
      </c>
      <c r="E54" s="429"/>
      <c r="F54" s="429"/>
      <c r="G54" s="429"/>
      <c r="H54" s="429"/>
      <c r="I54" s="490" t="s">
        <v>3</v>
      </c>
      <c r="J54" s="597" t="s">
        <v>625</v>
      </c>
      <c r="K54" s="597"/>
      <c r="L54" s="597"/>
      <c r="M54" s="597"/>
      <c r="U54"/>
      <c r="V54"/>
      <c r="W54"/>
      <c r="X54"/>
      <c r="Y54"/>
      <c r="AC54" s="3" t="s">
        <v>175</v>
      </c>
      <c r="AD54" s="3">
        <f>VLOOKUP(I54,Outils!$C$9:$E$10,3)</f>
        <v>1</v>
      </c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</row>
    <row r="55" spans="1:65" ht="17.25" hidden="1" customHeight="1" outlineLevel="1" thickBot="1">
      <c r="C55" s="605"/>
      <c r="D55" s="606"/>
      <c r="E55" s="607"/>
      <c r="F55" s="607"/>
      <c r="G55" s="607"/>
      <c r="H55" s="607"/>
      <c r="I55" s="490"/>
      <c r="J55" s="597"/>
      <c r="K55" s="597"/>
      <c r="L55" s="597"/>
      <c r="M55" s="597"/>
      <c r="U55"/>
      <c r="V55"/>
      <c r="W55"/>
      <c r="X55"/>
      <c r="Y55"/>
      <c r="AC55" s="3" t="s">
        <v>176</v>
      </c>
      <c r="AD55" s="3" cm="1">
        <f t="array" ref="AD55">angleConvert2Decimal(J54)*AD54</f>
        <v>14.728333333333333</v>
      </c>
    </row>
    <row r="56" spans="1:65" ht="17.25" hidden="1" customHeight="1" outlineLevel="1" thickTop="1" thickBot="1">
      <c r="C56" s="605"/>
      <c r="D56" s="414" t="str" cm="1">
        <f t="array" ref="D56">latitudeDecimal2Txt(AD55)</f>
        <v>N 14°43.70 (N 14.7283) [N 14°43'42.00]</v>
      </c>
      <c r="E56" s="414"/>
      <c r="F56" s="414"/>
      <c r="G56" s="414"/>
      <c r="H56" s="414"/>
      <c r="I56"/>
      <c r="J56"/>
      <c r="K56"/>
      <c r="L56"/>
      <c r="N56"/>
      <c r="O56"/>
      <c r="U56"/>
      <c r="V56"/>
      <c r="W56"/>
      <c r="X56"/>
      <c r="Y56"/>
    </row>
    <row r="57" spans="1:65" ht="17.25" customHeight="1" collapsed="1" thickBot="1">
      <c r="S57" s="14"/>
      <c r="T57" s="14"/>
      <c r="U57" s="14"/>
      <c r="V57" s="14"/>
      <c r="W57" s="14"/>
      <c r="X57" s="14"/>
    </row>
    <row r="58" spans="1:65" ht="17.25" customHeight="1" thickBot="1">
      <c r="B58" s="25" t="s">
        <v>652</v>
      </c>
      <c r="C58" s="75"/>
      <c r="D58" s="75"/>
      <c r="E58" s="75"/>
      <c r="F58" s="478">
        <f>D62</f>
        <v>0.91509305555555531</v>
      </c>
      <c r="G58" s="498"/>
      <c r="H58" s="498"/>
      <c r="I58" s="1159">
        <f>F58*60</f>
        <v>54.905583333333318</v>
      </c>
      <c r="J58" s="1160"/>
      <c r="K58" s="26" t="str" cm="1">
        <f t="array" ref="K58">angleDecimal2Txt(F58)</f>
        <v>+00°54.90 (+00.9150) [+00°54'54.33]</v>
      </c>
      <c r="L58" s="26"/>
      <c r="M58" s="26"/>
      <c r="N58" s="26"/>
      <c r="O58" s="26"/>
      <c r="P58" s="26"/>
      <c r="Q58" s="26"/>
      <c r="R58" s="26"/>
      <c r="S58" s="26" t="s">
        <v>661</v>
      </c>
      <c r="T58" s="413">
        <f>D81</f>
        <v>0.4990558333333332</v>
      </c>
      <c r="U58" s="413"/>
      <c r="V58" s="413"/>
      <c r="W58" s="26"/>
      <c r="X58" s="26"/>
      <c r="Y58" s="26"/>
      <c r="Z58" s="26"/>
      <c r="AA58" s="26"/>
      <c r="AB58" s="64"/>
      <c r="AD58" s="68" t="s">
        <v>562</v>
      </c>
    </row>
    <row r="59" spans="1:65" s="33" customFormat="1" ht="17.25" customHeight="1">
      <c r="C59" s="551" t="s">
        <v>35</v>
      </c>
      <c r="D59" s="551"/>
      <c r="E59" s="551"/>
      <c r="F59" s="551"/>
      <c r="G59" s="554" t="s">
        <v>10</v>
      </c>
      <c r="H59" s="555"/>
      <c r="I59" s="556"/>
      <c r="AB59" s="65"/>
      <c r="AC59" s="664" t="s">
        <v>36</v>
      </c>
      <c r="AD59" s="68" t="s">
        <v>10</v>
      </c>
      <c r="AE59"/>
      <c r="BA59"/>
      <c r="BB59"/>
      <c r="BC59"/>
      <c r="BD59"/>
      <c r="BE59"/>
      <c r="BF59"/>
      <c r="BG59"/>
      <c r="BH59"/>
      <c r="BI59"/>
      <c r="BJ59"/>
      <c r="BK59"/>
      <c r="BL59"/>
      <c r="BM59"/>
    </row>
    <row r="60" spans="1:65" ht="17.25" customHeight="1">
      <c r="C60" s="821" t="s">
        <v>10</v>
      </c>
      <c r="D60" s="823" t="s">
        <v>649</v>
      </c>
      <c r="E60" s="585"/>
      <c r="F60" s="585"/>
      <c r="G60" s="585"/>
      <c r="H60" s="585"/>
      <c r="I60" s="448" t="s">
        <v>626</v>
      </c>
      <c r="J60" s="541"/>
      <c r="K60" s="448" t="s">
        <v>13</v>
      </c>
      <c r="L60" s="449"/>
      <c r="M60" s="450"/>
      <c r="N60" s="454" t="s">
        <v>15</v>
      </c>
      <c r="O60" s="454"/>
      <c r="P60" s="454"/>
      <c r="Q60" s="454"/>
      <c r="R60" s="454"/>
      <c r="S60" s="14"/>
      <c r="AC60" s="664"/>
      <c r="AD60" s="68"/>
    </row>
    <row r="61" spans="1:65" ht="17.25" customHeight="1" thickBot="1">
      <c r="C61" s="821"/>
      <c r="D61" s="823"/>
      <c r="E61" s="585"/>
      <c r="F61" s="585"/>
      <c r="G61" s="585"/>
      <c r="H61" s="585"/>
      <c r="I61" s="544"/>
      <c r="J61" s="545"/>
      <c r="K61" s="451"/>
      <c r="L61" s="452"/>
      <c r="M61" s="453"/>
      <c r="N61" s="454"/>
      <c r="O61" s="454"/>
      <c r="P61" s="454"/>
      <c r="Q61" s="454"/>
      <c r="R61" s="454"/>
      <c r="S61" s="14"/>
      <c r="AD61" s="71" t="s">
        <v>73</v>
      </c>
      <c r="AE61" s="3" t="s">
        <v>180</v>
      </c>
    </row>
    <row r="62" spans="1:65" ht="17.25" customHeight="1" thickTop="1" thickBot="1">
      <c r="C62" s="821"/>
      <c r="D62" s="426">
        <f>AD67</f>
        <v>0.91509305555555531</v>
      </c>
      <c r="E62" s="426"/>
      <c r="F62" s="426"/>
      <c r="G62" s="426"/>
      <c r="H62" s="427"/>
      <c r="I62" s="693">
        <f>E11</f>
        <v>8.3147222222222226</v>
      </c>
      <c r="J62" s="694"/>
      <c r="K62" s="479">
        <v>10</v>
      </c>
      <c r="L62" s="480"/>
      <c r="M62" s="481"/>
      <c r="N62" s="455" t="s">
        <v>3</v>
      </c>
      <c r="O62" s="456" t="s">
        <v>650</v>
      </c>
      <c r="P62" s="457"/>
      <c r="Q62" s="457"/>
      <c r="R62" s="457"/>
      <c r="S62" s="493" t="str" cm="1">
        <f t="array" ref="S62">angleDecimal2Txt(AE62)</f>
        <v>+00°54.39 (+00.9066) [+00°54'24.00]</v>
      </c>
      <c r="T62" s="494"/>
      <c r="U62" s="494"/>
      <c r="V62" s="494"/>
      <c r="W62" s="494"/>
      <c r="AC62" s="3" t="s">
        <v>172</v>
      </c>
      <c r="AD62" s="3">
        <f>VLOOKUP(N62,Outils!$C$9:$E$10,3)</f>
        <v>1</v>
      </c>
      <c r="AE62" s="3" cm="1">
        <f t="array" ref="AE62">AD62*angleConvert2Decimal(O62)</f>
        <v>0.90666666666666662</v>
      </c>
    </row>
    <row r="63" spans="1:65" ht="17.25" customHeight="1" thickTop="1" thickBot="1">
      <c r="C63" s="821"/>
      <c r="D63" s="429"/>
      <c r="E63" s="429"/>
      <c r="F63" s="429"/>
      <c r="G63" s="429"/>
      <c r="H63" s="430"/>
      <c r="I63" s="434"/>
      <c r="J63" s="822"/>
      <c r="K63" s="482"/>
      <c r="L63" s="483"/>
      <c r="M63" s="484"/>
      <c r="N63" s="455"/>
      <c r="O63" s="458"/>
      <c r="P63" s="458"/>
      <c r="Q63" s="458"/>
      <c r="R63" s="458"/>
      <c r="S63" s="494"/>
      <c r="T63" s="494"/>
      <c r="U63" s="494"/>
      <c r="V63" s="494"/>
      <c r="W63" s="494"/>
      <c r="AC63" s="3" t="s">
        <v>173</v>
      </c>
      <c r="AD63" s="3">
        <f>VLOOKUP(N64,Outils!$C$9:$E$10,3)</f>
        <v>1</v>
      </c>
      <c r="AE63" s="3" cm="1">
        <f t="array" ref="AE63">AD63*angleConvert2Decimal(O64)</f>
        <v>0.90166666666666673</v>
      </c>
    </row>
    <row r="64" spans="1:65" ht="17.25" customHeight="1" thickTop="1" thickBot="1">
      <c r="C64" s="821"/>
      <c r="D64" s="429"/>
      <c r="E64" s="429"/>
      <c r="F64" s="429"/>
      <c r="G64" s="429"/>
      <c r="H64" s="430"/>
      <c r="I64" s="434"/>
      <c r="J64" s="822"/>
      <c r="K64" s="569">
        <v>11</v>
      </c>
      <c r="L64" s="570"/>
      <c r="M64" s="571"/>
      <c r="N64" s="455" t="s">
        <v>3</v>
      </c>
      <c r="O64" s="491" t="s">
        <v>651</v>
      </c>
      <c r="P64" s="458"/>
      <c r="Q64" s="458"/>
      <c r="R64" s="458"/>
      <c r="S64" s="493" t="str" cm="1">
        <f t="array" ref="S64">angleDecimal2Txt((AE63))</f>
        <v>+00°54.10 (+00.9016) [+00°54'06.00]</v>
      </c>
      <c r="T64" s="494"/>
      <c r="U64" s="494"/>
      <c r="V64" s="494"/>
      <c r="W64" s="494"/>
      <c r="AC64" s="3" t="s">
        <v>38</v>
      </c>
      <c r="AD64" s="5">
        <f>AE63-AE62</f>
        <v>-4.9999999999998934E-3</v>
      </c>
    </row>
    <row r="65" spans="1:31" ht="17.25" customHeight="1" thickTop="1" thickBot="1">
      <c r="C65" s="821"/>
      <c r="D65" s="604" t="str" cm="1">
        <f t="array" ref="D65">angleDecimal2Txt(D62)</f>
        <v>+00°54.90 (+00.9150) [+00°54'54.33]</v>
      </c>
      <c r="E65" s="414"/>
      <c r="F65" s="414"/>
      <c r="G65" s="414"/>
      <c r="H65" s="414"/>
      <c r="I65" s="695"/>
      <c r="J65" s="696"/>
      <c r="K65" s="482"/>
      <c r="L65" s="483"/>
      <c r="M65" s="484"/>
      <c r="N65" s="455"/>
      <c r="O65" s="458"/>
      <c r="P65" s="458"/>
      <c r="Q65" s="458"/>
      <c r="R65" s="458"/>
      <c r="S65" s="494"/>
      <c r="T65" s="494"/>
      <c r="U65" s="494"/>
      <c r="V65" s="494"/>
      <c r="W65" s="494"/>
      <c r="AC65" s="3" t="s">
        <v>174</v>
      </c>
      <c r="AD65" s="5">
        <f>K64-K62</f>
        <v>1</v>
      </c>
      <c r="AE65" s="16"/>
    </row>
    <row r="66" spans="1:31" ht="17.25" customHeight="1" thickTop="1">
      <c r="A66" s="34" t="s">
        <v>544</v>
      </c>
      <c r="F66" s="16"/>
      <c r="G66" s="16"/>
      <c r="I66"/>
      <c r="S66" s="14"/>
      <c r="T66" s="14"/>
      <c r="U66" s="14"/>
      <c r="V66" s="14"/>
      <c r="W66" s="14"/>
      <c r="X66" s="14"/>
      <c r="AC66" s="3" t="s">
        <v>39</v>
      </c>
      <c r="AD66" s="5">
        <f>I62-K62</f>
        <v>-1.6852777777777774</v>
      </c>
    </row>
    <row r="67" spans="1:31" ht="17.25" hidden="1" customHeight="1" outlineLevel="1">
      <c r="C67" s="605" t="s">
        <v>627</v>
      </c>
      <c r="D67" s="823" t="s">
        <v>649</v>
      </c>
      <c r="E67" s="585"/>
      <c r="F67" s="585"/>
      <c r="G67" s="585"/>
      <c r="H67" s="585"/>
      <c r="I67" s="531" t="s">
        <v>563</v>
      </c>
      <c r="J67" s="532"/>
      <c r="K67" s="532"/>
      <c r="L67" s="532"/>
      <c r="M67" s="533"/>
      <c r="S67" s="14"/>
      <c r="T67" s="14"/>
      <c r="U67" s="14"/>
      <c r="V67" s="14"/>
      <c r="W67" s="14"/>
      <c r="X67" s="14"/>
      <c r="AC67" s="3" t="s">
        <v>37</v>
      </c>
      <c r="AD67" s="3">
        <f>AE62+(AD64/AD65)*AD66</f>
        <v>0.91509305555555531</v>
      </c>
    </row>
    <row r="68" spans="1:31" ht="17.25" hidden="1" customHeight="1" outlineLevel="1">
      <c r="C68" s="605"/>
      <c r="D68" s="823"/>
      <c r="E68" s="585"/>
      <c r="F68" s="585"/>
      <c r="G68" s="585"/>
      <c r="H68" s="585"/>
      <c r="I68" s="534"/>
      <c r="J68" s="535"/>
      <c r="K68" s="535"/>
      <c r="L68" s="535"/>
      <c r="M68" s="536"/>
    </row>
    <row r="69" spans="1:31" ht="17.25" hidden="1" customHeight="1" outlineLevel="1">
      <c r="C69" s="605"/>
      <c r="D69" s="428" t="str">
        <f>IF(G53=AD52,AD70,"---")</f>
        <v>---</v>
      </c>
      <c r="E69" s="429"/>
      <c r="F69" s="429"/>
      <c r="G69" s="429"/>
      <c r="H69" s="429"/>
      <c r="I69" s="490" t="s">
        <v>3</v>
      </c>
      <c r="J69" s="597" t="s">
        <v>625</v>
      </c>
      <c r="K69" s="597"/>
      <c r="L69" s="597"/>
      <c r="M69" s="597"/>
    </row>
    <row r="70" spans="1:31" ht="17.25" hidden="1" customHeight="1" outlineLevel="1" thickBot="1">
      <c r="C70" s="605"/>
      <c r="D70" s="606"/>
      <c r="E70" s="607"/>
      <c r="F70" s="607"/>
      <c r="G70" s="607"/>
      <c r="H70" s="607"/>
      <c r="I70" s="490"/>
      <c r="J70" s="597"/>
      <c r="K70" s="597"/>
      <c r="L70" s="597"/>
      <c r="M70" s="597"/>
    </row>
    <row r="71" spans="1:31" ht="17.25" hidden="1" customHeight="1" outlineLevel="1" thickTop="1" thickBot="1">
      <c r="C71" s="605"/>
      <c r="D71" s="414" t="str" cm="1">
        <f t="array" ref="D71">latitudeDecimal2Txt(AD70)</f>
        <v>N 00°00.00 (N 00.0000) [N 00°00'00.00]</v>
      </c>
      <c r="E71" s="414"/>
      <c r="F71" s="414"/>
      <c r="G71" s="414"/>
      <c r="H71" s="414"/>
      <c r="I71"/>
      <c r="J71"/>
      <c r="K71"/>
      <c r="L71"/>
    </row>
    <row r="72" spans="1:31" ht="17.25" customHeight="1" collapsed="1"/>
    <row r="73" spans="1:31" ht="17.25" hidden="1" customHeight="1" outlineLevel="1">
      <c r="C73"/>
      <c r="D73" s="16"/>
      <c r="E73" s="1171" t="s">
        <v>322</v>
      </c>
      <c r="F73" s="1171"/>
      <c r="G73" s="1171"/>
      <c r="H73" s="1171"/>
      <c r="I73" s="1171"/>
      <c r="J73" s="1171"/>
      <c r="K73" s="1171"/>
      <c r="L73" s="1171"/>
      <c r="M73" s="1171"/>
      <c r="N73" s="1171"/>
      <c r="O73" s="1171"/>
      <c r="P73" s="1171"/>
      <c r="Q73" s="1171"/>
      <c r="S73" s="14"/>
      <c r="T73" s="14"/>
      <c r="U73" s="14"/>
      <c r="V73" s="14"/>
      <c r="W73" s="14"/>
      <c r="X73" s="14"/>
    </row>
    <row r="74" spans="1:31" ht="17.25" hidden="1" customHeight="1" outlineLevel="1">
      <c r="C74" s="1164" t="s">
        <v>314</v>
      </c>
      <c r="D74" s="1164"/>
      <c r="E74" s="141">
        <v>54</v>
      </c>
      <c r="F74" s="141">
        <v>55</v>
      </c>
      <c r="G74" s="141">
        <v>55.5</v>
      </c>
      <c r="H74" s="141">
        <v>56</v>
      </c>
      <c r="I74" s="141">
        <v>56.5</v>
      </c>
      <c r="J74" s="141">
        <v>57</v>
      </c>
      <c r="K74" s="141">
        <v>57.5</v>
      </c>
      <c r="L74" s="141">
        <v>58</v>
      </c>
      <c r="M74" s="141">
        <v>58.5</v>
      </c>
      <c r="N74" s="141">
        <v>59</v>
      </c>
      <c r="O74" s="141">
        <v>59.5</v>
      </c>
      <c r="P74" s="141">
        <v>60</v>
      </c>
      <c r="Q74" s="141">
        <v>61</v>
      </c>
      <c r="S74" s="14"/>
      <c r="T74" s="14"/>
      <c r="U74" s="14"/>
      <c r="V74" s="14"/>
      <c r="W74" s="14"/>
      <c r="X74" s="14"/>
      <c r="AC74" s="3" t="s">
        <v>654</v>
      </c>
      <c r="AD74" s="5">
        <f>I58</f>
        <v>54.905583333333318</v>
      </c>
    </row>
    <row r="75" spans="1:31" ht="17.25" hidden="1" customHeight="1" outlineLevel="1">
      <c r="C75" s="1164" t="s">
        <v>491</v>
      </c>
      <c r="D75" s="1164"/>
      <c r="E75" s="144" t="s">
        <v>315</v>
      </c>
      <c r="F75" s="144" t="s">
        <v>323</v>
      </c>
      <c r="G75" s="144" t="s">
        <v>324</v>
      </c>
      <c r="H75" s="144" t="s">
        <v>325</v>
      </c>
      <c r="I75" s="144" t="s">
        <v>326</v>
      </c>
      <c r="J75" s="144" t="s">
        <v>327</v>
      </c>
      <c r="K75" s="144" t="s">
        <v>328</v>
      </c>
      <c r="L75" s="144" t="s">
        <v>329</v>
      </c>
      <c r="M75" s="144" t="s">
        <v>330</v>
      </c>
      <c r="N75" s="144" t="s">
        <v>321</v>
      </c>
      <c r="O75" s="144" t="s">
        <v>331</v>
      </c>
      <c r="P75" s="144" t="s">
        <v>332</v>
      </c>
      <c r="Q75" s="144" t="s">
        <v>316</v>
      </c>
      <c r="S75" s="14"/>
      <c r="T75" s="14"/>
      <c r="U75" s="14"/>
      <c r="V75" s="14"/>
      <c r="W75" s="14"/>
      <c r="X75" s="14"/>
      <c r="AC75" s="253" t="s">
        <v>655</v>
      </c>
      <c r="AD75" s="253">
        <f>MATCH(AD74,E74:Q74,1)</f>
        <v>1</v>
      </c>
    </row>
    <row r="76" spans="1:31" ht="17.25" hidden="1" customHeight="1" outlineLevel="1">
      <c r="C76" s="1164" t="s">
        <v>492</v>
      </c>
      <c r="D76" s="1164"/>
      <c r="E76" s="141">
        <f>angleConvert2Decimal(E75)</f>
        <v>0.49</v>
      </c>
      <c r="F76" s="141">
        <f>angleConvert2Decimal(F75)</f>
        <v>0.5</v>
      </c>
      <c r="G76" s="141">
        <f>angleConvert2Decimal(G75)</f>
        <v>0.505</v>
      </c>
      <c r="H76" s="141">
        <f>angleConvert2Decimal(H75)</f>
        <v>0.51</v>
      </c>
      <c r="I76" s="141">
        <f>angleConvert2Decimal(I75)</f>
        <v>0.51333333333333331</v>
      </c>
      <c r="J76" s="141">
        <f t="shared" ref="J76:Q76" si="0">angleConvert2Decimal(J75)</f>
        <v>0.51833333333333331</v>
      </c>
      <c r="K76" s="141">
        <f t="shared" si="0"/>
        <v>0.52333333333333332</v>
      </c>
      <c r="L76" s="141">
        <f t="shared" si="0"/>
        <v>0.52833333333333332</v>
      </c>
      <c r="M76" s="141">
        <f t="shared" si="0"/>
        <v>0.53333333333333333</v>
      </c>
      <c r="N76" s="141">
        <f t="shared" si="0"/>
        <v>0.53666666666666674</v>
      </c>
      <c r="O76" s="141">
        <f t="shared" si="0"/>
        <v>0.54166666666666663</v>
      </c>
      <c r="P76" s="141">
        <f t="shared" si="0"/>
        <v>0.54666666666666663</v>
      </c>
      <c r="Q76" s="141">
        <f t="shared" si="0"/>
        <v>0.55499999999999994</v>
      </c>
      <c r="S76" s="14"/>
      <c r="T76" s="14"/>
      <c r="U76" s="14"/>
      <c r="V76" s="14"/>
      <c r="W76" s="14"/>
      <c r="X76" s="14"/>
      <c r="AD76" s="350" t="s">
        <v>314</v>
      </c>
      <c r="AE76" s="350" t="s">
        <v>661</v>
      </c>
    </row>
    <row r="77" spans="1:31" ht="17.25" hidden="1" customHeight="1" outlineLevel="1">
      <c r="C77" s="1164" t="s">
        <v>71</v>
      </c>
      <c r="D77" s="1164"/>
      <c r="E77" s="252" t="str" cm="1">
        <f t="array" ref="E77">angleDecimal2Txt(E76/2,0)</f>
        <v>+00°14.69</v>
      </c>
      <c r="F77" s="252" t="str" cm="1">
        <f t="array" ref="F77">angleDecimal2Txt(F76/2,0)</f>
        <v>+00°15.00</v>
      </c>
      <c r="G77" s="252" t="str" cm="1">
        <f t="array" ref="G77">angleDecimal2Txt(G76/2,0)</f>
        <v>+00°15.15</v>
      </c>
      <c r="H77" s="252" t="str" cm="1">
        <f t="array" ref="H77">angleDecimal2Txt(H76/2,0)</f>
        <v>+00°15.30</v>
      </c>
      <c r="I77" s="252" t="str" cm="1">
        <f t="array" ref="I77">angleDecimal2Txt(I76/2,0)</f>
        <v>+00°15.40</v>
      </c>
      <c r="J77" s="252" t="str" cm="1">
        <f t="array" ref="J77">angleDecimal2Txt(J76/2,0)</f>
        <v>+00°15.55</v>
      </c>
      <c r="K77" s="252" t="str" cm="1">
        <f t="array" ref="K77">angleDecimal2Txt(K76/2,0)</f>
        <v>+00°15.69</v>
      </c>
      <c r="L77" s="252" t="str" cm="1">
        <f t="array" ref="L77">angleDecimal2Txt(L76/2,0)</f>
        <v>+00°15.84</v>
      </c>
      <c r="M77" s="252" t="str" cm="1">
        <f t="array" ref="M77">angleDecimal2Txt(M76/2,0)</f>
        <v>+00°16.00</v>
      </c>
      <c r="N77" s="252" t="str" cm="1">
        <f t="array" ref="N77">angleDecimal2Txt(N76/2,0)</f>
        <v>+00°16.10</v>
      </c>
      <c r="O77" s="252" t="str" cm="1">
        <f t="array" ref="O77">angleDecimal2Txt(O76/2,0)</f>
        <v>+00°16.24</v>
      </c>
      <c r="P77" s="252" t="str" cm="1">
        <f t="array" ref="P77">angleDecimal2Txt(P76/2,0)</f>
        <v>+00°16.39</v>
      </c>
      <c r="Q77" s="252" t="str" cm="1">
        <f t="array" ref="Q77">angleDecimal2Txt(Q76/2,0)</f>
        <v>+00°16.64</v>
      </c>
      <c r="S77" s="14"/>
      <c r="T77" s="14"/>
      <c r="U77" s="14"/>
      <c r="V77" s="14"/>
      <c r="W77" s="14"/>
      <c r="X77" s="14"/>
      <c r="AC77" s="253" t="s">
        <v>657</v>
      </c>
      <c r="AD77" s="253" cm="1">
        <f t="array" ref="AD77">INDEX(E74:Q74,1,AD75)</f>
        <v>54</v>
      </c>
      <c r="AE77" s="253" cm="1">
        <f t="array" ref="AE77">INDEX(E76:Q76,1,AD75)</f>
        <v>0.49</v>
      </c>
    </row>
    <row r="78" spans="1:31" ht="17.25" hidden="1" customHeight="1" outlineLevel="1">
      <c r="S78" s="14"/>
      <c r="T78" s="14"/>
      <c r="U78" s="14"/>
      <c r="V78" s="14"/>
      <c r="W78" s="14"/>
      <c r="X78" s="14"/>
      <c r="AC78" s="253" t="s">
        <v>656</v>
      </c>
      <c r="AD78" s="253" cm="1">
        <f t="array" ref="AD78">INDEX(E74:Q74,1,1+AD75)</f>
        <v>55</v>
      </c>
      <c r="AE78" s="253" cm="1">
        <f t="array" ref="AE78">INDEX(E76:Q76,1,1+AD75)</f>
        <v>0.5</v>
      </c>
    </row>
    <row r="79" spans="1:31" ht="17.25" hidden="1" customHeight="1" outlineLevel="1">
      <c r="D79" s="585" t="s">
        <v>100</v>
      </c>
      <c r="E79" s="585"/>
      <c r="F79" s="585"/>
      <c r="G79" s="585"/>
      <c r="H79" s="585"/>
      <c r="I79" s="1157" t="s">
        <v>660</v>
      </c>
      <c r="J79" s="450"/>
      <c r="K79" s="1158" t="s">
        <v>653</v>
      </c>
      <c r="L79" s="826"/>
      <c r="M79" s="826"/>
      <c r="N79" s="826" t="s">
        <v>100</v>
      </c>
      <c r="O79" s="826"/>
      <c r="P79" s="826"/>
      <c r="Q79" s="826"/>
      <c r="R79" s="826"/>
      <c r="S79" s="14"/>
      <c r="X79" s="14"/>
      <c r="AC79" s="253" t="s">
        <v>658</v>
      </c>
      <c r="AD79" s="253">
        <f>(AE78-AE77)/(AD78-AD77)</f>
        <v>1.0000000000000009E-2</v>
      </c>
    </row>
    <row r="80" spans="1:31" ht="17.25" hidden="1" customHeight="1" outlineLevel="1" thickBot="1">
      <c r="D80" s="585"/>
      <c r="E80" s="585"/>
      <c r="F80" s="585"/>
      <c r="G80" s="585"/>
      <c r="H80" s="585"/>
      <c r="I80" s="451"/>
      <c r="J80" s="453"/>
      <c r="K80" s="826"/>
      <c r="L80" s="826"/>
      <c r="M80" s="826"/>
      <c r="N80" s="826"/>
      <c r="O80" s="826"/>
      <c r="P80" s="826"/>
      <c r="Q80" s="826"/>
      <c r="R80" s="826"/>
      <c r="S80" s="14"/>
      <c r="X80" s="14"/>
      <c r="AC80" s="253" t="s">
        <v>659</v>
      </c>
      <c r="AD80" s="253">
        <f>AE77+(AD74-AD77)*AD79</f>
        <v>0.4990558333333332</v>
      </c>
    </row>
    <row r="81" spans="1:32" ht="17.25" hidden="1" customHeight="1" outlineLevel="1" thickTop="1" thickBot="1">
      <c r="D81" s="584">
        <f>AD80</f>
        <v>0.4990558333333332</v>
      </c>
      <c r="E81" s="584"/>
      <c r="F81" s="584"/>
      <c r="G81" s="584"/>
      <c r="H81" s="584"/>
      <c r="I81" s="693">
        <f>I58</f>
        <v>54.905583333333318</v>
      </c>
      <c r="J81" s="694"/>
      <c r="K81" s="597">
        <f>AD77</f>
        <v>54</v>
      </c>
      <c r="L81" s="597"/>
      <c r="M81" s="597"/>
      <c r="N81" s="488">
        <f>AE77</f>
        <v>0.49</v>
      </c>
      <c r="O81" s="443"/>
      <c r="P81" s="443"/>
      <c r="Q81" s="443"/>
      <c r="R81" s="444"/>
      <c r="S81" s="818" t="str" cm="1">
        <f t="array" ref="S81">angleDecimal2Txt(AE81)</f>
        <v>+00°00.00 (+00.0000) [+00°00'00.00]</v>
      </c>
      <c r="T81" s="494"/>
      <c r="U81" s="494"/>
      <c r="V81" s="494"/>
      <c r="W81" s="494"/>
      <c r="X81" s="14"/>
    </row>
    <row r="82" spans="1:32" ht="17.25" hidden="1" customHeight="1" outlineLevel="1" thickTop="1" thickBot="1">
      <c r="D82" s="584"/>
      <c r="E82" s="584"/>
      <c r="F82" s="584"/>
      <c r="G82" s="584"/>
      <c r="H82" s="584"/>
      <c r="I82" s="434"/>
      <c r="J82" s="822"/>
      <c r="K82" s="597"/>
      <c r="L82" s="597"/>
      <c r="M82" s="597"/>
      <c r="N82" s="1161"/>
      <c r="O82" s="1162"/>
      <c r="P82" s="1162"/>
      <c r="Q82" s="1162"/>
      <c r="R82" s="1163"/>
      <c r="S82" s="1189"/>
      <c r="T82" s="494"/>
      <c r="U82" s="494"/>
      <c r="V82" s="494"/>
      <c r="W82" s="494"/>
      <c r="X82" s="14"/>
    </row>
    <row r="83" spans="1:32" ht="17.25" hidden="1" customHeight="1" outlineLevel="1" thickTop="1" thickBot="1">
      <c r="D83" s="584"/>
      <c r="E83" s="584"/>
      <c r="F83" s="584"/>
      <c r="G83" s="584"/>
      <c r="H83" s="584"/>
      <c r="I83" s="434"/>
      <c r="J83" s="822"/>
      <c r="K83" s="597">
        <f>AD78</f>
        <v>55</v>
      </c>
      <c r="L83" s="597"/>
      <c r="M83" s="597"/>
      <c r="N83" s="488">
        <f>AE78</f>
        <v>0.5</v>
      </c>
      <c r="O83" s="443"/>
      <c r="P83" s="443"/>
      <c r="Q83" s="443"/>
      <c r="R83" s="444"/>
      <c r="S83" s="818" t="str" cm="1">
        <f t="array" ref="S83">angleDecimal2Txt((AE82))</f>
        <v>+00°00.00 (+00.0000) [+00°00'00.00]</v>
      </c>
      <c r="T83" s="494"/>
      <c r="U83" s="494"/>
      <c r="V83" s="494"/>
      <c r="W83" s="494"/>
      <c r="X83" s="14"/>
    </row>
    <row r="84" spans="1:32" ht="17.25" hidden="1" customHeight="1" outlineLevel="1" thickTop="1" thickBot="1">
      <c r="D84" s="1190" t="str" cm="1">
        <f t="array" ref="D84">angleDecimal2Txt(D81)</f>
        <v>+00°29.94 (+00.4990) [+00°29'56.60]</v>
      </c>
      <c r="E84" s="1190"/>
      <c r="F84" s="1190"/>
      <c r="G84" s="1190"/>
      <c r="H84" s="1190"/>
      <c r="I84" s="695"/>
      <c r="J84" s="696"/>
      <c r="K84" s="597"/>
      <c r="L84" s="597"/>
      <c r="M84" s="597"/>
      <c r="N84" s="1161"/>
      <c r="O84" s="1162"/>
      <c r="P84" s="1162"/>
      <c r="Q84" s="1162"/>
      <c r="R84" s="1163"/>
      <c r="S84" s="1189"/>
      <c r="T84" s="494"/>
      <c r="U84" s="494"/>
      <c r="V84" s="494"/>
      <c r="W84" s="494"/>
      <c r="X84" s="14"/>
    </row>
    <row r="85" spans="1:32" ht="17.25" hidden="1" customHeight="1" outlineLevel="1" thickTop="1">
      <c r="S85" s="14"/>
      <c r="T85" s="14"/>
      <c r="U85" s="14"/>
      <c r="V85" s="14"/>
      <c r="W85" s="14"/>
      <c r="X85" s="14"/>
    </row>
    <row r="86" spans="1:32" ht="17.25" customHeight="1" collapsed="1" thickBot="1">
      <c r="S86" s="14"/>
      <c r="T86" s="14"/>
      <c r="U86" s="14"/>
      <c r="V86" s="14"/>
      <c r="W86" s="14"/>
      <c r="X86" s="14"/>
    </row>
    <row r="87" spans="1:32" ht="17.25" customHeight="1" thickBot="1">
      <c r="A87" s="33"/>
      <c r="B87" s="25" t="s">
        <v>384</v>
      </c>
      <c r="C87" s="75"/>
      <c r="D87" s="75"/>
      <c r="E87" s="75"/>
      <c r="F87" s="478">
        <f>IF(G88=AD88,D91,IF(G88=AD87,D104,D98))</f>
        <v>180.03333333333333</v>
      </c>
      <c r="G87" s="498"/>
      <c r="H87" s="498"/>
      <c r="I87" s="26"/>
      <c r="J87" s="26"/>
      <c r="K87" s="26"/>
      <c r="L87" s="550">
        <f>F87-360</f>
        <v>-179.96666666666667</v>
      </c>
      <c r="M87" s="550"/>
      <c r="N87" s="26" t="s">
        <v>28</v>
      </c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64"/>
      <c r="AD87" s="68" t="s">
        <v>561</v>
      </c>
    </row>
    <row r="88" spans="1:32" ht="17.25" customHeight="1">
      <c r="B88" s="33"/>
      <c r="C88" s="551" t="s">
        <v>35</v>
      </c>
      <c r="D88" s="551"/>
      <c r="E88" s="551"/>
      <c r="F88" s="551"/>
      <c r="G88" s="595" t="s">
        <v>14</v>
      </c>
      <c r="H88" s="595"/>
      <c r="I88" s="596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65"/>
      <c r="AC88" s="664" t="s">
        <v>36</v>
      </c>
      <c r="AD88" s="68" t="s">
        <v>10</v>
      </c>
    </row>
    <row r="89" spans="1:32" ht="17.25" customHeight="1" outlineLevel="1">
      <c r="C89" s="821" t="s">
        <v>10</v>
      </c>
      <c r="D89" s="542" t="s">
        <v>416</v>
      </c>
      <c r="E89" s="824"/>
      <c r="F89" s="824"/>
      <c r="G89" s="824"/>
      <c r="H89" s="824"/>
      <c r="I89" s="449" t="s">
        <v>626</v>
      </c>
      <c r="J89" s="541"/>
      <c r="K89" s="448" t="s">
        <v>13</v>
      </c>
      <c r="L89" s="449"/>
      <c r="M89" s="450"/>
      <c r="N89" s="531" t="s">
        <v>15</v>
      </c>
      <c r="O89" s="532"/>
      <c r="P89" s="532"/>
      <c r="Q89" s="532"/>
      <c r="R89" s="533"/>
      <c r="S89" s="14"/>
      <c r="AC89" s="664"/>
      <c r="AD89" s="68" t="s">
        <v>14</v>
      </c>
    </row>
    <row r="90" spans="1:32" ht="17.25" customHeight="1" outlineLevel="1" thickBot="1">
      <c r="C90" s="821"/>
      <c r="D90" s="544"/>
      <c r="E90" s="553"/>
      <c r="F90" s="553"/>
      <c r="G90" s="553"/>
      <c r="H90" s="553"/>
      <c r="I90" s="553"/>
      <c r="J90" s="545"/>
      <c r="K90" s="451"/>
      <c r="L90" s="452"/>
      <c r="M90" s="453"/>
      <c r="N90" s="709"/>
      <c r="O90" s="535"/>
      <c r="P90" s="535"/>
      <c r="Q90" s="535"/>
      <c r="R90" s="536"/>
      <c r="S90" s="14"/>
      <c r="AD90" s="71" t="s">
        <v>73</v>
      </c>
      <c r="AE90" s="3" t="s">
        <v>629</v>
      </c>
      <c r="AF90" s="3" t="s">
        <v>180</v>
      </c>
    </row>
    <row r="91" spans="1:32" ht="17.25" customHeight="1" outlineLevel="1" thickTop="1" thickBot="1">
      <c r="C91" s="821"/>
      <c r="D91" s="425" t="str">
        <f>IF(G88=AD88,AF96,"---")</f>
        <v>---</v>
      </c>
      <c r="E91" s="426"/>
      <c r="F91" s="426"/>
      <c r="G91" s="426"/>
      <c r="H91" s="427"/>
      <c r="I91" s="693">
        <f>E39</f>
        <v>0</v>
      </c>
      <c r="J91" s="694"/>
      <c r="K91" s="488">
        <v>10</v>
      </c>
      <c r="L91" s="443"/>
      <c r="M91" s="444"/>
      <c r="N91" s="579" t="s">
        <v>5</v>
      </c>
      <c r="O91" s="681" t="s">
        <v>548</v>
      </c>
      <c r="P91" s="681"/>
      <c r="Q91" s="681"/>
      <c r="R91" s="682"/>
      <c r="S91" s="578" t="str" cm="1">
        <f t="array" ref="S91">angleDecimal2Txt(AF91)</f>
        <v>+329°03.89 (+329.0649) [+329°03'54.00]</v>
      </c>
      <c r="T91" s="578"/>
      <c r="U91" s="578"/>
      <c r="V91" s="578"/>
      <c r="W91" s="578"/>
      <c r="X91" s="578"/>
      <c r="Z91"/>
      <c r="AC91" s="3" t="s">
        <v>172</v>
      </c>
      <c r="AD91" s="3">
        <f>VLOOKUP(N91,Outils!$D$9:$E$10,2)</f>
        <v>1</v>
      </c>
      <c r="AE91" s="3" cm="1">
        <f t="array" ref="AE91">angleConvert2Decimal(O91)</f>
        <v>329.065</v>
      </c>
      <c r="AF91" s="3">
        <f>AE91*AD91</f>
        <v>329.065</v>
      </c>
    </row>
    <row r="92" spans="1:32" ht="17.25" customHeight="1" outlineLevel="1" thickTop="1" thickBot="1">
      <c r="C92" s="821"/>
      <c r="D92" s="428"/>
      <c r="E92" s="429"/>
      <c r="F92" s="429"/>
      <c r="G92" s="429"/>
      <c r="H92" s="430"/>
      <c r="I92" s="434"/>
      <c r="J92" s="822"/>
      <c r="K92" s="489"/>
      <c r="L92" s="445"/>
      <c r="M92" s="446"/>
      <c r="N92" s="579"/>
      <c r="O92" s="582"/>
      <c r="P92" s="582"/>
      <c r="Q92" s="582"/>
      <c r="R92" s="583"/>
      <c r="S92" s="578"/>
      <c r="T92" s="578"/>
      <c r="U92" s="578"/>
      <c r="V92" s="578"/>
      <c r="W92" s="578"/>
      <c r="X92" s="578"/>
      <c r="Z92"/>
      <c r="AC92" s="3" t="s">
        <v>173</v>
      </c>
      <c r="AD92" s="3">
        <f>VLOOKUP(N93,Outils!$D$9:$E$10,2)</f>
        <v>1</v>
      </c>
      <c r="AE92" s="3" cm="1">
        <f t="array" ref="AE92">angleConvert2Decimal(O93)</f>
        <v>344.06333333333333</v>
      </c>
      <c r="AF92" s="3">
        <f>AD92*IF(AE92&lt;AE91,AE92+360,AE92)</f>
        <v>344.06333333333333</v>
      </c>
    </row>
    <row r="93" spans="1:32" ht="17.25" customHeight="1" outlineLevel="1" thickTop="1" thickBot="1">
      <c r="C93" s="821"/>
      <c r="D93" s="428"/>
      <c r="E93" s="429"/>
      <c r="F93" s="429"/>
      <c r="G93" s="429"/>
      <c r="H93" s="430"/>
      <c r="I93" s="434"/>
      <c r="J93" s="822"/>
      <c r="K93" s="678">
        <v>11</v>
      </c>
      <c r="L93" s="679"/>
      <c r="M93" s="680"/>
      <c r="N93" s="579" t="s">
        <v>5</v>
      </c>
      <c r="O93" s="580" t="s">
        <v>549</v>
      </c>
      <c r="P93" s="580"/>
      <c r="Q93" s="580"/>
      <c r="R93" s="581"/>
      <c r="S93" s="578" t="str" cm="1">
        <f t="array" ref="S93">angleDecimal2Txt((AF92))</f>
        <v>+344°03.79 (+344.0633) [+344°03'48.00]</v>
      </c>
      <c r="T93" s="578"/>
      <c r="U93" s="578"/>
      <c r="V93" s="578"/>
      <c r="W93" s="578"/>
      <c r="X93" s="578"/>
      <c r="Z93"/>
      <c r="AC93" s="3" t="s">
        <v>38</v>
      </c>
      <c r="AD93" s="5">
        <f>AF92-AF91</f>
        <v>14.998333333333335</v>
      </c>
    </row>
    <row r="94" spans="1:32" ht="17.25" customHeight="1" outlineLevel="1" thickTop="1" thickBot="1">
      <c r="C94" s="821"/>
      <c r="D94" s="414" t="e" cm="1">
        <f t="array" ref="D94">angleDecimal2Txt(D91)</f>
        <v>#VALUE!</v>
      </c>
      <c r="E94" s="414"/>
      <c r="F94" s="414"/>
      <c r="G94" s="414"/>
      <c r="H94" s="414"/>
      <c r="I94" s="695"/>
      <c r="J94" s="696"/>
      <c r="K94" s="489"/>
      <c r="L94" s="445"/>
      <c r="M94" s="446"/>
      <c r="N94" s="579"/>
      <c r="O94" s="582"/>
      <c r="P94" s="582"/>
      <c r="Q94" s="582"/>
      <c r="R94" s="583"/>
      <c r="S94" s="578"/>
      <c r="T94" s="578"/>
      <c r="U94" s="578"/>
      <c r="V94" s="578"/>
      <c r="W94" s="578"/>
      <c r="X94" s="578"/>
      <c r="Z94"/>
      <c r="AC94" s="3" t="s">
        <v>174</v>
      </c>
      <c r="AD94" s="5">
        <f>K93-K91</f>
        <v>1</v>
      </c>
      <c r="AE94" s="16"/>
    </row>
    <row r="95" spans="1:32" ht="17.25" customHeight="1" thickTop="1">
      <c r="F95" s="16"/>
      <c r="G95" s="16"/>
      <c r="Z95"/>
      <c r="AC95" s="3" t="s">
        <v>39</v>
      </c>
      <c r="AD95" s="5">
        <f>I91-K91</f>
        <v>-10</v>
      </c>
    </row>
    <row r="96" spans="1:32" ht="17.25" customHeight="1" outlineLevel="1">
      <c r="C96" s="825" t="s">
        <v>14</v>
      </c>
      <c r="D96" s="585" t="s">
        <v>416</v>
      </c>
      <c r="E96" s="585"/>
      <c r="F96" s="585"/>
      <c r="G96" s="585"/>
      <c r="H96" s="585"/>
      <c r="I96" s="826" t="s">
        <v>626</v>
      </c>
      <c r="J96" s="585"/>
      <c r="K96" s="449" t="s">
        <v>618</v>
      </c>
      <c r="L96" s="449"/>
      <c r="M96" s="450"/>
      <c r="N96" s="531" t="s">
        <v>16</v>
      </c>
      <c r="O96" s="532"/>
      <c r="P96" s="532"/>
      <c r="Q96" s="532"/>
      <c r="R96" s="533"/>
      <c r="S96" s="531" t="s">
        <v>94</v>
      </c>
      <c r="T96" s="532"/>
      <c r="U96" s="532"/>
      <c r="V96" s="532"/>
      <c r="W96" s="533"/>
      <c r="Z96"/>
      <c r="AA96" s="14"/>
      <c r="AC96" s="3" t="s">
        <v>268</v>
      </c>
      <c r="AD96" s="3">
        <f>IF(AF96&gt;360,AF96-360,AF96)</f>
        <v>179.08166666666665</v>
      </c>
      <c r="AE96" s="3" t="s">
        <v>37</v>
      </c>
      <c r="AF96" s="3">
        <f>(AF91+(AD93/AD94)*AD95)</f>
        <v>179.08166666666665</v>
      </c>
    </row>
    <row r="97" spans="1:66" ht="17.25" customHeight="1" outlineLevel="1">
      <c r="C97" s="825"/>
      <c r="D97" s="585"/>
      <c r="E97" s="585"/>
      <c r="F97" s="585"/>
      <c r="G97" s="585"/>
      <c r="H97" s="585"/>
      <c r="I97" s="585"/>
      <c r="J97" s="585"/>
      <c r="K97" s="452"/>
      <c r="L97" s="452"/>
      <c r="M97" s="453"/>
      <c r="N97" s="709"/>
      <c r="O97" s="535"/>
      <c r="P97" s="535"/>
      <c r="Q97" s="535"/>
      <c r="R97" s="536"/>
      <c r="S97" s="709"/>
      <c r="T97" s="760"/>
      <c r="U97" s="760"/>
      <c r="V97" s="760"/>
      <c r="W97" s="761"/>
      <c r="Z97"/>
      <c r="AA97" s="14"/>
    </row>
    <row r="98" spans="1:66" ht="17.25" customHeight="1" outlineLevel="1">
      <c r="C98" s="825"/>
      <c r="D98" s="584">
        <f>IF(G88=AD89,AF102,"---")</f>
        <v>180.03333333333333</v>
      </c>
      <c r="E98" s="584"/>
      <c r="F98" s="584"/>
      <c r="G98" s="584"/>
      <c r="H98" s="584"/>
      <c r="I98" s="579">
        <f>E39</f>
        <v>0</v>
      </c>
      <c r="J98" s="579"/>
      <c r="K98" s="443">
        <v>0</v>
      </c>
      <c r="L98" s="443"/>
      <c r="M98" s="444"/>
      <c r="N98" s="579" t="s">
        <v>5</v>
      </c>
      <c r="O98" s="480" t="s">
        <v>619</v>
      </c>
      <c r="P98" s="480"/>
      <c r="Q98" s="480"/>
      <c r="R98" s="480"/>
      <c r="S98" s="579" t="s">
        <v>5</v>
      </c>
      <c r="T98" s="708">
        <v>14.997999999999999</v>
      </c>
      <c r="U98" s="579"/>
      <c r="V98" s="579"/>
      <c r="W98" s="579"/>
      <c r="AA98" s="14"/>
      <c r="AC98" s="3" t="s">
        <v>175</v>
      </c>
      <c r="AD98" s="3">
        <f>VLOOKUP(N98,Outils!$D$9:$E$10,2)</f>
        <v>1</v>
      </c>
    </row>
    <row r="99" spans="1:66" ht="17.25" customHeight="1" outlineLevel="1" collapsed="1" thickBot="1">
      <c r="C99" s="825"/>
      <c r="D99" s="584"/>
      <c r="E99" s="584"/>
      <c r="F99" s="584"/>
      <c r="G99" s="584"/>
      <c r="H99" s="584"/>
      <c r="I99" s="579"/>
      <c r="J99" s="579"/>
      <c r="K99" s="445"/>
      <c r="L99" s="445"/>
      <c r="M99" s="446"/>
      <c r="N99" s="579"/>
      <c r="O99" s="668"/>
      <c r="P99" s="668"/>
      <c r="Q99" s="668"/>
      <c r="R99" s="668"/>
      <c r="S99" s="579"/>
      <c r="T99" s="579"/>
      <c r="U99" s="579"/>
      <c r="V99" s="579"/>
      <c r="W99" s="579"/>
      <c r="Z99" s="14"/>
      <c r="AA99" s="14"/>
      <c r="AC99" s="3" t="s">
        <v>176</v>
      </c>
      <c r="AD99" s="3" cm="1">
        <f t="array" ref="AD99">angleConvert2Decimal(O98)*AD98</f>
        <v>180.03333333333333</v>
      </c>
    </row>
    <row r="100" spans="1:66" ht="17.25" customHeight="1" outlineLevel="1" thickTop="1" thickBot="1">
      <c r="C100" s="825"/>
      <c r="D100" s="414" t="str" cm="1">
        <f t="array" ref="D100">angleDecimal2Txt(D98)</f>
        <v>+180°02.00 (+180.0333) [+180°02'00.00]</v>
      </c>
      <c r="E100" s="414"/>
      <c r="F100" s="414"/>
      <c r="G100" s="414"/>
      <c r="H100" s="414"/>
      <c r="I100" s="579"/>
      <c r="J100" s="579"/>
      <c r="K100" s="603" t="str" cm="1">
        <f t="array" ref="K100">heureDecimal2Txt(K98)</f>
        <v>00:00:00.00(00.0000)</v>
      </c>
      <c r="L100" s="603"/>
      <c r="M100" s="604"/>
      <c r="N100" s="509" t="str" cm="1">
        <f t="array" ref="N100">angleDecimal2Txt(AD99)</f>
        <v>+180°02.00 (+180.0333) [+180°02'00.00]</v>
      </c>
      <c r="O100" s="416"/>
      <c r="P100" s="416"/>
      <c r="Q100" s="416"/>
      <c r="R100" s="416"/>
      <c r="S100" s="509" t="str" cm="1">
        <f t="array" ref="S100">angleDecimal2Txt(AD101)</f>
        <v>+14°59.87 (+14.9979) [+14°59'52.79]</v>
      </c>
      <c r="T100" s="672"/>
      <c r="U100" s="672"/>
      <c r="V100" s="672"/>
      <c r="W100" s="672"/>
      <c r="Z100" s="14"/>
      <c r="AC100" s="3" t="s">
        <v>177</v>
      </c>
      <c r="AD100" s="3">
        <f>VLOOKUP(S98,Outils!$D$9:$E$10,2)</f>
        <v>1</v>
      </c>
    </row>
    <row r="101" spans="1:66" ht="17.25" customHeight="1" thickTop="1">
      <c r="A101" s="34" t="s">
        <v>544</v>
      </c>
      <c r="F101" s="16"/>
      <c r="G101" s="16"/>
      <c r="Z101" s="14"/>
      <c r="AC101" s="3" t="s">
        <v>178</v>
      </c>
      <c r="AD101" s="3" cm="1">
        <f t="array" ref="AD101">angleConvert2Decimal(T98)*AD100</f>
        <v>14.997999999999999</v>
      </c>
    </row>
    <row r="102" spans="1:66" ht="17.25" customHeight="1" outlineLevel="1">
      <c r="C102" s="605" t="s">
        <v>627</v>
      </c>
      <c r="D102" s="585" t="s">
        <v>416</v>
      </c>
      <c r="E102" s="585"/>
      <c r="F102" s="585"/>
      <c r="G102" s="585"/>
      <c r="H102" s="585"/>
      <c r="I102" s="454" t="s">
        <v>563</v>
      </c>
      <c r="J102" s="454"/>
      <c r="K102" s="454"/>
      <c r="L102" s="454"/>
      <c r="M102" s="454"/>
      <c r="AC102" s="3" t="s">
        <v>268</v>
      </c>
      <c r="AD102" s="3">
        <f>IF(AF102&gt;360,AF102-360,AF102)</f>
        <v>180.03333333333333</v>
      </c>
      <c r="AE102" s="3" t="s">
        <v>37</v>
      </c>
      <c r="AF102" s="3">
        <f>MOD(AD99+AD101*(I98-K98),360)</f>
        <v>180.03333333333333</v>
      </c>
    </row>
    <row r="103" spans="1:66" ht="17.25" customHeight="1" outlineLevel="1">
      <c r="C103" s="605"/>
      <c r="D103" s="585"/>
      <c r="E103" s="585"/>
      <c r="F103" s="585"/>
      <c r="G103" s="585"/>
      <c r="H103" s="585"/>
      <c r="I103" s="454"/>
      <c r="J103" s="454"/>
      <c r="K103" s="454"/>
      <c r="L103" s="454"/>
      <c r="M103" s="454"/>
      <c r="S103" s="14"/>
      <c r="T103" s="14"/>
      <c r="U103" s="14"/>
      <c r="V103" s="14"/>
      <c r="W103" s="14"/>
      <c r="X103" s="14"/>
      <c r="AC103" s="3"/>
      <c r="AD103" s="3"/>
    </row>
    <row r="104" spans="1:66" ht="17.25" customHeight="1" outlineLevel="1">
      <c r="C104" s="605"/>
      <c r="D104" s="584" t="str">
        <f>IF(G88=AD87,AD105,"---")</f>
        <v>---</v>
      </c>
      <c r="E104" s="584"/>
      <c r="F104" s="584"/>
      <c r="G104" s="584"/>
      <c r="H104" s="584"/>
      <c r="I104" s="579" t="s">
        <v>5</v>
      </c>
      <c r="J104" s="597" t="s">
        <v>624</v>
      </c>
      <c r="K104" s="597"/>
      <c r="L104" s="597"/>
      <c r="M104" s="597"/>
      <c r="S104" s="14"/>
      <c r="T104" s="14"/>
      <c r="U104" s="14"/>
      <c r="V104" s="14"/>
      <c r="W104" s="14"/>
      <c r="X104" s="14"/>
      <c r="AC104" s="3" t="s">
        <v>175</v>
      </c>
      <c r="AD104" s="3">
        <f>VLOOKUP(I104,Outils!$D$9:$E$10,2)</f>
        <v>1</v>
      </c>
    </row>
    <row r="105" spans="1:66" ht="17.25" customHeight="1" outlineLevel="1" thickBot="1">
      <c r="C105" s="605"/>
      <c r="D105" s="584"/>
      <c r="E105" s="584"/>
      <c r="F105" s="584"/>
      <c r="G105" s="584"/>
      <c r="H105" s="584"/>
      <c r="I105" s="579"/>
      <c r="J105" s="597"/>
      <c r="K105" s="597"/>
      <c r="L105" s="597"/>
      <c r="M105" s="597"/>
      <c r="S105" s="14"/>
      <c r="T105" s="14"/>
      <c r="U105" s="14"/>
      <c r="V105" s="14"/>
      <c r="W105" s="14"/>
      <c r="X105" s="14"/>
      <c r="AC105" s="3" t="s">
        <v>176</v>
      </c>
      <c r="AD105" s="3" cm="1">
        <f t="array" ref="AD105">angleConvert2Decimal(J104)*AD104</f>
        <v>306.29816666666665</v>
      </c>
    </row>
    <row r="106" spans="1:66" ht="17.25" customHeight="1" outlineLevel="1" thickTop="1" thickBot="1">
      <c r="C106" s="605"/>
      <c r="D106" s="414" t="str" cm="1">
        <f t="array" ref="D106">angleDecimal2Txt(AD105)</f>
        <v>+306°17.88 (+306.2981) [+306°17'53.39]</v>
      </c>
      <c r="E106" s="414"/>
      <c r="F106" s="414"/>
      <c r="G106" s="414"/>
      <c r="H106" s="414"/>
      <c r="I106"/>
      <c r="J106"/>
      <c r="K106"/>
      <c r="L106"/>
      <c r="M106"/>
      <c r="S106" s="14"/>
      <c r="T106" s="14"/>
      <c r="U106" s="14"/>
      <c r="V106" s="14"/>
      <c r="W106" s="14"/>
      <c r="X106" s="14"/>
      <c r="AC106" s="3"/>
      <c r="AD106" s="3"/>
    </row>
    <row r="107" spans="1:66" ht="17.25" customHeight="1" thickTop="1" thickBot="1">
      <c r="C107"/>
      <c r="D107"/>
      <c r="E107"/>
      <c r="F107" s="16"/>
      <c r="G107" s="16"/>
      <c r="I107"/>
      <c r="J107"/>
      <c r="K107"/>
      <c r="L107"/>
      <c r="M107"/>
      <c r="S107" s="14"/>
      <c r="T107" s="14"/>
      <c r="U107" s="14"/>
      <c r="V107" s="14"/>
      <c r="W107" s="14"/>
      <c r="X107" s="14"/>
    </row>
    <row r="108" spans="1:66" s="14" customFormat="1" ht="17.25" customHeight="1" thickBot="1">
      <c r="A108" s="16"/>
      <c r="B108" s="25" t="s">
        <v>43</v>
      </c>
      <c r="C108" s="75"/>
      <c r="D108" s="75"/>
      <c r="E108" s="75"/>
      <c r="F108" s="478">
        <f>I109</f>
        <v>243.03333333333333</v>
      </c>
      <c r="G108" s="478"/>
      <c r="H108" s="478"/>
      <c r="I108" s="26"/>
      <c r="J108" s="683" t="s">
        <v>55</v>
      </c>
      <c r="K108" s="683"/>
      <c r="L108" s="683"/>
      <c r="M108" s="447" t="str">
        <f>J23</f>
        <v>BordInf</v>
      </c>
      <c r="N108" s="447"/>
      <c r="O108" s="447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64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31"/>
    </row>
    <row r="109" spans="1:66" ht="17.25" customHeight="1" thickTop="1" thickBot="1">
      <c r="C109" s="665" t="s">
        <v>21</v>
      </c>
      <c r="D109" s="665"/>
      <c r="E109" s="665"/>
      <c r="F109" s="665"/>
      <c r="G109" s="665"/>
      <c r="H109" s="665"/>
      <c r="I109" s="812">
        <f>AD110</f>
        <v>243.03333333333333</v>
      </c>
      <c r="J109" s="812"/>
      <c r="K109" s="812"/>
      <c r="L109" s="813"/>
      <c r="M109" s="36" t="s">
        <v>45</v>
      </c>
      <c r="N109" s="471">
        <f>AD109</f>
        <v>243.03333333333333</v>
      </c>
      <c r="O109" s="471"/>
      <c r="P109" s="471"/>
      <c r="Q109" s="471"/>
      <c r="R109" s="751" t="str" cm="1">
        <f t="array" ref="R109">angleDecimal2Txt(AD110)</f>
        <v>+243°02.00 (+243.0333) [+243°02'00.00]</v>
      </c>
      <c r="S109" s="809"/>
      <c r="T109" s="809"/>
      <c r="U109" s="809"/>
      <c r="V109" s="809"/>
      <c r="W109" s="810"/>
      <c r="AC109" s="3" t="s">
        <v>181</v>
      </c>
      <c r="AD109" s="5">
        <f>F87+G34</f>
        <v>243.03333333333333</v>
      </c>
    </row>
    <row r="110" spans="1:66" ht="17.25" customHeight="1" thickTop="1" thickBot="1">
      <c r="A110" s="14"/>
      <c r="C110" s="14"/>
      <c r="D110" s="14"/>
      <c r="E110" s="14"/>
      <c r="F110" s="14"/>
      <c r="G110" s="14"/>
      <c r="H110" s="14"/>
      <c r="AB110" s="66"/>
      <c r="AC110" s="3" t="s">
        <v>182</v>
      </c>
      <c r="AD110" s="5" cm="1">
        <f t="array" ref="AD110">astroModuloEnDegre(AD109)</f>
        <v>243.03333333333333</v>
      </c>
    </row>
    <row r="111" spans="1:66" ht="17.25" customHeight="1" thickBot="1">
      <c r="B111" s="25" t="s">
        <v>23</v>
      </c>
      <c r="C111" s="26"/>
      <c r="D111" s="653" t="s">
        <v>72</v>
      </c>
      <c r="E111" s="654"/>
      <c r="F111" s="498">
        <f>IF(G112=AD112,O150,O140)</f>
        <v>19.87578743053388</v>
      </c>
      <c r="G111" s="498"/>
      <c r="H111" s="498"/>
      <c r="I111" s="26" t="str">
        <f>angleDecimal2Txt(F111,0)</f>
        <v>+19°52.54</v>
      </c>
      <c r="J111" s="26"/>
      <c r="K111" s="26"/>
      <c r="L111" s="26" t="s">
        <v>60</v>
      </c>
      <c r="M111" s="653">
        <f>O114</f>
        <v>18.916666666666668</v>
      </c>
      <c r="N111" s="653"/>
      <c r="O111" s="26"/>
      <c r="P111" s="60"/>
      <c r="Q111" s="26" t="s">
        <v>95</v>
      </c>
      <c r="R111" s="26"/>
      <c r="S111" s="674">
        <f>-O127+O122+O131</f>
        <v>1.0677207638672144</v>
      </c>
      <c r="T111" s="675"/>
      <c r="U111" s="676"/>
      <c r="V111" s="677" t="str" cm="1">
        <f t="array" ref="V111">angleDecimal2Txt(S111)</f>
        <v>+01°04.06 (+01.0677) [+01°04'03.79]</v>
      </c>
      <c r="W111" s="677"/>
      <c r="X111" s="677"/>
      <c r="Y111" s="677"/>
      <c r="Z111" s="677"/>
      <c r="AA111" s="26"/>
      <c r="AB111" s="64"/>
    </row>
    <row r="112" spans="1:66" ht="17.25" customHeight="1">
      <c r="C112" s="476" t="s">
        <v>35</v>
      </c>
      <c r="D112" s="476"/>
      <c r="E112" s="476"/>
      <c r="F112" s="476"/>
      <c r="G112" s="555" t="s">
        <v>51</v>
      </c>
      <c r="H112" s="555"/>
      <c r="I112" s="555"/>
      <c r="P112" s="16" t="s">
        <v>69</v>
      </c>
      <c r="V112" s="14"/>
      <c r="W112" s="14"/>
      <c r="X112" s="14"/>
      <c r="Y112" s="14"/>
      <c r="Z112" s="14"/>
      <c r="AC112" s="664" t="s">
        <v>36</v>
      </c>
      <c r="AD112" s="68" t="s">
        <v>50</v>
      </c>
    </row>
    <row r="113" spans="1:32" ht="17.25" customHeight="1" outlineLevel="1" thickBot="1">
      <c r="C113" s="33"/>
      <c r="D113" s="33"/>
      <c r="E113" s="33"/>
      <c r="F113" s="726" t="s">
        <v>62</v>
      </c>
      <c r="G113" s="726"/>
      <c r="H113" s="757"/>
      <c r="I113" s="757"/>
      <c r="J113" s="673">
        <f>IF(G112=AD112,"---",O140)</f>
        <v>19.87578743053388</v>
      </c>
      <c r="K113" s="673"/>
      <c r="L113" s="673"/>
      <c r="M113" s="97"/>
      <c r="N113" s="97"/>
      <c r="O113" s="97"/>
      <c r="P113" s="97"/>
      <c r="Q113" s="97"/>
      <c r="R113" s="97"/>
      <c r="S113" s="97"/>
      <c r="T113" s="97"/>
      <c r="U113" s="97"/>
      <c r="V113" s="98"/>
      <c r="W113" s="98"/>
      <c r="X113" s="98"/>
      <c r="Y113" s="98"/>
      <c r="Z113" s="98"/>
      <c r="AC113" s="664"/>
      <c r="AD113" s="68" t="s">
        <v>51</v>
      </c>
    </row>
    <row r="114" spans="1:32" ht="17.25" customHeight="1" outlineLevel="1" thickTop="1" thickBot="1">
      <c r="C114" s="16"/>
      <c r="D114" s="16"/>
      <c r="E114" s="16"/>
      <c r="F114" s="16"/>
      <c r="G114" s="16"/>
      <c r="H114" s="1193" t="s">
        <v>47</v>
      </c>
      <c r="I114" s="1193"/>
      <c r="J114" s="1193"/>
      <c r="K114" s="1193"/>
      <c r="L114" s="1193"/>
      <c r="M114" s="1193"/>
      <c r="N114" s="1193"/>
      <c r="O114" s="469">
        <f>J21</f>
        <v>18.916666666666668</v>
      </c>
      <c r="P114" s="469"/>
      <c r="Q114" s="469"/>
      <c r="R114" s="469"/>
      <c r="S114" s="16" t="s">
        <v>54</v>
      </c>
      <c r="U114" s="416" t="str" cm="1">
        <f t="array" ref="U114">angleDecimal2Txt(O114)</f>
        <v>+18°55.00 (+18.9166) [+18°55'00.00]</v>
      </c>
      <c r="V114" s="416"/>
      <c r="W114" s="416"/>
      <c r="X114" s="416"/>
      <c r="Y114" s="416"/>
      <c r="Z114" s="416"/>
    </row>
    <row r="115" spans="1:32" ht="17.25" customHeight="1" outlineLevel="1" thickTop="1" thickBot="1">
      <c r="C115" s="16"/>
      <c r="D115" s="16"/>
      <c r="E115" s="16"/>
      <c r="F115" s="16"/>
      <c r="G115" s="16"/>
      <c r="H115" s="1193" t="s">
        <v>24</v>
      </c>
      <c r="I115" s="1193"/>
      <c r="J115" s="1193"/>
      <c r="K115" s="1193"/>
      <c r="L115" s="1193"/>
      <c r="M115" s="1193"/>
      <c r="N115" s="1193"/>
      <c r="O115" s="469">
        <f>J20</f>
        <v>0.05</v>
      </c>
      <c r="P115" s="469"/>
      <c r="Q115" s="469"/>
      <c r="R115" s="469"/>
      <c r="S115" s="16" t="s">
        <v>54</v>
      </c>
      <c r="U115" s="416" t="str" cm="1">
        <f t="array" ref="U115">angleDecimal2Txt(O115)</f>
        <v>+00°03.00 (+00.0500) [+00°03'00.00]</v>
      </c>
      <c r="V115" s="416"/>
      <c r="W115" s="416"/>
      <c r="X115" s="416"/>
      <c r="Y115" s="416"/>
      <c r="Z115" s="416"/>
      <c r="AC115" s="3" t="s">
        <v>59</v>
      </c>
      <c r="AD115" s="5">
        <f>O115</f>
        <v>0.05</v>
      </c>
    </row>
    <row r="116" spans="1:32" ht="17.25" customHeight="1" outlineLevel="1" thickTop="1" thickBot="1">
      <c r="G116" s="16"/>
      <c r="H116" s="1191" t="s">
        <v>68</v>
      </c>
      <c r="I116" s="1191"/>
      <c r="J116" s="1191"/>
      <c r="K116" s="1191"/>
      <c r="L116" s="1191"/>
      <c r="M116" s="1191"/>
      <c r="N116" s="1191"/>
      <c r="O116" s="602">
        <f>AD117</f>
        <v>5.8599999999999999E-2</v>
      </c>
      <c r="P116" s="602"/>
      <c r="Q116" s="602"/>
      <c r="R116" s="602"/>
      <c r="S116" s="16" t="s">
        <v>54</v>
      </c>
      <c r="U116" s="416" t="str" cm="1">
        <f t="array" ref="U116">angleDecimal2Txt(O116)</f>
        <v>+00°03.51 (+00.0586) [+00°03'30.96]</v>
      </c>
      <c r="V116" s="416"/>
      <c r="W116" s="416"/>
      <c r="X116" s="416"/>
      <c r="Y116" s="416"/>
      <c r="Z116" s="416"/>
      <c r="AC116" s="3" t="s">
        <v>46</v>
      </c>
      <c r="AD116" s="3">
        <f>M19</f>
        <v>4</v>
      </c>
    </row>
    <row r="117" spans="1:32" ht="17.25" customHeight="1" outlineLevel="1" thickTop="1" thickBot="1">
      <c r="K117" s="14"/>
      <c r="L117" s="14"/>
      <c r="M117" s="865" t="s">
        <v>113</v>
      </c>
      <c r="N117" s="865"/>
      <c r="O117" s="865"/>
      <c r="P117" s="865"/>
      <c r="Q117" s="14"/>
      <c r="R117" s="14"/>
      <c r="U117" s="14"/>
      <c r="V117" s="14"/>
      <c r="W117" s="14"/>
      <c r="X117" s="14"/>
      <c r="Y117" s="14"/>
      <c r="Z117" s="14"/>
      <c r="AC117" s="72" t="s">
        <v>67</v>
      </c>
      <c r="AD117" s="3">
        <f>0.0293 * SQRT(AD116)</f>
        <v>5.8599999999999999E-2</v>
      </c>
    </row>
    <row r="118" spans="1:32" ht="17.25" customHeight="1" outlineLevel="1" thickTop="1" thickBot="1">
      <c r="G118" s="16"/>
      <c r="H118" s="1192" t="s">
        <v>48</v>
      </c>
      <c r="I118" s="1192"/>
      <c r="J118" s="1192"/>
      <c r="K118" s="1192"/>
      <c r="L118" s="1192"/>
      <c r="M118" s="1192"/>
      <c r="N118" s="1192"/>
      <c r="O118" s="472">
        <f>O114-O115-O116</f>
        <v>18.808066666666669</v>
      </c>
      <c r="P118" s="473"/>
      <c r="Q118" s="16" t="s">
        <v>54</v>
      </c>
      <c r="R118" s="689">
        <f>O118*Outils!F4</f>
        <v>0.32826268926792818</v>
      </c>
      <c r="S118" s="689"/>
      <c r="T118" s="37" t="s">
        <v>64</v>
      </c>
      <c r="U118" s="416" t="str" cm="1">
        <f t="array" ref="U118">angleDecimal2Txt(O118)</f>
        <v>+18°48.48 (+18.8080) [+18°48'29.04]</v>
      </c>
      <c r="V118" s="416"/>
      <c r="W118" s="416"/>
      <c r="X118" s="416"/>
      <c r="Y118" s="416"/>
      <c r="Z118" s="416"/>
    </row>
    <row r="119" spans="1:32" ht="17.25" customHeight="1" outlineLevel="1" thickTop="1">
      <c r="C119" s="16"/>
      <c r="D119" s="16"/>
      <c r="E119" s="16"/>
      <c r="F119" s="16"/>
      <c r="G119" s="16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U119" s="14"/>
      <c r="V119" s="14"/>
      <c r="W119" s="14"/>
      <c r="X119" s="14"/>
      <c r="Y119" s="14"/>
      <c r="Z119" s="14"/>
    </row>
    <row r="120" spans="1:32" ht="17.25" customHeight="1" outlineLevel="1" thickBot="1">
      <c r="G120" s="16"/>
      <c r="H120" s="14"/>
      <c r="I120" s="14"/>
      <c r="J120" s="14"/>
      <c r="K120" s="14"/>
      <c r="L120" s="14"/>
      <c r="M120" s="1194" t="s">
        <v>662</v>
      </c>
      <c r="N120" s="1194"/>
      <c r="O120" s="1194"/>
      <c r="P120" s="1194"/>
      <c r="Q120" s="14"/>
      <c r="R120" s="14"/>
      <c r="U120" s="14"/>
      <c r="V120" s="14"/>
      <c r="W120" s="14"/>
      <c r="X120" s="14"/>
      <c r="Y120" s="14"/>
      <c r="Z120" s="14"/>
    </row>
    <row r="121" spans="1:32" ht="17.25" customHeight="1" outlineLevel="1" thickTop="1" thickBot="1">
      <c r="A121" s="14"/>
      <c r="B121" s="14"/>
      <c r="C121" s="14"/>
      <c r="D121" s="14"/>
      <c r="E121" s="14"/>
      <c r="F121" s="16"/>
      <c r="G121" s="16"/>
      <c r="H121" s="602" t="s">
        <v>52</v>
      </c>
      <c r="I121" s="602"/>
      <c r="J121" s="602"/>
      <c r="K121" s="602"/>
      <c r="L121" s="602"/>
      <c r="M121" s="602"/>
      <c r="N121" s="602"/>
      <c r="O121" s="474">
        <f>IF(OR(F58&lt;0.89,F58&gt;1.1),J24,F58)</f>
        <v>0.91509305555555531</v>
      </c>
      <c r="P121" s="475"/>
      <c r="Q121" s="475"/>
      <c r="R121" s="475"/>
      <c r="S121" s="16" t="s">
        <v>54</v>
      </c>
      <c r="U121" s="416" t="str" cm="1">
        <f t="array" ref="U121">angleDecimal2Txt(O121)</f>
        <v>+00°54.90 (+00.9150) [+00°54'54.33]</v>
      </c>
      <c r="V121" s="416"/>
      <c r="W121" s="416"/>
      <c r="X121" s="416"/>
      <c r="Y121" s="416"/>
      <c r="Z121" s="416"/>
      <c r="AC121" s="3" t="s">
        <v>313</v>
      </c>
      <c r="AD121" s="3">
        <f>ASIN(SIN(O121*Outils!F4)*COS(R118))*Outils!F5</f>
        <v>0.86622680782315009</v>
      </c>
      <c r="AF121">
        <f>ASIN(SIN(O121*Outils!F4)*COS(R118))*Outils!F5</f>
        <v>0.86622680782315009</v>
      </c>
    </row>
    <row r="122" spans="1:32" ht="17.25" customHeight="1" outlineLevel="1" thickTop="1" thickBot="1">
      <c r="A122" s="14"/>
      <c r="B122" s="14"/>
      <c r="C122" s="14"/>
      <c r="D122" s="14"/>
      <c r="E122" s="14"/>
      <c r="F122" s="16"/>
      <c r="G122" s="16"/>
      <c r="H122" s="663" t="s">
        <v>140</v>
      </c>
      <c r="I122" s="461"/>
      <c r="J122" s="461"/>
      <c r="K122" s="461"/>
      <c r="L122" s="461"/>
      <c r="M122" s="461"/>
      <c r="N122" s="462"/>
      <c r="O122" s="440">
        <f>AF121</f>
        <v>0.86622680782315009</v>
      </c>
      <c r="P122" s="440"/>
      <c r="Q122" s="440"/>
      <c r="R122" s="440"/>
      <c r="S122" s="16" t="s">
        <v>54</v>
      </c>
      <c r="U122" s="416" t="str" cm="1">
        <f t="array" ref="U122">angleDecimal2Txt(O122)</f>
        <v>+00°51.97 (+00.8662) [+00°51'58.41]</v>
      </c>
      <c r="V122" s="416"/>
      <c r="W122" s="416"/>
      <c r="X122" s="416"/>
      <c r="Y122" s="416"/>
      <c r="Z122" s="416"/>
      <c r="AC122" s="11" t="s">
        <v>709</v>
      </c>
    </row>
    <row r="123" spans="1:32" ht="17.25" customHeight="1" outlineLevel="1" thickTop="1">
      <c r="A123" s="14"/>
      <c r="B123" s="14"/>
      <c r="C123" s="14"/>
      <c r="D123" s="14"/>
      <c r="E123" s="14"/>
      <c r="F123" s="16"/>
      <c r="G123" s="16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32" ht="17.25" customHeight="1" outlineLevel="1">
      <c r="A124" s="14"/>
      <c r="B124" s="14"/>
      <c r="C124" s="14"/>
      <c r="D124" s="14"/>
      <c r="F124" s="16"/>
      <c r="G124" s="16"/>
      <c r="H124" s="14"/>
      <c r="I124" s="14"/>
      <c r="J124" s="14"/>
      <c r="K124" s="14"/>
      <c r="L124" s="14"/>
      <c r="M124" s="14"/>
      <c r="N124" s="14"/>
      <c r="O124" s="14"/>
      <c r="S124" s="510" t="s">
        <v>126</v>
      </c>
      <c r="T124" s="511"/>
      <c r="U124" s="512"/>
      <c r="Y124" s="14"/>
      <c r="Z124" s="14"/>
      <c r="AC124" s="3" t="s">
        <v>49</v>
      </c>
      <c r="AD124" s="3" t="s">
        <v>185</v>
      </c>
    </row>
    <row r="125" spans="1:32" ht="17.25" customHeight="1" outlineLevel="1">
      <c r="A125" s="14"/>
      <c r="B125" s="14"/>
      <c r="C125" s="14"/>
      <c r="D125" s="14"/>
      <c r="F125" s="16"/>
      <c r="G125" s="16"/>
      <c r="H125" s="602" t="s">
        <v>65</v>
      </c>
      <c r="I125" s="602"/>
      <c r="J125" s="602"/>
      <c r="K125" s="602"/>
      <c r="L125" s="602"/>
      <c r="M125" s="602"/>
      <c r="N125" s="602"/>
      <c r="O125" s="661">
        <f>S125</f>
        <v>10</v>
      </c>
      <c r="P125" s="662"/>
      <c r="Q125" s="662"/>
      <c r="R125" s="662"/>
      <c r="S125" s="655">
        <v>10</v>
      </c>
      <c r="T125" s="656"/>
      <c r="U125" s="657"/>
      <c r="Y125" s="14"/>
      <c r="Z125" s="14"/>
      <c r="AC125" s="3" t="s">
        <v>186</v>
      </c>
      <c r="AD125" s="3">
        <f>1/TAN((O118 + 7.31 / (O118 + 4.4)) * Outils!F4)</f>
        <v>2.8840758535070163</v>
      </c>
    </row>
    <row r="126" spans="1:32" ht="17.25" customHeight="1" outlineLevel="1" thickBot="1">
      <c r="A126" s="14"/>
      <c r="B126" s="14"/>
      <c r="C126" s="14"/>
      <c r="D126" s="14"/>
      <c r="E126" s="14"/>
      <c r="F126" s="16"/>
      <c r="G126" s="16"/>
      <c r="H126" s="602" t="s">
        <v>66</v>
      </c>
      <c r="I126" s="602"/>
      <c r="J126" s="602"/>
      <c r="K126" s="602"/>
      <c r="L126" s="602"/>
      <c r="M126" s="602"/>
      <c r="N126" s="602"/>
      <c r="O126" s="661">
        <f>S126</f>
        <v>1010</v>
      </c>
      <c r="P126" s="662"/>
      <c r="Q126" s="662"/>
      <c r="R126" s="662"/>
      <c r="S126" s="655">
        <v>1010</v>
      </c>
      <c r="T126" s="656"/>
      <c r="U126" s="657"/>
      <c r="Y126" s="14"/>
      <c r="Z126" s="14"/>
      <c r="AC126" s="3" t="s">
        <v>187</v>
      </c>
      <c r="AD126" s="3">
        <f>AD125/60</f>
        <v>4.8067930891783607E-2</v>
      </c>
    </row>
    <row r="127" spans="1:32" ht="17.25" customHeight="1" outlineLevel="1" thickTop="1" thickBot="1">
      <c r="A127" s="14"/>
      <c r="B127" s="14"/>
      <c r="C127" s="14"/>
      <c r="D127" s="14"/>
      <c r="E127" s="14"/>
      <c r="F127" s="16"/>
      <c r="G127" s="16"/>
      <c r="H127" s="663" t="s">
        <v>141</v>
      </c>
      <c r="I127" s="461"/>
      <c r="J127" s="461"/>
      <c r="K127" s="461"/>
      <c r="L127" s="461"/>
      <c r="M127" s="461"/>
      <c r="N127" s="462"/>
      <c r="O127" s="440">
        <f>AD128</f>
        <v>4.8033960622602137E-2</v>
      </c>
      <c r="P127" s="440"/>
      <c r="Q127" s="440"/>
      <c r="R127" s="440"/>
      <c r="S127" s="16" t="s">
        <v>54</v>
      </c>
      <c r="U127" s="416" t="str" cm="1">
        <f t="array" ref="U127">angleDecimal2Txt(O127)</f>
        <v>+00°02.88 (+00.0480) [+00°02'52.92]</v>
      </c>
      <c r="V127" s="416"/>
      <c r="W127" s="416"/>
      <c r="X127" s="416"/>
      <c r="Y127" s="416"/>
      <c r="Z127" s="416"/>
      <c r="AC127" s="3" t="s">
        <v>96</v>
      </c>
      <c r="AD127" s="3">
        <f xml:space="preserve"> 0.28 * O126 / (273 + O125)</f>
        <v>0.99929328621908131</v>
      </c>
    </row>
    <row r="128" spans="1:32" ht="17.25" customHeight="1" outlineLevel="1" thickTop="1">
      <c r="A128" s="14"/>
      <c r="B128" s="14"/>
      <c r="C128" s="14"/>
      <c r="D128" s="14"/>
      <c r="E128" s="14"/>
      <c r="F128" s="16"/>
      <c r="G128" s="16"/>
      <c r="H128" s="14"/>
      <c r="I128" s="14"/>
      <c r="J128" s="14"/>
      <c r="K128" s="14"/>
      <c r="L128" s="14"/>
      <c r="M128" s="14"/>
      <c r="N128" s="14"/>
      <c r="O128" s="14"/>
      <c r="Y128" s="14"/>
      <c r="Z128" s="14"/>
      <c r="AC128" s="3" t="s">
        <v>184</v>
      </c>
      <c r="AD128" s="3">
        <f>AD127*AD126</f>
        <v>4.8033960622602137E-2</v>
      </c>
    </row>
    <row r="129" spans="1:31" ht="17.25" customHeight="1" outlineLevel="1">
      <c r="A129" s="14"/>
      <c r="B129" s="14"/>
      <c r="C129" s="14"/>
      <c r="D129" s="14"/>
      <c r="E129" s="14"/>
      <c r="F129" s="16"/>
      <c r="G129" s="16"/>
      <c r="H129" s="602" t="s">
        <v>100</v>
      </c>
      <c r="I129" s="602"/>
      <c r="J129" s="602"/>
      <c r="K129" s="602"/>
      <c r="L129" s="602"/>
      <c r="M129" s="602"/>
      <c r="N129" s="602"/>
      <c r="O129" s="692">
        <f>IF(OR(F58&lt;0.89,F58&gt;1.1),J26,T58)</f>
        <v>0.4990558333333332</v>
      </c>
      <c r="P129" s="692"/>
      <c r="Q129" s="692"/>
      <c r="R129" s="692"/>
    </row>
    <row r="130" spans="1:31" ht="17.25" customHeight="1" outlineLevel="1" thickBot="1">
      <c r="B130" s="14"/>
      <c r="C130" s="14"/>
      <c r="D130" s="14"/>
      <c r="H130" s="602" t="s">
        <v>70</v>
      </c>
      <c r="I130" s="602"/>
      <c r="J130" s="602"/>
      <c r="K130" s="602"/>
      <c r="L130" s="602"/>
      <c r="M130" s="602"/>
      <c r="N130" s="602"/>
      <c r="O130" s="692" t="str">
        <f>J23</f>
        <v>BordInf</v>
      </c>
      <c r="P130" s="692"/>
      <c r="Q130" s="692"/>
      <c r="R130" s="692"/>
      <c r="AC130" s="3" t="s">
        <v>30</v>
      </c>
      <c r="AD130" s="413" t="str">
        <f>J22</f>
        <v>Lune</v>
      </c>
      <c r="AE130" s="413"/>
    </row>
    <row r="131" spans="1:31" ht="17.25" customHeight="1" outlineLevel="1" thickTop="1" thickBot="1">
      <c r="H131" s="1198" t="s">
        <v>71</v>
      </c>
      <c r="I131" s="1199"/>
      <c r="J131" s="1199"/>
      <c r="K131" s="1199"/>
      <c r="L131" s="1199"/>
      <c r="M131" s="1199"/>
      <c r="N131" s="1200"/>
      <c r="O131" s="471">
        <f>AD134</f>
        <v>0.24952791666666649</v>
      </c>
      <c r="P131" s="471"/>
      <c r="Q131" s="471"/>
      <c r="R131" s="471"/>
      <c r="S131" s="16" t="s">
        <v>54</v>
      </c>
      <c r="U131" s="416" t="str" cm="1">
        <f t="array" ref="U131">angleDecimal2Txt(O131)</f>
        <v>+00°14.97 (+00.2495) [+00°14'58.30]</v>
      </c>
      <c r="V131" s="416"/>
      <c r="W131" s="416"/>
      <c r="X131" s="416"/>
      <c r="Y131" s="416"/>
      <c r="Z131" s="416"/>
      <c r="AC131" s="3" t="s">
        <v>190</v>
      </c>
      <c r="AD131" s="413" t="str">
        <f>O130</f>
        <v>BordInf</v>
      </c>
      <c r="AE131" s="413"/>
    </row>
    <row r="132" spans="1:31" ht="17.25" customHeight="1" outlineLevel="1" thickTop="1"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C132" s="3" t="s">
        <v>191</v>
      </c>
      <c r="AD132" s="652">
        <f>HLOOKUP(AD131,AD25:AF26,2)</f>
        <v>0.5</v>
      </c>
      <c r="AE132" s="652"/>
    </row>
    <row r="133" spans="1:31" ht="17.25" customHeight="1" outlineLevel="1">
      <c r="G133" s="740" t="s">
        <v>107</v>
      </c>
      <c r="H133" s="741"/>
      <c r="I133" s="741"/>
      <c r="J133" s="741"/>
      <c r="K133" s="741"/>
      <c r="L133" s="741"/>
      <c r="M133" s="741"/>
      <c r="N133" s="741"/>
      <c r="O133" s="741"/>
      <c r="P133" s="741"/>
      <c r="Q133" s="741"/>
      <c r="R133" s="741"/>
      <c r="S133" s="742"/>
      <c r="T133" s="14"/>
      <c r="U133" s="14"/>
      <c r="V133" s="14"/>
      <c r="W133" s="14"/>
      <c r="X133" s="14"/>
      <c r="Y133" s="14"/>
      <c r="Z133" s="14"/>
      <c r="AC133" s="3" t="s">
        <v>100</v>
      </c>
      <c r="AD133" s="5">
        <f>O129</f>
        <v>0.4990558333333332</v>
      </c>
      <c r="AE133" s="3" cm="1">
        <f t="array" ref="AE133">angleConvert2Decimal(AD133)</f>
        <v>0.49905583333333298</v>
      </c>
    </row>
    <row r="134" spans="1:31" ht="17.25" customHeight="1" outlineLevel="1">
      <c r="G134" s="693" t="s">
        <v>115</v>
      </c>
      <c r="H134" s="694"/>
      <c r="I134" s="737" t="s">
        <v>110</v>
      </c>
      <c r="J134" s="738"/>
      <c r="K134" s="738"/>
      <c r="L134" s="738"/>
      <c r="M134" s="738"/>
      <c r="N134" s="739"/>
      <c r="O134" s="743">
        <f>(O122-O127-O116+O129/2) * 60</f>
        <v>60.547245832032878</v>
      </c>
      <c r="P134" s="735"/>
      <c r="Q134" s="735"/>
      <c r="R134" s="735"/>
      <c r="S134" s="690" t="s">
        <v>108</v>
      </c>
      <c r="T134" s="14"/>
      <c r="U134" s="14"/>
      <c r="V134" s="14"/>
      <c r="W134" s="14"/>
      <c r="X134" s="14"/>
      <c r="Y134" s="14"/>
      <c r="Z134" s="14"/>
      <c r="AC134" s="3" t="s">
        <v>191</v>
      </c>
      <c r="AD134" s="652">
        <f>AE133*AD132</f>
        <v>0.24952791666666649</v>
      </c>
      <c r="AE134" s="652"/>
    </row>
    <row r="135" spans="1:31" ht="17.25" customHeight="1" outlineLevel="1">
      <c r="G135" s="695"/>
      <c r="H135" s="696"/>
      <c r="I135" s="1195" t="s">
        <v>114</v>
      </c>
      <c r="J135" s="1196"/>
      <c r="K135" s="1196"/>
      <c r="L135" s="1196"/>
      <c r="M135" s="1196"/>
      <c r="N135" s="1197"/>
      <c r="O135" s="744"/>
      <c r="P135" s="736"/>
      <c r="Q135" s="736"/>
      <c r="R135" s="736"/>
      <c r="S135" s="691"/>
      <c r="T135" s="14"/>
      <c r="U135" s="14"/>
      <c r="V135" s="14"/>
      <c r="W135" s="14"/>
      <c r="X135" s="14"/>
      <c r="Y135" s="14"/>
      <c r="Z135" s="14"/>
    </row>
    <row r="136" spans="1:31" ht="17.25" customHeight="1" outlineLevel="1">
      <c r="H136" s="14"/>
      <c r="I136" s="737" t="s">
        <v>111</v>
      </c>
      <c r="J136" s="738"/>
      <c r="K136" s="738"/>
      <c r="L136" s="738"/>
      <c r="M136" s="738"/>
      <c r="N136" s="739"/>
      <c r="O136" s="735">
        <f>(O122-O127+O129/2)*60</f>
        <v>64.063245832032877</v>
      </c>
      <c r="P136" s="735"/>
      <c r="Q136" s="735"/>
      <c r="R136" s="735"/>
      <c r="S136" s="690" t="s">
        <v>108</v>
      </c>
      <c r="T136" s="14"/>
      <c r="U136" s="14"/>
      <c r="V136" s="14"/>
      <c r="W136" s="14"/>
      <c r="X136" s="14"/>
      <c r="Y136" s="14"/>
      <c r="Z136" s="14"/>
    </row>
    <row r="137" spans="1:31" ht="17.25" customHeight="1" outlineLevel="1">
      <c r="H137" s="14"/>
      <c r="I137" s="748" t="s">
        <v>112</v>
      </c>
      <c r="J137" s="749"/>
      <c r="K137" s="749"/>
      <c r="L137" s="749"/>
      <c r="M137" s="749"/>
      <c r="N137" s="750"/>
      <c r="O137" s="736"/>
      <c r="P137" s="736"/>
      <c r="Q137" s="736"/>
      <c r="R137" s="736"/>
      <c r="S137" s="691"/>
      <c r="T137" s="14"/>
      <c r="U137" s="14"/>
      <c r="V137" s="14"/>
      <c r="W137" s="14"/>
      <c r="X137" s="14"/>
      <c r="Y137" s="14"/>
      <c r="Z137" s="14"/>
    </row>
    <row r="138" spans="1:31" ht="17.25" customHeight="1" outlineLevel="1">
      <c r="H138" s="14"/>
      <c r="I138" s="1201" t="s">
        <v>71</v>
      </c>
      <c r="J138" s="1201"/>
      <c r="K138" s="1201"/>
      <c r="L138" s="1201"/>
      <c r="M138" s="1201"/>
      <c r="N138" s="1201"/>
      <c r="O138" s="727">
        <f>O131*60</f>
        <v>14.971674999999989</v>
      </c>
      <c r="P138" s="728"/>
      <c r="Q138" s="728"/>
      <c r="R138" s="728"/>
      <c r="S138" s="73" t="s">
        <v>108</v>
      </c>
      <c r="T138" s="14"/>
      <c r="U138" s="14"/>
      <c r="V138" s="14"/>
      <c r="W138" s="14"/>
      <c r="X138" s="14"/>
      <c r="Y138" s="14"/>
      <c r="Z138" s="14"/>
    </row>
    <row r="139" spans="1:31" ht="17.25" customHeight="1" outlineLevel="1" thickBot="1"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</row>
    <row r="140" spans="1:31" ht="17.25" customHeight="1" outlineLevel="1" thickTop="1" thickBot="1">
      <c r="H140" s="745" t="s">
        <v>142</v>
      </c>
      <c r="I140" s="746"/>
      <c r="J140" s="746"/>
      <c r="K140" s="746"/>
      <c r="L140" s="746"/>
      <c r="M140" s="746"/>
      <c r="N140" s="747"/>
      <c r="O140" s="473">
        <f>O118-O127+O122+O131</f>
        <v>19.87578743053388</v>
      </c>
      <c r="P140" s="440"/>
      <c r="Q140" s="440"/>
      <c r="R140" s="440"/>
      <c r="S140" s="16" t="s">
        <v>54</v>
      </c>
      <c r="U140" s="416" t="str" cm="1">
        <f t="array" ref="U140">angleDecimal2Txt(O140)</f>
        <v>+19°52.54 (+19.8757) [+19°52'32.83]</v>
      </c>
      <c r="V140" s="416"/>
      <c r="W140" s="416"/>
      <c r="X140" s="416"/>
      <c r="Y140" s="416"/>
      <c r="Z140" s="416"/>
    </row>
    <row r="141" spans="1:31" ht="17.25" customHeight="1" outlineLevel="1" thickTop="1"/>
    <row r="142" spans="1:31" ht="17.25" customHeight="1" outlineLevel="1">
      <c r="F142" s="726" t="s">
        <v>63</v>
      </c>
      <c r="G142" s="726"/>
      <c r="H142" s="726"/>
      <c r="I142" s="726"/>
      <c r="J142" s="440" t="str">
        <f>IF(G112=AD112,O150,"---")</f>
        <v>---</v>
      </c>
      <c r="K142" s="440"/>
      <c r="L142" s="440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</row>
    <row r="143" spans="1:31" ht="17.25" customHeight="1" outlineLevel="1">
      <c r="F143"/>
      <c r="G143"/>
      <c r="H143"/>
      <c r="I143"/>
      <c r="J143"/>
      <c r="K143"/>
      <c r="L143"/>
    </row>
    <row r="144" spans="1:31" ht="17.25" customHeight="1" outlineLevel="1">
      <c r="F144"/>
      <c r="G144"/>
      <c r="H144"/>
      <c r="I144"/>
      <c r="J144"/>
      <c r="K144"/>
      <c r="L144"/>
      <c r="T144" s="100" t="s">
        <v>82</v>
      </c>
      <c r="U144" s="435" t="s">
        <v>33</v>
      </c>
      <c r="V144" s="435"/>
    </row>
    <row r="145" spans="2:29" ht="17.25" customHeight="1" outlineLevel="1">
      <c r="T145" s="101" t="s">
        <v>78</v>
      </c>
      <c r="U145" s="435" t="s">
        <v>80</v>
      </c>
      <c r="V145" s="435"/>
    </row>
    <row r="146" spans="2:29" ht="17.25" customHeight="1" outlineLevel="1">
      <c r="H146" s="16" t="s">
        <v>72</v>
      </c>
      <c r="I146" s="40" t="s">
        <v>74</v>
      </c>
      <c r="J146" s="16" t="s">
        <v>60</v>
      </c>
      <c r="K146" s="437" t="s">
        <v>75</v>
      </c>
      <c r="L146" s="16" t="s">
        <v>59</v>
      </c>
      <c r="N146" s="437" t="s">
        <v>77</v>
      </c>
      <c r="O146" s="40" t="s">
        <v>231</v>
      </c>
      <c r="Q146" s="437" t="s">
        <v>77</v>
      </c>
      <c r="R146" s="16" t="s">
        <v>232</v>
      </c>
      <c r="T146" s="99" t="s">
        <v>79</v>
      </c>
      <c r="U146" s="436" t="s">
        <v>81</v>
      </c>
      <c r="V146" s="436"/>
      <c r="Z146"/>
      <c r="AA146"/>
    </row>
    <row r="147" spans="2:29" ht="17.25" customHeight="1" outlineLevel="1" thickBot="1">
      <c r="I147" s="40"/>
      <c r="J147" s="42">
        <f>O114</f>
        <v>18.916666666666668</v>
      </c>
      <c r="K147" s="437"/>
      <c r="L147" s="729">
        <f>O115</f>
        <v>0.05</v>
      </c>
      <c r="M147" s="730"/>
      <c r="N147" s="437"/>
      <c r="O147" s="733" t="s">
        <v>146</v>
      </c>
      <c r="P147" s="734"/>
      <c r="Q147" s="437"/>
      <c r="R147" s="102" t="s">
        <v>79</v>
      </c>
      <c r="V147"/>
      <c r="W147"/>
      <c r="X147"/>
      <c r="Y147"/>
      <c r="Z147"/>
      <c r="AA147"/>
    </row>
    <row r="148" spans="2:29" ht="17.25" customHeight="1" outlineLevel="1" thickTop="1" thickBot="1">
      <c r="I148" s="40"/>
      <c r="J148"/>
      <c r="K148" s="40" t="s">
        <v>230</v>
      </c>
      <c r="L148" s="731" cm="1">
        <f t="array" ref="L148">angleConvert2Decimal(L147)</f>
        <v>0.05</v>
      </c>
      <c r="M148" s="732"/>
      <c r="O148" s="687" cm="1">
        <f t="array" ref="O148">angleConvert2Decimal(O147)</f>
        <v>0.17166666666666669</v>
      </c>
      <c r="P148" s="688"/>
      <c r="Q148" s="11"/>
      <c r="R148" s="93" cm="1">
        <f t="array" ref="R148">angleConvert2Decimal(R147)</f>
        <v>-0.53333333333333333</v>
      </c>
      <c r="S148"/>
      <c r="T148" s="7" t="s">
        <v>103</v>
      </c>
      <c r="U148" s="7"/>
      <c r="V148" s="7">
        <f>R148+O148</f>
        <v>-0.36166666666666664</v>
      </c>
      <c r="W148" s="751" t="str" cm="1">
        <f t="array" ref="W148">angleDecimal2Txt(V148)</f>
        <v>-00°21.69 (-00.3616) [-00°21'42.00]</v>
      </c>
      <c r="X148" s="752"/>
      <c r="Y148" s="752"/>
      <c r="Z148" s="752"/>
      <c r="AA148" s="438"/>
    </row>
    <row r="149" spans="2:29" ht="17.25" customHeight="1" outlineLevel="1" thickTop="1" thickBot="1">
      <c r="I149" s="40"/>
      <c r="K149" s="40"/>
      <c r="N149" s="40"/>
      <c r="Q149" s="40"/>
      <c r="R149" s="45"/>
    </row>
    <row r="150" spans="2:29" ht="17.25" customHeight="1" outlineLevel="1" thickTop="1" thickBot="1">
      <c r="H150" s="745" t="s">
        <v>145</v>
      </c>
      <c r="I150" s="746"/>
      <c r="J150" s="746"/>
      <c r="K150" s="746"/>
      <c r="L150" s="746"/>
      <c r="M150" s="746"/>
      <c r="N150" s="747"/>
      <c r="O150" s="473">
        <f>J147-L148+O148+R148</f>
        <v>18.504999999999999</v>
      </c>
      <c r="P150" s="440"/>
      <c r="Q150" s="440"/>
      <c r="R150" s="440"/>
      <c r="S150" s="16" t="s">
        <v>54</v>
      </c>
      <c r="U150" s="416" t="str" cm="1">
        <f t="array" ref="U150">angleDecimal2Txt(O150)</f>
        <v>+18°30.30 (+18.5049) [+18°30'18.00]</v>
      </c>
      <c r="V150" s="416"/>
      <c r="W150" s="416"/>
      <c r="X150" s="416"/>
      <c r="Y150" s="416"/>
      <c r="Z150" s="416"/>
    </row>
    <row r="151" spans="2:29" ht="17.25" customHeight="1" thickTop="1" thickBot="1">
      <c r="D151" s="46"/>
    </row>
    <row r="152" spans="2:29" ht="17.25" customHeight="1" thickBot="1">
      <c r="B152" s="25" t="s">
        <v>44</v>
      </c>
      <c r="C152" s="26"/>
      <c r="D152" s="47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62"/>
    </row>
    <row r="153" spans="2:29" ht="17.25" customHeight="1">
      <c r="C153" s="16"/>
      <c r="D153" s="16"/>
      <c r="E153" s="16"/>
      <c r="F153" s="16"/>
      <c r="G153" s="16"/>
      <c r="O153" s="576" t="s">
        <v>83</v>
      </c>
      <c r="P153" s="576"/>
      <c r="Q153" s="576"/>
      <c r="R153" s="576"/>
      <c r="S153" s="576"/>
      <c r="T153" s="576"/>
      <c r="U153" s="576"/>
      <c r="V153" s="576"/>
      <c r="W153" s="576"/>
      <c r="X153" s="576"/>
      <c r="Y153" s="576"/>
      <c r="Z153" s="576"/>
      <c r="AA153" s="576"/>
    </row>
    <row r="154" spans="2:29" ht="17.25" customHeight="1">
      <c r="C154" s="14"/>
      <c r="D154" s="14"/>
      <c r="E154" s="697" t="s">
        <v>22</v>
      </c>
      <c r="F154" s="698"/>
      <c r="G154" s="698"/>
      <c r="H154" s="698"/>
      <c r="I154" s="584" cm="1">
        <f t="array" ref="I154">astroCalculHc(Q155,Q154,Q156)</f>
        <v>-33.460726281587164</v>
      </c>
      <c r="J154" s="584"/>
      <c r="K154" s="584"/>
      <c r="L154" s="584"/>
      <c r="M154" s="584"/>
      <c r="O154" s="469" t="s">
        <v>84</v>
      </c>
      <c r="P154" s="469"/>
      <c r="Q154" s="469">
        <f>F37</f>
        <v>23.147284259259258</v>
      </c>
      <c r="R154" s="469"/>
      <c r="S154" s="469"/>
      <c r="T154" s="434" t="s">
        <v>54</v>
      </c>
      <c r="U154" s="519">
        <f>Q154*Outils!$F$4</f>
        <v>0.40399632321913082</v>
      </c>
      <c r="V154" s="520"/>
      <c r="W154" s="575"/>
      <c r="X154" s="434" t="s">
        <v>64</v>
      </c>
    </row>
    <row r="155" spans="2:29" ht="17.25" customHeight="1" thickBot="1">
      <c r="C155" s="14"/>
      <c r="D155" s="14"/>
      <c r="E155" s="699"/>
      <c r="F155" s="700"/>
      <c r="G155" s="700"/>
      <c r="H155" s="700"/>
      <c r="I155" s="584"/>
      <c r="J155" s="584"/>
      <c r="K155" s="584"/>
      <c r="L155" s="584"/>
      <c r="M155" s="584"/>
      <c r="N155" s="48" t="s">
        <v>116</v>
      </c>
      <c r="O155" s="469" t="s">
        <v>85</v>
      </c>
      <c r="P155" s="469"/>
      <c r="Q155" s="469">
        <f>G32</f>
        <v>-27.5</v>
      </c>
      <c r="R155" s="469"/>
      <c r="S155" s="469"/>
      <c r="T155" s="434"/>
      <c r="U155" s="519">
        <f>Q155*Outils!$F$4</f>
        <v>-0.47996554429844063</v>
      </c>
      <c r="V155" s="520"/>
      <c r="W155" s="575"/>
      <c r="X155" s="434"/>
    </row>
    <row r="156" spans="2:29" ht="17.25" customHeight="1" thickTop="1" thickBot="1">
      <c r="C156" s="14"/>
      <c r="D156" s="14"/>
      <c r="E156" s="701"/>
      <c r="F156" s="702"/>
      <c r="G156" s="702"/>
      <c r="H156" s="702"/>
      <c r="I156" s="416" t="str" cm="1">
        <f t="array" ref="I156">angleDecimal2Txt(I154)</f>
        <v>-33°27.64 (-33.4607) [-33°27'38.61]</v>
      </c>
      <c r="J156" s="416"/>
      <c r="K156" s="416"/>
      <c r="L156" s="416"/>
      <c r="M156" s="416"/>
      <c r="O156" s="469" t="s">
        <v>43</v>
      </c>
      <c r="P156" s="469"/>
      <c r="Q156" s="469">
        <f>F108</f>
        <v>243.03333333333333</v>
      </c>
      <c r="R156" s="469"/>
      <c r="S156" s="469"/>
      <c r="T156" s="434"/>
      <c r="U156" s="519">
        <f>Q156*Outils!$F$4</f>
        <v>4.2417318587635524</v>
      </c>
      <c r="V156" s="520"/>
      <c r="W156" s="575"/>
      <c r="X156" s="434"/>
    </row>
    <row r="157" spans="2:29" ht="17.25" customHeight="1" thickTop="1">
      <c r="C157" s="14"/>
      <c r="D157" s="14"/>
      <c r="E157" s="16"/>
      <c r="F157" s="16"/>
      <c r="G157" s="16"/>
    </row>
    <row r="158" spans="2:29" ht="17.25" customHeight="1">
      <c r="C158" s="14"/>
      <c r="D158" s="14"/>
      <c r="E158" s="697" t="s">
        <v>25</v>
      </c>
      <c r="F158" s="698"/>
      <c r="G158" s="698"/>
      <c r="H158" s="698"/>
      <c r="I158" s="584">
        <f>F111</f>
        <v>19.87578743053388</v>
      </c>
      <c r="J158" s="584"/>
      <c r="K158" s="584"/>
      <c r="L158" s="584"/>
      <c r="M158" s="584"/>
    </row>
    <row r="159" spans="2:29" ht="17.25" customHeight="1" thickBot="1">
      <c r="C159" s="14"/>
      <c r="D159" s="14"/>
      <c r="E159" s="699"/>
      <c r="F159" s="700"/>
      <c r="G159" s="700"/>
      <c r="H159" s="700"/>
      <c r="I159" s="584"/>
      <c r="J159" s="584"/>
      <c r="K159" s="584"/>
      <c r="L159" s="584"/>
      <c r="M159" s="584"/>
      <c r="O159" s="411" t="s">
        <v>27</v>
      </c>
      <c r="P159" s="412"/>
      <c r="Q159" s="412"/>
      <c r="R159" s="412"/>
      <c r="S159" s="853"/>
      <c r="T159" s="49">
        <f>I158-I154</f>
        <v>53.336513712121047</v>
      </c>
      <c r="U159" s="50" t="s">
        <v>28</v>
      </c>
      <c r="V159" s="51">
        <f>T159*60</f>
        <v>3200.1908227272629</v>
      </c>
      <c r="W159" s="50" t="s">
        <v>104</v>
      </c>
      <c r="X159" s="14"/>
      <c r="Y159" s="441" t="str">
        <f>IF(T159&gt;0,"Vers Pg", "Oppose de Pg")</f>
        <v>Vers Pg</v>
      </c>
      <c r="Z159" s="441"/>
    </row>
    <row r="160" spans="2:29" ht="17.25" customHeight="1" thickTop="1" thickBot="1">
      <c r="C160" s="14"/>
      <c r="D160" s="14"/>
      <c r="E160" s="701"/>
      <c r="F160" s="702"/>
      <c r="G160" s="702"/>
      <c r="H160" s="702"/>
      <c r="I160" s="416" t="str" cm="1">
        <f t="array" ref="I160">angleDecimal2Txt(I158)</f>
        <v>+19°52.54 (+19.8757) [+19°52'32.83]</v>
      </c>
      <c r="J160" s="416"/>
      <c r="K160" s="416"/>
      <c r="L160" s="416"/>
      <c r="M160" s="416"/>
      <c r="S160" s="703" t="s">
        <v>364</v>
      </c>
      <c r="T160" s="1174" t="s">
        <v>382</v>
      </c>
      <c r="U160" s="1174"/>
      <c r="V160" s="1174">
        <f>F37</f>
        <v>23.147284259259258</v>
      </c>
      <c r="W160" s="1174"/>
      <c r="X160" s="1175" t="str">
        <f>latitudeDecimal2Txt(V160)</f>
        <v>N 23°08.83 (N 23.1472) [N 23°08'50.22]</v>
      </c>
      <c r="Y160" s="1175"/>
      <c r="Z160" s="1175"/>
      <c r="AA160" s="1175"/>
      <c r="AB160" s="1175"/>
      <c r="AC160" s="1175"/>
    </row>
    <row r="161" spans="1:29" ht="17.25" customHeight="1" thickTop="1">
      <c r="C161" s="14"/>
      <c r="D161" s="14"/>
      <c r="E161" s="16"/>
      <c r="F161" s="16"/>
      <c r="G161" s="16"/>
      <c r="S161" s="703"/>
      <c r="T161" s="1176" t="s">
        <v>383</v>
      </c>
      <c r="U161" s="1176"/>
      <c r="V161" s="1174" cm="1">
        <f t="array" ref="V161">longitudeHoraire2longitude(F87)</f>
        <v>179.96666666666667</v>
      </c>
      <c r="W161" s="1176"/>
      <c r="X161" s="1177" t="str">
        <f>longitudeDecimal2Txt(V161)</f>
        <v>E 179°58.00 (E 179.9666) [E 179°58'00.00]</v>
      </c>
      <c r="Y161" s="1177"/>
      <c r="Z161" s="1177"/>
      <c r="AA161" s="1177"/>
      <c r="AB161" s="1177"/>
      <c r="AC161" s="1177"/>
    </row>
    <row r="162" spans="1:29" ht="17.25" customHeight="1">
      <c r="C162" s="16"/>
      <c r="D162" s="16"/>
      <c r="E162" s="16"/>
      <c r="F162" s="16"/>
      <c r="T162" s="14"/>
      <c r="U162" s="14"/>
      <c r="V162" s="14"/>
      <c r="W162" s="14"/>
      <c r="X162" s="14"/>
      <c r="Y162" s="14"/>
    </row>
    <row r="163" spans="1:29" ht="17.25" customHeight="1">
      <c r="E163" s="16"/>
      <c r="F163" s="16"/>
      <c r="G163" s="16"/>
      <c r="T163" s="14"/>
      <c r="U163" s="14"/>
      <c r="V163" s="14"/>
      <c r="W163" s="14"/>
      <c r="X163" s="14"/>
      <c r="Y163" s="14"/>
    </row>
    <row r="164" spans="1:29" ht="17.25" customHeight="1">
      <c r="E164" s="16"/>
    </row>
    <row r="165" spans="1:29" ht="17.25" customHeight="1">
      <c r="E165" s="16"/>
      <c r="F165" s="16"/>
      <c r="G165" s="16"/>
      <c r="O165" s="618" t="s">
        <v>86</v>
      </c>
      <c r="P165" s="619"/>
      <c r="Q165" s="619"/>
      <c r="R165" s="619"/>
      <c r="S165" s="619"/>
      <c r="T165" s="619"/>
      <c r="U165" s="619"/>
      <c r="V165" s="619"/>
      <c r="W165" s="619"/>
      <c r="X165" s="619"/>
      <c r="Y165" s="619"/>
      <c r="Z165" s="619"/>
      <c r="AA165" s="619"/>
    </row>
    <row r="166" spans="1:29" ht="17.25" customHeight="1">
      <c r="A166" s="14"/>
      <c r="B166" s="14"/>
      <c r="C166" s="14"/>
      <c r="D166" s="14"/>
      <c r="E166" s="697" t="s">
        <v>92</v>
      </c>
      <c r="F166" s="698"/>
      <c r="G166" s="698"/>
      <c r="H166" s="1178"/>
      <c r="I166" s="426" cm="1">
        <f t="array" ref="I166">astroCalculZ(Q167,Q166,Q168)</f>
        <v>100.7875102528494</v>
      </c>
      <c r="J166" s="426"/>
      <c r="K166" s="426"/>
      <c r="L166" s="426"/>
      <c r="M166" s="427"/>
      <c r="O166" s="469" t="s">
        <v>84</v>
      </c>
      <c r="P166" s="469"/>
      <c r="Q166" s="469">
        <f>Q154</f>
        <v>23.147284259259258</v>
      </c>
      <c r="R166" s="469"/>
      <c r="S166" s="469"/>
      <c r="T166" s="434" t="s">
        <v>54</v>
      </c>
      <c r="U166" s="469">
        <f>Q166*Outils!$F$4</f>
        <v>0.40399632321913082</v>
      </c>
      <c r="V166" s="469"/>
      <c r="W166" s="469"/>
      <c r="X166" s="434" t="s">
        <v>64</v>
      </c>
    </row>
    <row r="167" spans="1:29" ht="17.25" customHeight="1" thickBot="1">
      <c r="C167" s="14"/>
      <c r="D167" s="14"/>
      <c r="E167" s="699"/>
      <c r="F167" s="700"/>
      <c r="G167" s="700"/>
      <c r="H167" s="1179"/>
      <c r="I167" s="868"/>
      <c r="J167" s="868"/>
      <c r="K167" s="868"/>
      <c r="L167" s="868"/>
      <c r="M167" s="869"/>
      <c r="N167" s="48" t="s">
        <v>116</v>
      </c>
      <c r="O167" s="469" t="s">
        <v>85</v>
      </c>
      <c r="P167" s="469"/>
      <c r="Q167" s="469">
        <f>Q155</f>
        <v>-27.5</v>
      </c>
      <c r="R167" s="469"/>
      <c r="S167" s="469"/>
      <c r="T167" s="434"/>
      <c r="U167" s="469">
        <f>Q167*Outils!$F$4</f>
        <v>-0.47996554429844063</v>
      </c>
      <c r="V167" s="469"/>
      <c r="W167" s="469"/>
      <c r="X167" s="434"/>
    </row>
    <row r="168" spans="1:29" ht="17.25" customHeight="1" thickTop="1" thickBot="1">
      <c r="C168" s="14"/>
      <c r="D168" s="14"/>
      <c r="E168" s="701"/>
      <c r="F168" s="702"/>
      <c r="G168" s="702"/>
      <c r="H168" s="1180"/>
      <c r="I168" s="818" t="str" cm="1">
        <f t="array" ref="I168">angleDecimal2Txt(I166)</f>
        <v>+100°47.25 (+100.7875) [+100°47'15.03]</v>
      </c>
      <c r="J168" s="493"/>
      <c r="K168" s="493"/>
      <c r="L168" s="493"/>
      <c r="M168" s="493"/>
      <c r="O168" s="469" t="s">
        <v>43</v>
      </c>
      <c r="P168" s="469"/>
      <c r="Q168" s="469">
        <f>Q156</f>
        <v>243.03333333333333</v>
      </c>
      <c r="R168" s="469"/>
      <c r="S168" s="469"/>
      <c r="T168" s="434"/>
      <c r="U168" s="469">
        <f>Q168*Outils!$F$4</f>
        <v>4.2417318587635524</v>
      </c>
      <c r="V168" s="469"/>
      <c r="W168" s="469"/>
      <c r="X168" s="434"/>
    </row>
    <row r="169" spans="1:29" ht="17.25" customHeight="1" thickTop="1">
      <c r="C169" s="14"/>
      <c r="D169" s="14"/>
      <c r="E169" s="16"/>
      <c r="F169" s="16"/>
      <c r="G169" s="16"/>
    </row>
    <row r="170" spans="1:29" ht="17.25" customHeight="1">
      <c r="C170" s="16"/>
      <c r="D170" s="16"/>
      <c r="F170" s="16"/>
      <c r="G170" s="16"/>
      <c r="I170" s="712" t="s">
        <v>143</v>
      </c>
      <c r="J170" s="713"/>
      <c r="K170" s="713"/>
      <c r="L170" s="713"/>
      <c r="M170" s="713"/>
      <c r="N170" s="714"/>
      <c r="O170" s="712" t="s">
        <v>144</v>
      </c>
      <c r="P170" s="713"/>
      <c r="Q170" s="713"/>
      <c r="R170" s="713"/>
      <c r="S170" s="713"/>
      <c r="T170" s="714"/>
    </row>
    <row r="171" spans="1:29" ht="17.25" customHeight="1">
      <c r="F171" s="16"/>
      <c r="G171" s="16"/>
      <c r="I171" s="807"/>
      <c r="J171" s="608" t="s">
        <v>117</v>
      </c>
      <c r="K171" s="609"/>
      <c r="L171" s="610"/>
      <c r="M171" s="614" t="s">
        <v>118</v>
      </c>
      <c r="N171" s="615"/>
      <c r="O171" s="807"/>
      <c r="P171" s="608" t="s">
        <v>117</v>
      </c>
      <c r="Q171" s="609"/>
      <c r="R171" s="610"/>
      <c r="S171" s="614" t="s">
        <v>119</v>
      </c>
      <c r="T171" s="615"/>
    </row>
    <row r="172" spans="1:29" ht="17.25" customHeight="1">
      <c r="F172" s="16"/>
      <c r="G172" s="16"/>
      <c r="I172" s="808"/>
      <c r="J172" s="611" t="s">
        <v>87</v>
      </c>
      <c r="K172" s="612"/>
      <c r="L172" s="613"/>
      <c r="M172" s="616" t="s">
        <v>88</v>
      </c>
      <c r="N172" s="617"/>
      <c r="O172" s="808"/>
      <c r="P172" s="611" t="s">
        <v>87</v>
      </c>
      <c r="Q172" s="612"/>
      <c r="R172" s="613"/>
      <c r="S172" s="616" t="s">
        <v>89</v>
      </c>
      <c r="T172" s="617"/>
    </row>
    <row r="173" spans="1:29" ht="17.25" customHeight="1">
      <c r="F173" s="14"/>
      <c r="G173" s="14"/>
      <c r="H173" s="14"/>
      <c r="I173" s="14"/>
      <c r="J173" s="14"/>
      <c r="K173" s="14"/>
      <c r="Q173" s="14"/>
      <c r="R173" s="14"/>
      <c r="S173" s="14"/>
      <c r="T173" s="409"/>
      <c r="U173" s="409"/>
      <c r="V173" s="409"/>
      <c r="W173" s="14"/>
      <c r="X173" s="409"/>
      <c r="Y173" s="409"/>
      <c r="Z173" s="409"/>
    </row>
    <row r="174" spans="1:29" ht="17.25" customHeight="1">
      <c r="F174" s="14"/>
      <c r="N174" s="711"/>
      <c r="O174" s="711"/>
      <c r="Q174" s="409"/>
      <c r="R174" s="409"/>
      <c r="S174" s="409"/>
      <c r="T174" s="409"/>
      <c r="U174" s="409"/>
      <c r="V174" s="409"/>
      <c r="W174" s="14"/>
      <c r="X174" s="409"/>
      <c r="Y174" s="409"/>
      <c r="Z174" s="409"/>
    </row>
    <row r="175" spans="1:29" ht="17.25" customHeight="1">
      <c r="I175" s="469" t="s">
        <v>85</v>
      </c>
      <c r="J175" s="469"/>
      <c r="K175" s="57">
        <f>Q167</f>
        <v>-27.5</v>
      </c>
      <c r="L175" s="440" t="str">
        <f>CONCATENATE("Sens: ",IF(Q167&gt;0,"Nord","Sud"))</f>
        <v>Sens: Sud</v>
      </c>
      <c r="M175" s="440"/>
    </row>
    <row r="176" spans="1:29" ht="17.25" customHeight="1" thickBot="1">
      <c r="I176" s="469" t="s">
        <v>43</v>
      </c>
      <c r="J176" s="469"/>
      <c r="K176" s="57">
        <f>Q168</f>
        <v>243.03333333333333</v>
      </c>
      <c r="L176" s="440" t="str">
        <f>CONCATENATE("Is &gt; 180? ", IF(Q168&gt;180,"Y", "N"))</f>
        <v>Is &gt; 180? Y</v>
      </c>
      <c r="M176" s="440"/>
      <c r="O176" s="411" t="s">
        <v>93</v>
      </c>
      <c r="P176" s="412"/>
      <c r="Q176" s="412"/>
      <c r="R176" s="412"/>
      <c r="S176" s="412"/>
      <c r="T176" s="1172" cm="1">
        <f t="array" ref="T176">astroCalculZ2Zn(Q167,I166,Q168)</f>
        <v>79.212489747150599</v>
      </c>
      <c r="U176" s="1173"/>
      <c r="V176" s="50" t="s">
        <v>28</v>
      </c>
      <c r="W176" s="14"/>
    </row>
    <row r="177" spans="2:31" ht="17.25" customHeight="1" thickTop="1" thickBot="1">
      <c r="I177" s="519" t="s">
        <v>120</v>
      </c>
      <c r="J177" s="520"/>
      <c r="K177" s="521"/>
      <c r="L177" s="440" t="str">
        <f>IF(K175&gt;0,IF(K176&gt;180,M171,M172),IF(K176&gt;180,S171,S172))</f>
        <v>Zn = 180 - Z</v>
      </c>
      <c r="M177" s="440"/>
      <c r="T177" s="416" t="str" cm="1">
        <f t="array" ref="T177">angleDecimal2Txt(T176)</f>
        <v>+79°12.74 (+79.2124) [+79°12'44.96]</v>
      </c>
      <c r="U177" s="416"/>
      <c r="V177" s="416"/>
      <c r="W177" s="416"/>
      <c r="X177" s="416"/>
      <c r="Y177" s="416"/>
    </row>
    <row r="178" spans="2:31" ht="17.25" customHeight="1" thickTop="1"/>
    <row r="179" spans="2:31" ht="17.25" customHeight="1" thickBot="1"/>
    <row r="180" spans="2:31" ht="17.25" customHeight="1" thickBot="1">
      <c r="B180" s="25" t="s">
        <v>233</v>
      </c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85"/>
      <c r="AB180" s="62"/>
    </row>
    <row r="181" spans="2:31" ht="17.25" hidden="1" customHeight="1" outlineLevel="1"/>
    <row r="182" spans="2:31" ht="17.25" hidden="1" customHeight="1" outlineLevel="1" thickBot="1">
      <c r="C182" s="517" t="s">
        <v>234</v>
      </c>
      <c r="D182" s="517"/>
      <c r="E182" s="517"/>
      <c r="F182" s="517"/>
      <c r="G182" s="103"/>
      <c r="H182" s="517" t="s">
        <v>235</v>
      </c>
      <c r="I182" s="517"/>
      <c r="J182" s="517"/>
      <c r="L182" s="852" t="s">
        <v>224</v>
      </c>
      <c r="M182" s="852"/>
      <c r="N182" s="852"/>
      <c r="Q182" s="415" t="s">
        <v>236</v>
      </c>
      <c r="R182" s="415"/>
      <c r="S182" s="415"/>
      <c r="T182" s="415"/>
      <c r="U182" s="90"/>
      <c r="AC182" t="s">
        <v>221</v>
      </c>
      <c r="AD182" s="92">
        <f>I183/60</f>
        <v>53.336513712121047</v>
      </c>
    </row>
    <row r="183" spans="2:31" ht="17.25" hidden="1" customHeight="1" outlineLevel="1" thickTop="1" thickBot="1">
      <c r="D183" s="107" t="s">
        <v>41</v>
      </c>
      <c r="E183" s="525">
        <f>Q167</f>
        <v>-27.5</v>
      </c>
      <c r="F183" s="525"/>
      <c r="I183" s="525">
        <f>V159</f>
        <v>3200.1908227272629</v>
      </c>
      <c r="J183" s="525"/>
      <c r="K183" s="16" t="s">
        <v>104</v>
      </c>
      <c r="M183" s="525">
        <f>T176</f>
        <v>79.212489747150599</v>
      </c>
      <c r="N183" s="525"/>
      <c r="R183" s="105" t="s">
        <v>41</v>
      </c>
      <c r="S183" s="413">
        <f>AD185</f>
        <v>-17.517154919982119</v>
      </c>
      <c r="T183" s="413"/>
      <c r="U183" s="414" t="str" cm="1">
        <f t="array" ref="U183">latitudeDecimal2Txt(S183)</f>
        <v>S 17°31.02 (S 17.5171) [S 17°31'01.75]</v>
      </c>
      <c r="V183" s="414"/>
      <c r="W183" s="414"/>
      <c r="X183" s="414"/>
      <c r="Y183" s="414"/>
      <c r="Z183" s="414"/>
      <c r="AC183" t="s">
        <v>222</v>
      </c>
      <c r="AD183" s="92">
        <f>M183</f>
        <v>79.212489747150599</v>
      </c>
    </row>
    <row r="184" spans="2:31" ht="17.25" hidden="1" customHeight="1" outlineLevel="1" thickTop="1" thickBot="1">
      <c r="D184" s="107" t="s">
        <v>42</v>
      </c>
      <c r="E184" s="525">
        <f>G34</f>
        <v>63</v>
      </c>
      <c r="F184" s="525"/>
      <c r="R184" s="105" t="s">
        <v>42</v>
      </c>
      <c r="S184" s="413">
        <f>AD187</f>
        <v>119.7143254926176</v>
      </c>
      <c r="T184" s="413"/>
      <c r="U184" s="414" t="str" cm="1">
        <f t="array" ref="U184">longitudeDecimal2Txt(S184)</f>
        <v>E 119°42.85 (E 119.7143) [E 119°42'51.57]</v>
      </c>
      <c r="V184" s="414"/>
      <c r="W184" s="414"/>
      <c r="X184" s="414"/>
      <c r="Y184" s="414"/>
      <c r="Z184" s="414"/>
      <c r="AC184" s="16"/>
      <c r="AD184" s="16"/>
    </row>
    <row r="185" spans="2:31" ht="17.25" hidden="1" customHeight="1" outlineLevel="1" thickTop="1">
      <c r="D185" s="16"/>
      <c r="AC185" t="s">
        <v>238</v>
      </c>
      <c r="AD185">
        <f>E183+AD182*COS(AD183*Outils!$F$4)</f>
        <v>-17.517154919982119</v>
      </c>
    </row>
    <row r="186" spans="2:31" ht="17.25" hidden="1" customHeight="1" outlineLevel="1">
      <c r="C186"/>
      <c r="D186"/>
      <c r="E186"/>
      <c r="Q186" s="415" t="s">
        <v>237</v>
      </c>
      <c r="R186" s="415"/>
      <c r="S186" s="415"/>
      <c r="AC186" t="s">
        <v>239</v>
      </c>
      <c r="AD186">
        <f>(E183+AD185)/2</f>
        <v>-22.508577459991059</v>
      </c>
    </row>
    <row r="187" spans="2:31" ht="17.25" hidden="1" customHeight="1" outlineLevel="1">
      <c r="R187" s="413">
        <f>M183-90</f>
        <v>-10.787510252849401</v>
      </c>
      <c r="S187" s="413"/>
      <c r="T187" s="50" t="s">
        <v>28</v>
      </c>
      <c r="AC187" t="s">
        <v>240</v>
      </c>
      <c r="AD187">
        <f>E184+(AD182*SIN(M183*Outils!$F$4)/COS(AD186*Outils!$F$4))</f>
        <v>119.7143254926176</v>
      </c>
    </row>
    <row r="188" spans="2:31" customFormat="1" ht="17.25" hidden="1" customHeight="1" outlineLevel="1"/>
    <row r="189" spans="2:31" customFormat="1" ht="17.25" customHeight="1" collapsed="1" thickBot="1"/>
    <row r="190" spans="2:31" customFormat="1" ht="17.25" customHeight="1" thickBot="1">
      <c r="B190" s="109" t="s">
        <v>241</v>
      </c>
      <c r="C190" s="110"/>
      <c r="D190" s="110"/>
      <c r="E190" s="110"/>
      <c r="F190" s="110"/>
      <c r="G190" s="110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1"/>
    </row>
    <row r="191" spans="2:31" customFormat="1" ht="17.25" hidden="1" customHeight="1" outlineLevel="1">
      <c r="AD191" s="92"/>
    </row>
    <row r="192" spans="2:31" customFormat="1" ht="17.25" hidden="1" customHeight="1" outlineLevel="1" thickBot="1">
      <c r="C192" s="515" t="s">
        <v>236</v>
      </c>
      <c r="D192" s="515"/>
      <c r="E192" s="515"/>
      <c r="F192" s="515"/>
      <c r="G192" s="90"/>
      <c r="H192" s="16"/>
      <c r="I192" s="16"/>
      <c r="J192" s="16"/>
      <c r="K192" s="16"/>
      <c r="L192" s="16"/>
      <c r="Q192" s="104" t="s">
        <v>242</v>
      </c>
      <c r="R192" s="104"/>
      <c r="S192" s="104"/>
      <c r="T192" s="104"/>
      <c r="U192" s="104"/>
      <c r="V192" s="104"/>
      <c r="W192" s="104"/>
      <c r="AC192" t="s">
        <v>272</v>
      </c>
      <c r="AD192" s="92"/>
      <c r="AE192" t="b">
        <f>(ABS(D197-90)&lt;0.1)</f>
        <v>0</v>
      </c>
    </row>
    <row r="193" spans="2:33" customFormat="1" ht="17.25" hidden="1" customHeight="1" outlineLevel="1" thickTop="1" thickBot="1">
      <c r="D193" s="106" t="s">
        <v>41</v>
      </c>
      <c r="E193" s="516">
        <v>46</v>
      </c>
      <c r="F193" s="516"/>
      <c r="G193" s="414" t="str" cm="1">
        <f t="array" ref="G193">latitudeDecimal2Txt(E193)</f>
        <v>N 46°00.00 (N 46.0000) [N 46°00'00.00]</v>
      </c>
      <c r="H193" s="414"/>
      <c r="I193" s="414"/>
      <c r="J193" s="414"/>
      <c r="K193" s="414"/>
      <c r="L193" s="414"/>
      <c r="R193" s="105" t="s">
        <v>41</v>
      </c>
      <c r="S193" s="413">
        <f>AG197</f>
        <v>616.68986803150267</v>
      </c>
      <c r="T193" s="413"/>
      <c r="U193" s="414" t="str" cm="1">
        <f t="array" ref="U193">latitudeDecimal2Txt(S193)</f>
        <v>N 00°00.00 (N 00.0000) [N 00°00'00.00]</v>
      </c>
      <c r="V193" s="414"/>
      <c r="W193" s="414"/>
      <c r="X193" s="414"/>
      <c r="Y193" s="414"/>
      <c r="Z193" s="414"/>
      <c r="AC193" s="121" t="s">
        <v>273</v>
      </c>
      <c r="AD193" s="122">
        <f>R187</f>
        <v>-10.787510252849401</v>
      </c>
    </row>
    <row r="194" spans="2:33" customFormat="1" ht="17.25" hidden="1" customHeight="1" outlineLevel="1" thickTop="1" thickBot="1">
      <c r="D194" s="106" t="s">
        <v>42</v>
      </c>
      <c r="E194" s="516">
        <v>-7</v>
      </c>
      <c r="F194" s="516"/>
      <c r="G194" s="414" t="str" cm="1">
        <f t="array" ref="G194">longitudeDecimal2Txt(E194)</f>
        <v>W 07°00.00 (W 07.0000) [W 07°00'00.00]</v>
      </c>
      <c r="H194" s="414"/>
      <c r="I194" s="414"/>
      <c r="J194" s="414"/>
      <c r="K194" s="414"/>
      <c r="L194" s="414"/>
      <c r="R194" s="105" t="s">
        <v>42</v>
      </c>
      <c r="S194" s="413">
        <f>AG198</f>
        <v>-7.0000000000000853</v>
      </c>
      <c r="T194" s="413"/>
      <c r="U194" s="414" t="str" cm="1">
        <f t="array" ref="U194">longitudeDecimal2Txt(S194)</f>
        <v>W 07°00.00 (W 07.0000) [W 07°00'00.00]</v>
      </c>
      <c r="V194" s="414"/>
      <c r="W194" s="414"/>
      <c r="X194" s="414"/>
      <c r="Y194" s="414"/>
      <c r="Z194" s="414"/>
      <c r="AC194" s="123" t="s">
        <v>275</v>
      </c>
      <c r="AD194" s="122">
        <f>S183</f>
        <v>-17.517154919982119</v>
      </c>
    </row>
    <row r="195" spans="2:33" customFormat="1" ht="17.25" hidden="1" customHeight="1" outlineLevel="1" thickTop="1"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AC195" s="121" t="s">
        <v>276</v>
      </c>
      <c r="AD195" s="122">
        <f>S184</f>
        <v>119.7143254926176</v>
      </c>
    </row>
    <row r="196" spans="2:33" customFormat="1" ht="17.25" hidden="1" customHeight="1" outlineLevel="1">
      <c r="C196" s="515" t="s">
        <v>237</v>
      </c>
      <c r="D196" s="515"/>
      <c r="E196" s="515"/>
      <c r="F196" s="108"/>
      <c r="G196" s="16"/>
      <c r="H196" s="16"/>
      <c r="I196" s="16"/>
      <c r="J196" s="16"/>
      <c r="K196" s="16"/>
      <c r="L196" s="16"/>
      <c r="AC196" s="121" t="s">
        <v>243</v>
      </c>
      <c r="AD196" s="121">
        <f>TAN(AD193*Outils!F4) * (1 / COS(AD194*Outils!F4))</f>
        <v>-0.19979962521214623</v>
      </c>
    </row>
    <row r="197" spans="2:33" customFormat="1" ht="17.25" hidden="1" customHeight="1" outlineLevel="1">
      <c r="D197" s="516">
        <v>180</v>
      </c>
      <c r="E197" s="516"/>
      <c r="F197" s="112" t="s">
        <v>28</v>
      </c>
      <c r="G197" s="16"/>
      <c r="H197" s="16"/>
      <c r="I197" s="16"/>
      <c r="J197" s="16"/>
      <c r="K197" s="16"/>
      <c r="L197" s="16"/>
      <c r="AC197" s="121" t="s">
        <v>244</v>
      </c>
      <c r="AD197" s="121">
        <f>AD195-AD194*AD196</f>
        <v>116.21440450482207</v>
      </c>
      <c r="AE197" s="410" t="s">
        <v>280</v>
      </c>
      <c r="AF197" s="410"/>
      <c r="AG197" s="124">
        <f>(AD202-AD197)/(AD196-AD201)</f>
        <v>616.68986803150267</v>
      </c>
    </row>
    <row r="198" spans="2:33" customFormat="1" ht="15" hidden="1" outlineLevel="1">
      <c r="AC198" s="118" t="s">
        <v>274</v>
      </c>
      <c r="AD198" s="119">
        <f>D197</f>
        <v>180</v>
      </c>
      <c r="AE198" s="410"/>
      <c r="AF198" s="410"/>
      <c r="AG198" s="124">
        <f>AD196*AG197+AD197</f>
        <v>-7.0000000000000853</v>
      </c>
    </row>
    <row r="199" spans="2:33" customFormat="1" ht="18.75" hidden="1" outlineLevel="1">
      <c r="S199" s="16"/>
      <c r="T199" s="16"/>
      <c r="AC199" s="120" t="s">
        <v>275</v>
      </c>
      <c r="AD199" s="119">
        <f>E193</f>
        <v>46</v>
      </c>
    </row>
    <row r="200" spans="2:33" customFormat="1" ht="18" hidden="1" outlineLevel="1">
      <c r="AC200" s="118" t="s">
        <v>276</v>
      </c>
      <c r="AD200" s="119">
        <f>E194</f>
        <v>-7</v>
      </c>
      <c r="AE200" s="410" t="s">
        <v>281</v>
      </c>
      <c r="AF200" s="410"/>
      <c r="AG200" s="125">
        <f>E193</f>
        <v>46</v>
      </c>
    </row>
    <row r="201" spans="2:33" customFormat="1" ht="17.25" hidden="1" customHeight="1" outlineLevel="1">
      <c r="P201" s="16"/>
      <c r="Q201" s="16"/>
      <c r="AC201" s="118" t="s">
        <v>277</v>
      </c>
      <c r="AD201" s="118">
        <f>TAN(AD198*Outils!F4) * (1 / COS(AD199*Outils!F4))</f>
        <v>-1.7636704702760584E-16</v>
      </c>
      <c r="AE201" s="410"/>
      <c r="AF201" s="410"/>
      <c r="AG201" s="124">
        <f>E194+(E193-S183)*TAN(R187*Outils!F4)/COS(Outils!F4*S183)</f>
        <v>-19.690703747554259</v>
      </c>
    </row>
    <row r="202" spans="2:33" customFormat="1" ht="17.25" hidden="1" customHeight="1" outlineLevel="1">
      <c r="AC202" s="118" t="s">
        <v>278</v>
      </c>
      <c r="AD202" s="118">
        <f>AD200-AD199*AD201</f>
        <v>-6.999999999999992</v>
      </c>
    </row>
    <row r="203" spans="2:33" customFormat="1" ht="15" hidden="1" outlineLevel="1">
      <c r="K203" s="16"/>
      <c r="L203" s="16"/>
      <c r="AE203" s="410" t="s">
        <v>279</v>
      </c>
      <c r="AF203" s="410"/>
      <c r="AG203" s="124">
        <f>IF($AE$192,AG200,AG197)</f>
        <v>616.68986803150267</v>
      </c>
    </row>
    <row r="204" spans="2:33" customFormat="1" ht="15" hidden="1" outlineLevel="1">
      <c r="K204" s="16"/>
      <c r="L204" s="16"/>
      <c r="AC204" s="118"/>
      <c r="AE204" s="410"/>
      <c r="AF204" s="410"/>
      <c r="AG204" s="124">
        <f>IF($AE$192,AG201,AG198)</f>
        <v>-7.0000000000000853</v>
      </c>
    </row>
    <row r="205" spans="2:33" customFormat="1" ht="15.75" collapsed="1" thickBot="1">
      <c r="K205" s="16"/>
      <c r="L205" s="16"/>
    </row>
    <row r="206" spans="2:33" customFormat="1" ht="15.75" thickBot="1">
      <c r="B206" s="109" t="s">
        <v>542</v>
      </c>
      <c r="C206" s="110"/>
      <c r="D206" s="110"/>
      <c r="E206" s="110"/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1"/>
    </row>
    <row r="207" spans="2:33" customFormat="1" ht="15">
      <c r="K207" s="92"/>
      <c r="L207" s="92"/>
    </row>
    <row r="208" spans="2:33" customFormat="1" ht="15">
      <c r="B208" s="705" t="s">
        <v>1</v>
      </c>
      <c r="C208" s="705"/>
      <c r="D208" s="705" t="str">
        <f>E7</f>
        <v>2010/05/05</v>
      </c>
      <c r="E208" s="705"/>
      <c r="F208" s="705"/>
      <c r="G208" s="705"/>
      <c r="H208" s="234" t="s">
        <v>2</v>
      </c>
      <c r="I208" s="705" t="str">
        <f>I7</f>
        <v>08:18:53.00(08.3147)</v>
      </c>
      <c r="J208" s="705"/>
      <c r="K208" s="705"/>
      <c r="L208" s="705"/>
    </row>
    <row r="209" spans="2:65" customFormat="1" ht="15">
      <c r="B209" s="706" t="s">
        <v>30</v>
      </c>
      <c r="C209" s="706"/>
      <c r="D209" s="707" t="s">
        <v>33</v>
      </c>
      <c r="E209" s="706"/>
      <c r="F209" s="228"/>
      <c r="G209" s="228"/>
      <c r="H209" s="228"/>
      <c r="I209" s="228"/>
      <c r="J209" s="228"/>
      <c r="K209" s="228"/>
      <c r="L209" s="228"/>
      <c r="AA209" s="225"/>
    </row>
    <row r="210" spans="2:65" customFormat="1" ht="15">
      <c r="B210" s="224"/>
      <c r="C210" s="224"/>
      <c r="D210" s="227"/>
      <c r="E210" s="224"/>
      <c r="AA210" s="225"/>
    </row>
    <row r="211" spans="2:65" s="92" customFormat="1" ht="17.25" customHeight="1" thickBot="1">
      <c r="B211" s="231" t="s">
        <v>401</v>
      </c>
      <c r="C211" s="231"/>
      <c r="D211" s="231"/>
      <c r="E211" s="231"/>
      <c r="F211" s="230"/>
      <c r="G211" s="230"/>
      <c r="H211" s="229"/>
      <c r="I211" s="229"/>
      <c r="J211" s="229"/>
      <c r="K211" s="229"/>
      <c r="L211" s="229"/>
      <c r="M211" s="229"/>
      <c r="N211" s="229"/>
      <c r="O211" s="229"/>
      <c r="P211" s="229"/>
      <c r="Q211" s="229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2:65" s="92" customFormat="1" ht="17.25" customHeight="1" thickTop="1">
      <c r="C212" s="759" t="s">
        <v>402</v>
      </c>
      <c r="D212" s="759"/>
      <c r="E212" s="759" t="str" cm="1">
        <f t="array" ref="E212">angleDecimal2Txt(angleConvert2Decimal(M21))</f>
        <v>+18°55.00 (+18.9166) [+18°55'00.00]</v>
      </c>
      <c r="F212" s="759"/>
      <c r="G212" s="759"/>
      <c r="H212" s="759"/>
      <c r="I212" s="759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2:65" s="92" customFormat="1" ht="17.25" customHeight="1">
      <c r="C213" s="758" t="s">
        <v>70</v>
      </c>
      <c r="D213" s="758"/>
      <c r="E213" s="758" t="str">
        <f>J23</f>
        <v>BordInf</v>
      </c>
      <c r="F213" s="758"/>
      <c r="G213" s="758"/>
      <c r="H213" s="758"/>
      <c r="I213" s="758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2:65" s="92" customFormat="1" ht="17.25" customHeight="1">
      <c r="C214" s="753" t="s">
        <v>403</v>
      </c>
      <c r="D214" s="753"/>
      <c r="E214" s="814" t="str" cm="1">
        <f t="array" ref="E214">angleDecimal2Txt(angleConvert2Decimal(M20))</f>
        <v>+00°03.00 (+00.0500) [+00°03'00.00]</v>
      </c>
      <c r="F214" s="814"/>
      <c r="G214" s="814"/>
      <c r="H214" s="814"/>
      <c r="I214" s="814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2:65" s="92" customFormat="1" ht="17.25" customHeight="1">
      <c r="C215" s="705" t="s">
        <v>404</v>
      </c>
      <c r="D215" s="705"/>
      <c r="E215" s="815" t="str">
        <f>CONCATENATE(M19, " m")</f>
        <v>4 m</v>
      </c>
      <c r="F215" s="815"/>
      <c r="G215" s="815"/>
      <c r="H215" s="815"/>
      <c r="I215" s="815"/>
      <c r="AB215" s="61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2:65" s="92" customFormat="1" ht="17.25" customHeight="1">
      <c r="E216" s="754" t="str" cm="1">
        <f t="array" ref="E216">angleDecimal2Txt(O118)</f>
        <v>+18°48.48 (+18.8080) [+18°48'29.04]</v>
      </c>
      <c r="F216" s="754"/>
      <c r="G216" s="754"/>
      <c r="H216" s="754"/>
      <c r="I216" s="754"/>
      <c r="J216" s="754" t="s">
        <v>406</v>
      </c>
      <c r="K216" s="754"/>
      <c r="L216" s="754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2:65" s="92" customFormat="1" ht="17.25" customHeight="1">
      <c r="E217" s="232"/>
      <c r="F217" s="766" t="s">
        <v>404</v>
      </c>
      <c r="G217" s="768"/>
      <c r="H217" s="755" t="str" cm="1">
        <f t="array" ref="H217">angleDecimal2Txt(O116)</f>
        <v>+00°03.51 (+00.0586) [+00°03'30.96]</v>
      </c>
      <c r="I217" s="755"/>
      <c r="J217" s="755"/>
      <c r="K217" s="755"/>
      <c r="L217" s="755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92" customFormat="1" ht="17.25" customHeight="1">
      <c r="F218" s="756" t="s">
        <v>411</v>
      </c>
      <c r="G218" s="756"/>
      <c r="H218" s="755" t="str" cm="1">
        <f t="array" ref="H218">angleDecimal2Txt(O127)</f>
        <v>+00°02.88 (+00.0480) [+00°02'52.92]</v>
      </c>
      <c r="I218" s="755"/>
      <c r="J218" s="755"/>
      <c r="K218" s="755"/>
      <c r="L218" s="755"/>
      <c r="AB218" s="61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92" customFormat="1" ht="17.25" customHeight="1">
      <c r="F219" s="766" t="s">
        <v>436</v>
      </c>
      <c r="G219" s="768"/>
      <c r="H219" s="995" t="str" cm="1">
        <f t="array" ref="H219">angleDecimal2Txt(O121)</f>
        <v>+00°54.90 (+00.9150) [+00°54'54.33]</v>
      </c>
      <c r="I219" s="996"/>
      <c r="J219" s="996"/>
      <c r="K219" s="996"/>
      <c r="L219" s="1203"/>
      <c r="AB219" s="61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92" customFormat="1" ht="17.25" customHeight="1">
      <c r="F220" s="756" t="s">
        <v>412</v>
      </c>
      <c r="G220" s="756"/>
      <c r="H220" s="756" t="str" cm="1">
        <f t="array" ref="H220">angleDecimal2Txt(O122)</f>
        <v>+00°51.97 (+00.8662) [+00°51'58.41]</v>
      </c>
      <c r="I220" s="756"/>
      <c r="J220" s="756"/>
      <c r="K220" s="756"/>
      <c r="L220" s="756"/>
      <c r="AB220" s="61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92" customFormat="1" ht="17.25" customHeight="1">
      <c r="F221" s="756" t="s">
        <v>100</v>
      </c>
      <c r="G221" s="756"/>
      <c r="H221" s="756" t="str" cm="1">
        <f t="array" ref="H221">angleDecimal2Txt(O129)</f>
        <v>+00°29.94 (+00.4990) [+00°29'56.60]</v>
      </c>
      <c r="I221" s="756"/>
      <c r="J221" s="756"/>
      <c r="K221" s="756"/>
      <c r="L221" s="756"/>
      <c r="AB221" s="6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92" customFormat="1" ht="17.25" customHeight="1">
      <c r="F222" s="756" t="s">
        <v>71</v>
      </c>
      <c r="G222" s="756"/>
      <c r="H222" s="756" t="str" cm="1">
        <f t="array" ref="H222">angleDecimal2Txt(O131)</f>
        <v>+00°14.97 (+00.2495) [+00°14'58.30]</v>
      </c>
      <c r="I222" s="756"/>
      <c r="J222" s="756"/>
      <c r="K222" s="756"/>
      <c r="L222" s="756"/>
      <c r="AB222" s="61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92" customFormat="1" ht="17.25" customHeight="1">
      <c r="D223" s="226"/>
      <c r="E223" s="754" t="str" cm="1">
        <f t="array" ref="E223">angleDecimal2Txt(F111)</f>
        <v>+19°52.54 (+19.8757) [+19°52'32.83]</v>
      </c>
      <c r="F223" s="754"/>
      <c r="G223" s="754"/>
      <c r="H223" s="754"/>
      <c r="I223" s="754"/>
      <c r="J223" s="754" t="s">
        <v>405</v>
      </c>
      <c r="K223" s="754"/>
      <c r="L223" s="754"/>
      <c r="AB223" s="61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92" customFormat="1" ht="17.25" customHeight="1">
      <c r="D224" s="226"/>
      <c r="F224" s="756" t="str" cm="1">
        <f t="array" ref="F224">angleDecimal2Txt(O122-O127-O116)</f>
        <v>+00°45.57 (+00.7595) [+00°45'34.53]</v>
      </c>
      <c r="G224" s="756"/>
      <c r="H224" s="756"/>
      <c r="I224" s="756"/>
      <c r="J224" s="756"/>
      <c r="K224" s="756" t="s">
        <v>413</v>
      </c>
      <c r="L224" s="756"/>
      <c r="M224" s="756"/>
      <c r="N224" s="797" t="s">
        <v>428</v>
      </c>
      <c r="O224" s="797"/>
      <c r="P224" s="797"/>
      <c r="AB224" s="61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2:65" s="92" customFormat="1" ht="17.25" customHeight="1">
      <c r="D225" s="226"/>
      <c r="F225" s="756" t="str" cm="1">
        <f t="array" ref="F225">angleDecimal2Txt(O122-O127-O116+O131)</f>
        <v>+01°00.54 (+01.0091) [+01°00'32.83]</v>
      </c>
      <c r="G225" s="756"/>
      <c r="H225" s="756"/>
      <c r="I225" s="756"/>
      <c r="J225" s="756"/>
      <c r="K225" s="756" t="s">
        <v>409</v>
      </c>
      <c r="L225" s="756"/>
      <c r="M225" s="756"/>
      <c r="N225" s="797"/>
      <c r="O225" s="797"/>
      <c r="P225" s="797"/>
      <c r="AB225" s="61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2:65" s="92" customFormat="1" ht="17.25" customHeight="1">
      <c r="D226" s="226"/>
      <c r="F226" s="756" t="str" cm="1">
        <f t="array" ref="F226">angleDecimal2Txt(O122-O127+O131)</f>
        <v>+01°04.06 (+01.0677) [+01°04'03.79]</v>
      </c>
      <c r="G226" s="756"/>
      <c r="H226" s="756"/>
      <c r="I226" s="756"/>
      <c r="J226" s="756"/>
      <c r="K226" s="756" t="s">
        <v>410</v>
      </c>
      <c r="L226" s="756"/>
      <c r="M226" s="756"/>
      <c r="N226" s="797"/>
      <c r="O226" s="797"/>
      <c r="P226" s="797"/>
      <c r="AB226" s="61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2:65" s="92" customFormat="1" ht="17.25" customHeight="1">
      <c r="AB227" s="61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5" s="92" customFormat="1" ht="17.25" customHeight="1">
      <c r="C228" s="226"/>
      <c r="AB228" s="61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5" s="92" customFormat="1" ht="17.25" customHeight="1" thickBot="1">
      <c r="B229" s="229" t="s">
        <v>62</v>
      </c>
      <c r="C229" s="230"/>
      <c r="D229" s="230"/>
      <c r="E229" s="230"/>
      <c r="F229" s="230"/>
      <c r="G229" s="230"/>
      <c r="H229" s="229"/>
      <c r="I229" s="229"/>
      <c r="J229" s="229"/>
      <c r="K229" s="229"/>
      <c r="L229" s="229"/>
      <c r="M229" s="229"/>
      <c r="N229" s="229"/>
      <c r="O229" s="229"/>
      <c r="P229" s="229"/>
      <c r="Q229" s="229"/>
      <c r="AB229" s="61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5" s="92" customFormat="1" ht="17.25" customHeight="1" thickTop="1">
      <c r="C230" s="819" t="s">
        <v>414</v>
      </c>
      <c r="D230" s="819"/>
      <c r="E230" s="819" t="str" cm="1">
        <f t="array" ref="E230">latitudeDecimal2Txt(G32)</f>
        <v>S 27°30.00 (S 27.5000) [S 27°30'00.00]</v>
      </c>
      <c r="F230" s="819"/>
      <c r="G230" s="819"/>
      <c r="H230" s="819"/>
      <c r="I230" s="819"/>
      <c r="J230" s="819"/>
      <c r="AB230" s="61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5" s="92" customFormat="1" ht="17.25" customHeight="1">
      <c r="C231" s="758" t="s">
        <v>415</v>
      </c>
      <c r="D231" s="758"/>
      <c r="E231" s="758" t="str" cm="1">
        <f t="array" ref="E231">longitudeDecimal2Txt(G34)</f>
        <v>E 63°00.00 (E 63.0000) [E 63°00'00.00]</v>
      </c>
      <c r="F231" s="758"/>
      <c r="G231" s="758"/>
      <c r="H231" s="758"/>
      <c r="I231" s="758"/>
      <c r="J231" s="758"/>
      <c r="AB231" s="6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5" s="92" customFormat="1" ht="17.25" customHeight="1">
      <c r="F232" s="797" t="str">
        <f>CONCATENATE("GHA - ", G88)</f>
        <v>GHA - Par vitesse</v>
      </c>
      <c r="G232" s="797"/>
      <c r="H232" s="756" t="str">
        <f>IF($G$88=$AD$88,K91,CONCATENATE("T0:",M100))</f>
        <v>T0:</v>
      </c>
      <c r="I232" s="756"/>
      <c r="J232" s="756"/>
      <c r="K232" s="756" t="str" cm="1">
        <f t="array" ref="K232">IF($G$88=$AD$88,angleDecimal2Txt(AE91,0),CONCATENATE("Pos. à T0:",angleDecimal2Txt(AD99,0)))</f>
        <v>Pos. à T0:+180°02.00</v>
      </c>
      <c r="L232" s="756"/>
      <c r="M232" s="756"/>
      <c r="AB232" s="61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5" s="92" customFormat="1" ht="17.25" customHeight="1">
      <c r="F233" s="797"/>
      <c r="G233" s="797"/>
      <c r="H233" s="756" t="str" cm="1">
        <f t="array" ref="H233">IF($G$88=$AD$88,K93,CONCATENATE("V:",angleDecimal2Txt(AD101,0)))</f>
        <v>V:+14°59.87</v>
      </c>
      <c r="I233" s="756"/>
      <c r="J233" s="756"/>
      <c r="K233" s="756" t="str" cm="1">
        <f t="array" ref="K233">IF($G$88=$AD$88,angleDecimal2Txt(AE92,0),CONCATENATE("dt:",TEXT((I100-M100),"0.000")," h"))</f>
        <v>dt:0.000 h</v>
      </c>
      <c r="L233" s="756"/>
      <c r="M233" s="756"/>
      <c r="AB233" s="61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5" s="92" customFormat="1" ht="17.25" customHeight="1">
      <c r="C234" s="806" t="s">
        <v>416</v>
      </c>
      <c r="D234" s="806"/>
      <c r="E234" s="806" t="str" cm="1">
        <f t="array" ref="E234">angleDecimal2Txt(F87)</f>
        <v>+180°02.00 (+180.0333) [+180°02'00.00]</v>
      </c>
      <c r="F234" s="806"/>
      <c r="G234" s="806"/>
      <c r="H234" s="806"/>
      <c r="I234" s="806"/>
      <c r="J234" s="806"/>
      <c r="AB234" s="61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5" s="92" customFormat="1" ht="17.25" customHeight="1">
      <c r="C235" s="806" t="s">
        <v>43</v>
      </c>
      <c r="D235" s="806"/>
      <c r="E235" s="806" t="str">
        <f>R109</f>
        <v>+243°02.00 (+243.0333) [+243°02'00.00]</v>
      </c>
      <c r="F235" s="806"/>
      <c r="G235" s="806"/>
      <c r="H235" s="806"/>
      <c r="I235" s="806"/>
      <c r="J235" s="806"/>
      <c r="AB235" s="61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2:65" s="92" customFormat="1" ht="17.25" customHeight="1">
      <c r="F236" s="797" t="str">
        <f>CONCATENATE("Déc. - ", G38)</f>
        <v>Déc. - Par interval</v>
      </c>
      <c r="G236" s="797"/>
      <c r="H236" s="756">
        <f>IF($G$38=$AD$38,K41,CONCATENATE("T0:",M50))</f>
        <v>10</v>
      </c>
      <c r="I236" s="756"/>
      <c r="J236" s="756" t="str" cm="1">
        <f t="array" ref="J236">IF($G$38=$AD$38,angleDecimal2Txt(AE41,0),CONCATENATE("Pos. à T0:",angleDecimal2Txt(AD49,0)))</f>
        <v>+23°08.50</v>
      </c>
      <c r="K236" s="756"/>
      <c r="L236" s="756"/>
      <c r="M236" s="756"/>
      <c r="AB236" s="61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2:65" s="92" customFormat="1" ht="17.25" customHeight="1">
      <c r="F237" s="797"/>
      <c r="G237" s="797"/>
      <c r="H237" s="756" cm="1">
        <f t="array" ref="H237">IF($G$38=$AD$38,K43,CONCATENATE("V:",angleDecimal2Txt(AD51,0)))</f>
        <v>11</v>
      </c>
      <c r="I237" s="756"/>
      <c r="J237" s="756" t="str" cm="1">
        <f t="array" ref="J237">IF($G$38=$AD$38,angleDecimal2Txt(AE42,0),CONCATENATE("dt:",TEXT((I50-M50),"0.000")," h"))</f>
        <v>+23°08.30</v>
      </c>
      <c r="K237" s="756"/>
      <c r="L237" s="756"/>
      <c r="M237" s="756"/>
      <c r="AB237" s="61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2:65" s="92" customFormat="1" ht="17.25" customHeight="1">
      <c r="C238" s="806" t="s">
        <v>9</v>
      </c>
      <c r="D238" s="806"/>
      <c r="E238" s="806" t="str" cm="1">
        <f t="array" ref="E238">latitudeDecimal2Txt(F37)</f>
        <v>N 23°08.83 (N 23.1472) [N 23°08'50.22]</v>
      </c>
      <c r="F238" s="806"/>
      <c r="G238" s="806"/>
      <c r="H238" s="806"/>
      <c r="I238" s="806"/>
      <c r="J238" s="806"/>
      <c r="AB238" s="61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2:65" s="92" customFormat="1" ht="17.25" customHeight="1">
      <c r="C239" s="1156" t="s">
        <v>279</v>
      </c>
      <c r="D239" s="806"/>
      <c r="E239" s="806" t="str" cm="1">
        <f t="array" ref="E239">angleDecimal2Txt(F58)</f>
        <v>+00°54.90 (+00.9150) [+00°54'54.33]</v>
      </c>
      <c r="F239" s="806"/>
      <c r="G239" s="806"/>
      <c r="H239" s="806"/>
      <c r="I239" s="806"/>
      <c r="J239" s="806"/>
      <c r="AB239" s="61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2:65" s="92" customFormat="1" ht="17.25" customHeight="1">
      <c r="C240" s="806" t="s">
        <v>664</v>
      </c>
      <c r="D240" s="806"/>
      <c r="E240" s="806" t="str" cm="1">
        <f t="array" ref="E240">angleDecimal2Txt(T58)</f>
        <v>+00°29.94 (+00.4990) [+00°29'56.60]</v>
      </c>
      <c r="F240" s="806"/>
      <c r="G240" s="806"/>
      <c r="H240" s="806"/>
      <c r="I240" s="806"/>
      <c r="J240" s="806"/>
      <c r="AB240" s="61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3:65" s="92" customFormat="1" ht="17.25" customHeight="1">
      <c r="F241" s="756" t="s">
        <v>418</v>
      </c>
      <c r="G241" s="756"/>
      <c r="H241" s="756">
        <f>SIN(U154)</f>
        <v>0.39309608032963606</v>
      </c>
      <c r="I241" s="756"/>
      <c r="J241" s="756">
        <f>SIN(U155)</f>
        <v>-0.46174861323503391</v>
      </c>
      <c r="K241" s="756"/>
      <c r="L241" s="756" t="s">
        <v>419</v>
      </c>
      <c r="M241" s="756"/>
      <c r="AB241" s="6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3:65" s="92" customFormat="1" ht="17.25" customHeight="1">
      <c r="F242" s="756" t="s">
        <v>417</v>
      </c>
      <c r="G242" s="756"/>
      <c r="H242" s="756">
        <f>COS(U154)</f>
        <v>0.91949740164367855</v>
      </c>
      <c r="I242" s="756"/>
      <c r="J242" s="756">
        <f>COS(U155)</f>
        <v>0.88701083317822171</v>
      </c>
      <c r="K242" s="756"/>
      <c r="L242" s="756" t="s">
        <v>420</v>
      </c>
      <c r="M242" s="756"/>
      <c r="AB242" s="61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3:65" s="92" customFormat="1" ht="17.25" customHeight="1">
      <c r="F243" s="800" t="s">
        <v>421</v>
      </c>
      <c r="G243" s="800"/>
      <c r="H243" s="800">
        <f>COS(U156)</f>
        <v>-0.45347205635565419</v>
      </c>
      <c r="I243" s="800"/>
      <c r="J243" s="233"/>
      <c r="K243" s="233"/>
      <c r="L243" s="233"/>
      <c r="M243" s="233"/>
      <c r="AB243" s="61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</row>
    <row r="244" spans="3:65" s="92" customFormat="1" ht="17.25" customHeight="1">
      <c r="F244" s="1202" t="s">
        <v>422</v>
      </c>
      <c r="G244" s="1202"/>
      <c r="H244" s="1202"/>
      <c r="I244" s="1202"/>
      <c r="J244" s="1202"/>
      <c r="K244" s="1202"/>
      <c r="L244" s="1202"/>
      <c r="M244" s="1202"/>
      <c r="AB244" s="61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</row>
    <row r="245" spans="3:65" s="92" customFormat="1" ht="17.25" customHeight="1">
      <c r="F245" s="756" t="s">
        <v>429</v>
      </c>
      <c r="G245" s="756"/>
      <c r="H245" s="756">
        <f>H241*J241+H242*J242*H243</f>
        <v>-0.55136526390677154</v>
      </c>
      <c r="I245" s="756"/>
      <c r="J245" s="756"/>
      <c r="K245" s="756"/>
      <c r="L245" s="756"/>
      <c r="M245" s="756"/>
      <c r="AB245" s="61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</row>
    <row r="246" spans="3:65" s="92" customFormat="1" ht="17.25" customHeight="1">
      <c r="C246" s="754" t="s">
        <v>423</v>
      </c>
      <c r="D246" s="754"/>
      <c r="E246" s="754" t="str" cm="1">
        <f t="array" ref="E246">angleDecimal2Txt(I154)</f>
        <v>-33°27.64 (-33.4607) [-33°27'38.61]</v>
      </c>
      <c r="F246" s="754"/>
      <c r="G246" s="754"/>
      <c r="H246" s="754"/>
      <c r="I246" s="754"/>
      <c r="J246" s="754"/>
      <c r="AB246" s="61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</row>
    <row r="247" spans="3:65" s="92" customFormat="1" ht="17.25" customHeight="1">
      <c r="C247" s="776" t="s">
        <v>663</v>
      </c>
      <c r="D247" s="777"/>
      <c r="E247" s="754" t="str" cm="1">
        <f t="array" ref="E247">angleDecimal2Txt(T159,0)</f>
        <v>+53°20.19</v>
      </c>
      <c r="F247" s="754"/>
      <c r="G247" s="754"/>
      <c r="H247" s="754"/>
      <c r="I247" s="754"/>
      <c r="J247" s="754"/>
      <c r="AB247" s="61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</row>
    <row r="248" spans="3:65" ht="17.25" customHeight="1">
      <c r="C248" s="778"/>
      <c r="D248" s="779"/>
      <c r="E248" s="775" t="str">
        <f>CONCATENATE(TEXT(V159,"0.00"),"  Mn")</f>
        <v>3200.19  Mn</v>
      </c>
      <c r="F248" s="775"/>
      <c r="G248" s="775"/>
      <c r="H248" s="775"/>
      <c r="I248" s="775"/>
      <c r="J248" s="775"/>
      <c r="O248" s="1204" t="s">
        <v>462</v>
      </c>
      <c r="P248" s="764" t="str" cm="1">
        <f t="array" ref="P248">latitudeDecimal2Txt(V160,0)</f>
        <v>N 23°08.83</v>
      </c>
      <c r="Q248" s="764"/>
    </row>
    <row r="249" spans="3:65" ht="17.25" customHeight="1">
      <c r="C249" s="780"/>
      <c r="D249" s="781"/>
      <c r="E249" s="775" t="str">
        <f>Y159</f>
        <v>Vers Pg</v>
      </c>
      <c r="F249" s="811"/>
      <c r="G249" s="811"/>
      <c r="H249" s="811"/>
      <c r="I249" s="811"/>
      <c r="J249" s="811"/>
      <c r="O249" s="764"/>
      <c r="P249" s="764" t="str" cm="1">
        <f t="array" ref="P249">longitudeDecimal2Txt(V161,0)</f>
        <v>E 179°58.00</v>
      </c>
      <c r="Q249" s="764"/>
    </row>
    <row r="250" spans="3:65" ht="17.25" customHeight="1">
      <c r="F250" s="801" t="s">
        <v>573</v>
      </c>
      <c r="G250" s="802"/>
      <c r="H250" s="802"/>
      <c r="I250" s="802"/>
      <c r="J250" s="802"/>
      <c r="K250" s="802"/>
      <c r="L250" s="802"/>
      <c r="M250" s="802"/>
      <c r="N250" s="802"/>
      <c r="O250" s="802"/>
      <c r="P250" s="803"/>
      <c r="Q250" s="233"/>
    </row>
    <row r="251" spans="3:65" ht="17.25" customHeight="1">
      <c r="D251" s="798" t="s">
        <v>574</v>
      </c>
      <c r="E251" s="799"/>
      <c r="F251" s="774" t="s">
        <v>583</v>
      </c>
      <c r="G251" s="774"/>
      <c r="H251" s="774">
        <f>SIGN(Q167*Q166)*ABS(Q166)</f>
        <v>-23.147284259259258</v>
      </c>
      <c r="I251" s="774"/>
      <c r="J251" s="772" t="s">
        <v>581</v>
      </c>
      <c r="K251" s="773"/>
      <c r="L251" s="772">
        <f>SIN(H251*Outils!$F$4)</f>
        <v>-0.39309608032963606</v>
      </c>
      <c r="M251" s="773"/>
      <c r="N251" s="772" t="s">
        <v>582</v>
      </c>
      <c r="O251" s="773"/>
      <c r="P251" s="772">
        <f>COS(H251*Outils!$F$4)</f>
        <v>0.91949740164367855</v>
      </c>
      <c r="Q251" s="773"/>
    </row>
    <row r="252" spans="3:65" ht="17.25" customHeight="1">
      <c r="D252" s="798"/>
      <c r="E252" s="799"/>
      <c r="F252" s="772" t="s">
        <v>578</v>
      </c>
      <c r="G252" s="794"/>
      <c r="H252" s="774">
        <f>ABS(Q167)</f>
        <v>27.5</v>
      </c>
      <c r="I252" s="774"/>
      <c r="J252" s="795" t="s">
        <v>579</v>
      </c>
      <c r="K252" s="796"/>
      <c r="L252" s="772">
        <f>SIN(H252*Outils!$F$4)</f>
        <v>0.46174861323503391</v>
      </c>
      <c r="M252" s="773"/>
      <c r="N252" s="795" t="s">
        <v>580</v>
      </c>
      <c r="O252" s="796"/>
      <c r="P252" s="772">
        <f>COS(H252*Outils!$F$4)</f>
        <v>0.88701083317822171</v>
      </c>
      <c r="Q252" s="773"/>
    </row>
    <row r="253" spans="3:65" ht="17.25" customHeight="1">
      <c r="D253" s="798"/>
      <c r="E253" s="799"/>
      <c r="F253" s="772" t="s">
        <v>575</v>
      </c>
      <c r="G253" s="773"/>
      <c r="H253" s="772">
        <f>IF(Q168&gt;180,(-1)*Q168,Q168)</f>
        <v>-243.03333333333333</v>
      </c>
      <c r="I253" s="773"/>
      <c r="J253" s="772" t="s">
        <v>576</v>
      </c>
      <c r="K253" s="773"/>
      <c r="L253" s="772">
        <f>SIN(H253*Outils!$F$4)</f>
        <v>0.89127049435318706</v>
      </c>
      <c r="M253" s="773"/>
      <c r="N253" s="772" t="s">
        <v>577</v>
      </c>
      <c r="O253" s="773"/>
      <c r="P253" s="772">
        <f>COS(H253*Outils!$F$4)</f>
        <v>-0.45347205635565419</v>
      </c>
      <c r="Q253" s="773"/>
    </row>
    <row r="254" spans="3:65" ht="17.25" customHeight="1">
      <c r="F254" s="771" t="s">
        <v>572</v>
      </c>
      <c r="G254" s="771"/>
      <c r="H254" s="766">
        <f>(P251*L253)/((P252*L251)-(L252*P251*P253))</f>
        <v>-5.2483990661118742</v>
      </c>
      <c r="I254" s="767"/>
      <c r="J254" s="767"/>
      <c r="K254" s="767"/>
      <c r="L254" s="767"/>
      <c r="M254" s="768"/>
      <c r="N254" s="233"/>
      <c r="O254" s="233"/>
      <c r="P254" s="233"/>
      <c r="Q254" s="233"/>
      <c r="AC254">
        <f>ATAN(H254)*Outils!F5</f>
        <v>-79.212489747150428</v>
      </c>
      <c r="AD254">
        <f>IF(AC254&lt;0,AC254+180,AC254)</f>
        <v>100.78751025284957</v>
      </c>
    </row>
    <row r="255" spans="3:65" ht="17.25" customHeight="1">
      <c r="F255" s="756" t="s">
        <v>92</v>
      </c>
      <c r="G255" s="756"/>
      <c r="H255" s="766" t="str" cm="1">
        <f t="array" ref="H255">angleDecimal2Txt(I166,0)</f>
        <v>+100°47.25</v>
      </c>
      <c r="I255" s="767"/>
      <c r="J255" s="767"/>
      <c r="K255" s="767"/>
      <c r="L255" s="767"/>
      <c r="M255" s="768"/>
      <c r="N255" s="233"/>
      <c r="O255" s="233"/>
      <c r="P255" s="233"/>
      <c r="Q255" s="233"/>
    </row>
    <row r="256" spans="3:65" ht="17.25" customHeight="1">
      <c r="F256" s="782" t="s">
        <v>143</v>
      </c>
      <c r="G256" s="783"/>
      <c r="H256" s="783"/>
      <c r="I256" s="783"/>
      <c r="J256" s="783"/>
      <c r="K256" s="784"/>
      <c r="L256" s="782" t="s">
        <v>144</v>
      </c>
      <c r="M256" s="783"/>
      <c r="N256" s="783"/>
      <c r="O256" s="783"/>
      <c r="P256" s="783"/>
      <c r="Q256" s="784"/>
    </row>
    <row r="257" spans="3:17" ht="17.25" customHeight="1">
      <c r="F257" s="785"/>
      <c r="G257" s="787" t="s">
        <v>117</v>
      </c>
      <c r="H257" s="788"/>
      <c r="I257" s="789"/>
      <c r="J257" s="769" t="s">
        <v>118</v>
      </c>
      <c r="K257" s="770"/>
      <c r="L257" s="785"/>
      <c r="M257" s="787" t="s">
        <v>117</v>
      </c>
      <c r="N257" s="788"/>
      <c r="O257" s="789"/>
      <c r="P257" s="769" t="s">
        <v>119</v>
      </c>
      <c r="Q257" s="770"/>
    </row>
    <row r="258" spans="3:17" ht="17.25" customHeight="1">
      <c r="F258" s="786"/>
      <c r="G258" s="790" t="s">
        <v>87</v>
      </c>
      <c r="H258" s="791"/>
      <c r="I258" s="792"/>
      <c r="J258" s="762" t="s">
        <v>88</v>
      </c>
      <c r="K258" s="763"/>
      <c r="L258" s="786"/>
      <c r="M258" s="790" t="s">
        <v>87</v>
      </c>
      <c r="N258" s="791"/>
      <c r="O258" s="792"/>
      <c r="P258" s="762" t="s">
        <v>89</v>
      </c>
      <c r="Q258" s="763"/>
    </row>
    <row r="259" spans="3:17" ht="17.25" customHeight="1">
      <c r="F259" s="756" t="s">
        <v>427</v>
      </c>
      <c r="G259" s="756"/>
      <c r="H259" s="766" t="str">
        <f>IF(G32&gt;0,"Nord","Sud")</f>
        <v>Sud</v>
      </c>
      <c r="I259" s="767"/>
      <c r="J259" s="767"/>
      <c r="K259" s="767"/>
      <c r="L259" s="767"/>
      <c r="M259" s="768"/>
      <c r="N259" s="233"/>
      <c r="O259" s="233"/>
      <c r="P259" s="233"/>
      <c r="Q259" s="233"/>
    </row>
    <row r="260" spans="3:17" ht="17.25" customHeight="1">
      <c r="F260" s="756" t="s">
        <v>426</v>
      </c>
      <c r="G260" s="756"/>
      <c r="H260" s="766" t="b">
        <f>(F108&gt;180)</f>
        <v>1</v>
      </c>
      <c r="I260" s="767"/>
      <c r="J260" s="767"/>
      <c r="K260" s="767"/>
      <c r="L260" s="767"/>
      <c r="M260" s="768"/>
      <c r="N260" s="233"/>
      <c r="O260" s="233"/>
      <c r="P260" s="233"/>
      <c r="Q260" s="233"/>
    </row>
    <row r="261" spans="3:17" ht="17.25" customHeight="1">
      <c r="C261" s="775" t="s">
        <v>425</v>
      </c>
      <c r="D261" s="775"/>
      <c r="E261" s="775" t="str" cm="1">
        <f t="array" ref="E261">angleDecimal2Txt(T176,0)</f>
        <v>+79°12.74</v>
      </c>
      <c r="F261" s="775"/>
      <c r="G261" s="775"/>
      <c r="H261" s="775"/>
      <c r="I261" s="775"/>
      <c r="J261" s="775"/>
      <c r="O261" s="313" t="s">
        <v>628</v>
      </c>
      <c r="P261" s="793" t="str">
        <f>angleDecimal2Txt(astroModuloEnDegre(90+T176),0)</f>
        <v>+169°12.74</v>
      </c>
      <c r="Q261" s="793"/>
    </row>
  </sheetData>
  <protectedRanges>
    <protectedRange sqref="I11:Y11" name="Heure visee" securityDescriptor="O:WDG:WDD:(A;;CC;;;WD)"/>
  </protectedRanges>
  <dataConsolidate link="1"/>
  <mergeCells count="527">
    <mergeCell ref="F259:G259"/>
    <mergeCell ref="H259:M259"/>
    <mergeCell ref="F260:G260"/>
    <mergeCell ref="H260:M260"/>
    <mergeCell ref="F254:G254"/>
    <mergeCell ref="H254:M254"/>
    <mergeCell ref="F255:G255"/>
    <mergeCell ref="H255:M255"/>
    <mergeCell ref="F256:K256"/>
    <mergeCell ref="L256:Q256"/>
    <mergeCell ref="F257:F258"/>
    <mergeCell ref="G257:I257"/>
    <mergeCell ref="J257:K257"/>
    <mergeCell ref="L257:L258"/>
    <mergeCell ref="M257:O257"/>
    <mergeCell ref="P257:Q257"/>
    <mergeCell ref="G258:I258"/>
    <mergeCell ref="J258:K258"/>
    <mergeCell ref="M258:O258"/>
    <mergeCell ref="P258:Q258"/>
    <mergeCell ref="F250:P250"/>
    <mergeCell ref="D251:E253"/>
    <mergeCell ref="F251:G251"/>
    <mergeCell ref="H251:I251"/>
    <mergeCell ref="J251:K251"/>
    <mergeCell ref="L251:M251"/>
    <mergeCell ref="N251:O251"/>
    <mergeCell ref="P251:Q251"/>
    <mergeCell ref="H252:I252"/>
    <mergeCell ref="J252:K252"/>
    <mergeCell ref="L252:M252"/>
    <mergeCell ref="N252:O252"/>
    <mergeCell ref="P252:Q252"/>
    <mergeCell ref="F253:G253"/>
    <mergeCell ref="H253:I253"/>
    <mergeCell ref="J253:K253"/>
    <mergeCell ref="L253:M253"/>
    <mergeCell ref="N253:O253"/>
    <mergeCell ref="P253:Q253"/>
    <mergeCell ref="C261:D261"/>
    <mergeCell ref="E261:J261"/>
    <mergeCell ref="F219:G219"/>
    <mergeCell ref="H219:L219"/>
    <mergeCell ref="O248:O249"/>
    <mergeCell ref="F252:G252"/>
    <mergeCell ref="C246:D246"/>
    <mergeCell ref="E246:J246"/>
    <mergeCell ref="C247:D249"/>
    <mergeCell ref="E247:J247"/>
    <mergeCell ref="E248:J248"/>
    <mergeCell ref="E249:J249"/>
    <mergeCell ref="F236:G237"/>
    <mergeCell ref="H236:I236"/>
    <mergeCell ref="J236:M236"/>
    <mergeCell ref="H237:I237"/>
    <mergeCell ref="J237:M237"/>
    <mergeCell ref="C238:D238"/>
    <mergeCell ref="E238:J238"/>
    <mergeCell ref="F241:G241"/>
    <mergeCell ref="H241:I241"/>
    <mergeCell ref="J241:K241"/>
    <mergeCell ref="L241:M241"/>
    <mergeCell ref="F232:G233"/>
    <mergeCell ref="P248:Q248"/>
    <mergeCell ref="P249:Q249"/>
    <mergeCell ref="F242:G242"/>
    <mergeCell ref="H242:I242"/>
    <mergeCell ref="J242:K242"/>
    <mergeCell ref="L242:M242"/>
    <mergeCell ref="F243:G243"/>
    <mergeCell ref="H243:I243"/>
    <mergeCell ref="F244:M244"/>
    <mergeCell ref="F245:G245"/>
    <mergeCell ref="H245:M245"/>
    <mergeCell ref="H232:J232"/>
    <mergeCell ref="K232:M232"/>
    <mergeCell ref="H233:J233"/>
    <mergeCell ref="K233:M233"/>
    <mergeCell ref="C234:D234"/>
    <mergeCell ref="E234:J234"/>
    <mergeCell ref="C235:D235"/>
    <mergeCell ref="E235:J235"/>
    <mergeCell ref="N224:P226"/>
    <mergeCell ref="F225:J225"/>
    <mergeCell ref="K225:M225"/>
    <mergeCell ref="F226:J226"/>
    <mergeCell ref="K226:M226"/>
    <mergeCell ref="C230:D230"/>
    <mergeCell ref="E230:J230"/>
    <mergeCell ref="C231:D231"/>
    <mergeCell ref="E231:J231"/>
    <mergeCell ref="F220:G220"/>
    <mergeCell ref="H220:L220"/>
    <mergeCell ref="F221:G221"/>
    <mergeCell ref="H221:L221"/>
    <mergeCell ref="F222:G222"/>
    <mergeCell ref="H222:L222"/>
    <mergeCell ref="E223:I223"/>
    <mergeCell ref="J223:L223"/>
    <mergeCell ref="F224:J224"/>
    <mergeCell ref="K224:M224"/>
    <mergeCell ref="C214:D214"/>
    <mergeCell ref="E214:I214"/>
    <mergeCell ref="C215:D215"/>
    <mergeCell ref="E215:I215"/>
    <mergeCell ref="E216:I216"/>
    <mergeCell ref="J216:L216"/>
    <mergeCell ref="F217:G217"/>
    <mergeCell ref="H217:L217"/>
    <mergeCell ref="F218:G218"/>
    <mergeCell ref="H218:L218"/>
    <mergeCell ref="B208:C208"/>
    <mergeCell ref="D208:G208"/>
    <mergeCell ref="I208:L208"/>
    <mergeCell ref="B209:C209"/>
    <mergeCell ref="D209:E209"/>
    <mergeCell ref="C212:D212"/>
    <mergeCell ref="E212:I212"/>
    <mergeCell ref="C213:D213"/>
    <mergeCell ref="E213:I213"/>
    <mergeCell ref="O153:AA153"/>
    <mergeCell ref="E154:H156"/>
    <mergeCell ref="I154:M155"/>
    <mergeCell ref="T154:T156"/>
    <mergeCell ref="O166:P166"/>
    <mergeCell ref="Q166:S166"/>
    <mergeCell ref="U166:W166"/>
    <mergeCell ref="I170:N170"/>
    <mergeCell ref="O170:T170"/>
    <mergeCell ref="X154:X156"/>
    <mergeCell ref="O155:P155"/>
    <mergeCell ref="Q155:S155"/>
    <mergeCell ref="U155:W155"/>
    <mergeCell ref="I156:M156"/>
    <mergeCell ref="O156:P156"/>
    <mergeCell ref="Q156:S156"/>
    <mergeCell ref="U156:W156"/>
    <mergeCell ref="E158:H160"/>
    <mergeCell ref="I158:M159"/>
    <mergeCell ref="O159:S159"/>
    <mergeCell ref="O154:P154"/>
    <mergeCell ref="Q154:S154"/>
    <mergeCell ref="U154:W154"/>
    <mergeCell ref="Y159:Z159"/>
    <mergeCell ref="H140:N140"/>
    <mergeCell ref="O140:R140"/>
    <mergeCell ref="U140:Z140"/>
    <mergeCell ref="F142:I142"/>
    <mergeCell ref="J142:L142"/>
    <mergeCell ref="L148:M148"/>
    <mergeCell ref="O148:P148"/>
    <mergeCell ref="W148:AA148"/>
    <mergeCell ref="H150:N150"/>
    <mergeCell ref="O150:R150"/>
    <mergeCell ref="U150:Z150"/>
    <mergeCell ref="I136:N136"/>
    <mergeCell ref="O136:R137"/>
    <mergeCell ref="S136:S137"/>
    <mergeCell ref="I137:N137"/>
    <mergeCell ref="I138:N138"/>
    <mergeCell ref="O138:R138"/>
    <mergeCell ref="G133:S133"/>
    <mergeCell ref="G134:H135"/>
    <mergeCell ref="I134:N134"/>
    <mergeCell ref="O134:R135"/>
    <mergeCell ref="S134:S135"/>
    <mergeCell ref="AD134:AE134"/>
    <mergeCell ref="I135:N135"/>
    <mergeCell ref="AD130:AE130"/>
    <mergeCell ref="H131:N131"/>
    <mergeCell ref="O131:R131"/>
    <mergeCell ref="U131:Z131"/>
    <mergeCell ref="AD131:AE131"/>
    <mergeCell ref="AD132:AE132"/>
    <mergeCell ref="H127:N127"/>
    <mergeCell ref="O127:R127"/>
    <mergeCell ref="U127:Z127"/>
    <mergeCell ref="H129:N129"/>
    <mergeCell ref="O129:R129"/>
    <mergeCell ref="H130:N130"/>
    <mergeCell ref="O130:R130"/>
    <mergeCell ref="S124:U124"/>
    <mergeCell ref="H125:N125"/>
    <mergeCell ref="O125:R125"/>
    <mergeCell ref="S125:U125"/>
    <mergeCell ref="H126:N126"/>
    <mergeCell ref="O126:R126"/>
    <mergeCell ref="S126:U126"/>
    <mergeCell ref="M120:P120"/>
    <mergeCell ref="H121:N121"/>
    <mergeCell ref="O121:R121"/>
    <mergeCell ref="U121:Z121"/>
    <mergeCell ref="H122:N122"/>
    <mergeCell ref="O122:R122"/>
    <mergeCell ref="U122:Z122"/>
    <mergeCell ref="M117:P117"/>
    <mergeCell ref="H118:N118"/>
    <mergeCell ref="O118:P118"/>
    <mergeCell ref="R118:S118"/>
    <mergeCell ref="U118:Z118"/>
    <mergeCell ref="H114:N114"/>
    <mergeCell ref="O114:R114"/>
    <mergeCell ref="U114:Z114"/>
    <mergeCell ref="H115:N115"/>
    <mergeCell ref="O115:R115"/>
    <mergeCell ref="U115:Z115"/>
    <mergeCell ref="C112:F112"/>
    <mergeCell ref="G112:I112"/>
    <mergeCell ref="AC112:AC113"/>
    <mergeCell ref="F113:I113"/>
    <mergeCell ref="J113:L113"/>
    <mergeCell ref="D111:E111"/>
    <mergeCell ref="F111:H111"/>
    <mergeCell ref="M111:N111"/>
    <mergeCell ref="H116:N116"/>
    <mergeCell ref="O116:R116"/>
    <mergeCell ref="U116:Z116"/>
    <mergeCell ref="F108:H108"/>
    <mergeCell ref="J108:L108"/>
    <mergeCell ref="M108:O108"/>
    <mergeCell ref="C109:H109"/>
    <mergeCell ref="I109:L109"/>
    <mergeCell ref="N109:Q109"/>
    <mergeCell ref="R109:W109"/>
    <mergeCell ref="S111:U111"/>
    <mergeCell ref="V111:Z111"/>
    <mergeCell ref="C88:F88"/>
    <mergeCell ref="G88:I88"/>
    <mergeCell ref="F87:H87"/>
    <mergeCell ref="L87:M87"/>
    <mergeCell ref="C46:C50"/>
    <mergeCell ref="N48:N49"/>
    <mergeCell ref="O48:R49"/>
    <mergeCell ref="S48:S49"/>
    <mergeCell ref="T48:W49"/>
    <mergeCell ref="K81:M82"/>
    <mergeCell ref="S81:W82"/>
    <mergeCell ref="K83:M84"/>
    <mergeCell ref="S83:W84"/>
    <mergeCell ref="D84:H84"/>
    <mergeCell ref="D79:H80"/>
    <mergeCell ref="D48:H49"/>
    <mergeCell ref="I48:J50"/>
    <mergeCell ref="K48:M49"/>
    <mergeCell ref="N50:R50"/>
    <mergeCell ref="S50:W50"/>
    <mergeCell ref="C52:C56"/>
    <mergeCell ref="D52:H53"/>
    <mergeCell ref="I52:M53"/>
    <mergeCell ref="D54:H55"/>
    <mergeCell ref="AC38:AC39"/>
    <mergeCell ref="F37:H37"/>
    <mergeCell ref="N39:R40"/>
    <mergeCell ref="N41:N42"/>
    <mergeCell ref="O41:R42"/>
    <mergeCell ref="S41:W42"/>
    <mergeCell ref="D46:H47"/>
    <mergeCell ref="I46:J47"/>
    <mergeCell ref="K46:M47"/>
    <mergeCell ref="N46:R47"/>
    <mergeCell ref="S46:W47"/>
    <mergeCell ref="C38:F38"/>
    <mergeCell ref="G38:I38"/>
    <mergeCell ref="D39:H40"/>
    <mergeCell ref="I39:J40"/>
    <mergeCell ref="K39:M40"/>
    <mergeCell ref="D41:H43"/>
    <mergeCell ref="I41:J44"/>
    <mergeCell ref="K41:M42"/>
    <mergeCell ref="K43:M44"/>
    <mergeCell ref="N43:N44"/>
    <mergeCell ref="O43:R44"/>
    <mergeCell ref="S43:W44"/>
    <mergeCell ref="D44:H44"/>
    <mergeCell ref="M22:O22"/>
    <mergeCell ref="S28:X28"/>
    <mergeCell ref="P29:X29"/>
    <mergeCell ref="C26:I29"/>
    <mergeCell ref="J26:L29"/>
    <mergeCell ref="M26:O29"/>
    <mergeCell ref="P26:R27"/>
    <mergeCell ref="P28:R28"/>
    <mergeCell ref="E24:I25"/>
    <mergeCell ref="C24:D25"/>
    <mergeCell ref="J24:L25"/>
    <mergeCell ref="M24:O25"/>
    <mergeCell ref="P25:X25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P20:X20"/>
    <mergeCell ref="E12:H12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N3:P4"/>
    <mergeCell ref="Q3:S4"/>
    <mergeCell ref="I8:K8"/>
    <mergeCell ref="L8:O8"/>
    <mergeCell ref="U144:V144"/>
    <mergeCell ref="U145:V145"/>
    <mergeCell ref="K146:K147"/>
    <mergeCell ref="N146:N147"/>
    <mergeCell ref="Q146:Q147"/>
    <mergeCell ref="U146:V146"/>
    <mergeCell ref="L147:M147"/>
    <mergeCell ref="O147:P147"/>
    <mergeCell ref="C23:I23"/>
    <mergeCell ref="J23:L23"/>
    <mergeCell ref="M23:O23"/>
    <mergeCell ref="C21:I21"/>
    <mergeCell ref="J21:L21"/>
    <mergeCell ref="M21:O21"/>
    <mergeCell ref="P21:X21"/>
    <mergeCell ref="C22:I22"/>
    <mergeCell ref="J22:L22"/>
    <mergeCell ref="C1:F4"/>
    <mergeCell ref="G1:Y2"/>
    <mergeCell ref="G3:I4"/>
    <mergeCell ref="E166:H168"/>
    <mergeCell ref="I166:M167"/>
    <mergeCell ref="T166:T168"/>
    <mergeCell ref="X166:X168"/>
    <mergeCell ref="O167:P167"/>
    <mergeCell ref="Q167:S167"/>
    <mergeCell ref="U167:W167"/>
    <mergeCell ref="I168:M168"/>
    <mergeCell ref="O168:P168"/>
    <mergeCell ref="Q168:S168"/>
    <mergeCell ref="U168:W168"/>
    <mergeCell ref="P171:R171"/>
    <mergeCell ref="S171:T171"/>
    <mergeCell ref="J172:L172"/>
    <mergeCell ref="M172:N172"/>
    <mergeCell ref="P172:R172"/>
    <mergeCell ref="S172:T172"/>
    <mergeCell ref="L175:M175"/>
    <mergeCell ref="I160:M160"/>
    <mergeCell ref="O165:AA165"/>
    <mergeCell ref="S160:S161"/>
    <mergeCell ref="T160:U160"/>
    <mergeCell ref="V160:W160"/>
    <mergeCell ref="X160:AC160"/>
    <mergeCell ref="T161:U161"/>
    <mergeCell ref="V161:W161"/>
    <mergeCell ref="X161:AC161"/>
    <mergeCell ref="AE203:AF204"/>
    <mergeCell ref="E184:F184"/>
    <mergeCell ref="S184:T184"/>
    <mergeCell ref="U184:Z184"/>
    <mergeCell ref="Q186:S186"/>
    <mergeCell ref="R187:S187"/>
    <mergeCell ref="C192:F192"/>
    <mergeCell ref="E193:F193"/>
    <mergeCell ref="G193:L193"/>
    <mergeCell ref="S193:T193"/>
    <mergeCell ref="U193:Z193"/>
    <mergeCell ref="D197:E197"/>
    <mergeCell ref="AE197:AF198"/>
    <mergeCell ref="AE200:AF201"/>
    <mergeCell ref="I177:K177"/>
    <mergeCell ref="L177:M177"/>
    <mergeCell ref="T177:Y177"/>
    <mergeCell ref="C182:F182"/>
    <mergeCell ref="H182:J182"/>
    <mergeCell ref="L182:N182"/>
    <mergeCell ref="Q182:T182"/>
    <mergeCell ref="E183:F183"/>
    <mergeCell ref="I183:J183"/>
    <mergeCell ref="M183:N183"/>
    <mergeCell ref="S183:T183"/>
    <mergeCell ref="U183:Z183"/>
    <mergeCell ref="AS30:AT30"/>
    <mergeCell ref="Y27:Z27"/>
    <mergeCell ref="T27:X27"/>
    <mergeCell ref="E73:Q73"/>
    <mergeCell ref="E194:F194"/>
    <mergeCell ref="G194:L194"/>
    <mergeCell ref="S194:T194"/>
    <mergeCell ref="U194:Z194"/>
    <mergeCell ref="C196:E196"/>
    <mergeCell ref="T173:V173"/>
    <mergeCell ref="X173:Z173"/>
    <mergeCell ref="N174:O174"/>
    <mergeCell ref="Q174:S174"/>
    <mergeCell ref="T174:V174"/>
    <mergeCell ref="X174:Z174"/>
    <mergeCell ref="I175:J175"/>
    <mergeCell ref="I176:J176"/>
    <mergeCell ref="L176:M176"/>
    <mergeCell ref="O176:S176"/>
    <mergeCell ref="T176:U176"/>
    <mergeCell ref="I171:I172"/>
    <mergeCell ref="J171:L171"/>
    <mergeCell ref="M171:N171"/>
    <mergeCell ref="O171:O172"/>
    <mergeCell ref="A33:A34"/>
    <mergeCell ref="C34:F35"/>
    <mergeCell ref="G34:I35"/>
    <mergeCell ref="J34:J35"/>
    <mergeCell ref="K34:O35"/>
    <mergeCell ref="P34:Y35"/>
    <mergeCell ref="C32:F33"/>
    <mergeCell ref="G32:I33"/>
    <mergeCell ref="J32:J33"/>
    <mergeCell ref="K32:O33"/>
    <mergeCell ref="N60:R61"/>
    <mergeCell ref="N62:N63"/>
    <mergeCell ref="O62:R63"/>
    <mergeCell ref="S62:W63"/>
    <mergeCell ref="N64:N65"/>
    <mergeCell ref="O64:R65"/>
    <mergeCell ref="S64:W65"/>
    <mergeCell ref="K93:M94"/>
    <mergeCell ref="P32:Y33"/>
    <mergeCell ref="S96:W97"/>
    <mergeCell ref="D98:H99"/>
    <mergeCell ref="I98:J100"/>
    <mergeCell ref="K98:M99"/>
    <mergeCell ref="N98:N99"/>
    <mergeCell ref="O98:R99"/>
    <mergeCell ref="S98:S99"/>
    <mergeCell ref="T98:W99"/>
    <mergeCell ref="D100:H100"/>
    <mergeCell ref="K100:M100"/>
    <mergeCell ref="N100:R100"/>
    <mergeCell ref="S100:W100"/>
    <mergeCell ref="C67:C71"/>
    <mergeCell ref="D67:H68"/>
    <mergeCell ref="I67:M68"/>
    <mergeCell ref="D69:H70"/>
    <mergeCell ref="I69:I70"/>
    <mergeCell ref="J69:M70"/>
    <mergeCell ref="D71:H71"/>
    <mergeCell ref="D50:H50"/>
    <mergeCell ref="K50:M50"/>
    <mergeCell ref="F58:H58"/>
    <mergeCell ref="C59:F59"/>
    <mergeCell ref="G59:I59"/>
    <mergeCell ref="C60:C65"/>
    <mergeCell ref="D60:H61"/>
    <mergeCell ref="I60:J61"/>
    <mergeCell ref="K60:M61"/>
    <mergeCell ref="D62:H64"/>
    <mergeCell ref="I62:J65"/>
    <mergeCell ref="K62:M63"/>
    <mergeCell ref="K64:M65"/>
    <mergeCell ref="D65:H65"/>
    <mergeCell ref="I54:I55"/>
    <mergeCell ref="J54:M55"/>
    <mergeCell ref="D56:H56"/>
    <mergeCell ref="C39:C44"/>
    <mergeCell ref="T58:V58"/>
    <mergeCell ref="N81:R82"/>
    <mergeCell ref="N83:R84"/>
    <mergeCell ref="S91:X92"/>
    <mergeCell ref="S93:X94"/>
    <mergeCell ref="AC59:AC60"/>
    <mergeCell ref="C74:D74"/>
    <mergeCell ref="C75:D75"/>
    <mergeCell ref="C76:D76"/>
    <mergeCell ref="C77:D77"/>
    <mergeCell ref="D81:H83"/>
    <mergeCell ref="I81:J84"/>
    <mergeCell ref="AC88:AC89"/>
    <mergeCell ref="C89:C94"/>
    <mergeCell ref="D89:H90"/>
    <mergeCell ref="I89:J90"/>
    <mergeCell ref="K89:M90"/>
    <mergeCell ref="N89:R90"/>
    <mergeCell ref="D91:H93"/>
    <mergeCell ref="I91:J94"/>
    <mergeCell ref="K91:M92"/>
    <mergeCell ref="N91:N92"/>
    <mergeCell ref="O91:R92"/>
    <mergeCell ref="P261:Q261"/>
    <mergeCell ref="C240:D240"/>
    <mergeCell ref="E240:J240"/>
    <mergeCell ref="C239:D239"/>
    <mergeCell ref="E239:J239"/>
    <mergeCell ref="I79:J80"/>
    <mergeCell ref="K79:M80"/>
    <mergeCell ref="N79:R80"/>
    <mergeCell ref="I58:J58"/>
    <mergeCell ref="C102:C106"/>
    <mergeCell ref="D102:H103"/>
    <mergeCell ref="I102:M103"/>
    <mergeCell ref="D104:H105"/>
    <mergeCell ref="I104:I105"/>
    <mergeCell ref="J104:M105"/>
    <mergeCell ref="D106:H106"/>
    <mergeCell ref="C96:C100"/>
    <mergeCell ref="D96:H97"/>
    <mergeCell ref="I96:J97"/>
    <mergeCell ref="K96:M97"/>
    <mergeCell ref="N96:R97"/>
    <mergeCell ref="N93:N94"/>
    <mergeCell ref="O93:R94"/>
    <mergeCell ref="D94:H94"/>
  </mergeCells>
  <dataValidations count="6">
    <dataValidation type="list" allowBlank="1" showInputMessage="1" showErrorMessage="1" sqref="M23:O23" xr:uid="{39EBD459-BF12-4A47-923A-D3915DF7A305}">
      <formula1>$AD$25:$AF$25</formula1>
    </dataValidation>
    <dataValidation type="list" allowBlank="1" showInputMessage="1" showErrorMessage="1" sqref="G112:I112" xr:uid="{975EFC59-B6D8-4C9B-B275-10D8F8A0899E}">
      <formula1>$AD$112:$AD$113</formula1>
    </dataValidation>
    <dataValidation type="list" allowBlank="1" showInputMessage="1" showErrorMessage="1" sqref="J15:O15" xr:uid="{B62968AF-C701-4AE4-A3A1-D215B7DDDE5F}">
      <formula1>$AC$15:$AD$15</formula1>
    </dataValidation>
    <dataValidation type="list" allowBlank="1" showInputMessage="1" showErrorMessage="1" sqref="G59:I59" xr:uid="{18241975-7CCB-4E47-9E0F-E3ADEA293F2D}">
      <formula1>$AD$58:$AD$59</formula1>
    </dataValidation>
    <dataValidation type="list" allowBlank="1" showInputMessage="1" showErrorMessage="1" sqref="G38:I38" xr:uid="{0D4B6F15-0A07-4AD8-9537-B54AF78098F7}">
      <formula1>$AD$37:$AD$39</formula1>
    </dataValidation>
    <dataValidation type="list" allowBlank="1" showInputMessage="1" showErrorMessage="1" sqref="G88:I88" xr:uid="{E6494A9B-11C7-4AE4-AAC3-D895C0BE0281}">
      <formula1>$AD$87:$AD$89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Button7_Click">
                <anchor moveWithCells="1" sizeWithCells="1">
                  <from>
                    <xdr:col>6</xdr:col>
                    <xdr:colOff>0</xdr:colOff>
                    <xdr:row>204</xdr:row>
                    <xdr:rowOff>57150</xdr:rowOff>
                  </from>
                  <to>
                    <xdr:col>7</xdr:col>
                    <xdr:colOff>361950</xdr:colOff>
                    <xdr:row>205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7AE00E9-33BF-4316-BC60-C5CFB272C76D}">
          <x14:formula1>
            <xm:f>Outils!$C$9:$C$10</xm:f>
          </x14:formula1>
          <xm:sqref>J32:J33 N41:N44 N48:N49 S48:S49 I54:I55 N62:N65 I69:I70</xm:sqref>
        </x14:dataValidation>
        <x14:dataValidation type="list" allowBlank="1" showInputMessage="1" showErrorMessage="1" xr:uid="{D7E758E1-4BB6-4975-960D-70CBAFCA9A08}">
          <x14:formula1>
            <xm:f>Outils!$D$9:$D$10</xm:f>
          </x14:formula1>
          <xm:sqref>J34:J35</xm:sqref>
        </x14:dataValidation>
        <x14:dataValidation type="list" allowBlank="1" showInputMessage="1" showErrorMessage="1" xr:uid="{24FD2E94-9FB8-4110-BBB7-1F181EEC306A}">
          <x14:formula1>
            <xm:f>Outils!$D$9</xm:f>
          </x14:formula1>
          <xm:sqref>N91:N94 N98:N99 S98:S99 I104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01CA5-EB42-4D21-88E8-34391C50F481}">
  <sheetPr codeName="Sheet5">
    <pageSetUpPr fitToPage="1"/>
  </sheetPr>
  <dimension ref="A1:BP100"/>
  <sheetViews>
    <sheetView topLeftCell="D16" zoomScaleNormal="100" workbookViewId="0">
      <selection activeCell="AC27" sqref="AC27"/>
    </sheetView>
  </sheetViews>
  <sheetFormatPr baseColWidth="10" defaultColWidth="5.140625" defaultRowHeight="17.25" customHeight="1" outlineLevelCol="1"/>
  <cols>
    <col min="1" max="1" width="6.42578125" style="16" customWidth="1"/>
    <col min="2" max="2" width="8.5703125" style="16" customWidth="1"/>
    <col min="3" max="3" width="8.85546875" style="59" customWidth="1"/>
    <col min="4" max="4" width="9.140625" style="59" customWidth="1"/>
    <col min="5" max="5" width="9.85546875" style="211" customWidth="1"/>
    <col min="6" max="6" width="7.140625" style="148" customWidth="1"/>
    <col min="7" max="7" width="7.140625" style="59" customWidth="1"/>
    <col min="8" max="9" width="8.140625" style="16" customWidth="1"/>
    <col min="10" max="10" width="7.140625" style="16" customWidth="1"/>
    <col min="11" max="11" width="9.28515625" style="16" customWidth="1"/>
    <col min="12" max="12" width="9.85546875" style="16" customWidth="1"/>
    <col min="13" max="13" width="8.140625" style="150" customWidth="1"/>
    <col min="14" max="15" width="7.140625" style="16" customWidth="1"/>
    <col min="16" max="17" width="9.28515625" style="16" customWidth="1"/>
    <col min="18" max="19" width="8.5703125" style="16" customWidth="1"/>
    <col min="20" max="20" width="11" style="16" customWidth="1"/>
    <col min="21" max="22" width="7.140625" style="16" customWidth="1"/>
    <col min="23" max="23" width="7.140625" style="145" customWidth="1"/>
    <col min="24" max="24" width="11.28515625" style="145" customWidth="1"/>
    <col min="25" max="25" width="11.7109375" style="145" customWidth="1"/>
    <col min="26" max="26" width="12.42578125" style="145" customWidth="1"/>
    <col min="27" max="27" width="13" style="150" customWidth="1"/>
    <col min="28" max="28" width="11.28515625" customWidth="1" outlineLevel="1"/>
    <col min="29" max="29" width="15.28515625" customWidth="1" outlineLevel="1"/>
    <col min="30" max="30" width="1.85546875" customWidth="1" outlineLevel="1"/>
    <col min="31" max="31" width="2.140625" style="83" customWidth="1" outlineLevel="1"/>
    <col min="32" max="32" width="2" customWidth="1" outlineLevel="1"/>
    <col min="33" max="33" width="13.7109375" customWidth="1" outlineLevel="1"/>
    <col min="34" max="34" width="11" customWidth="1" outlineLevel="1"/>
    <col min="35" max="35" width="9.85546875" customWidth="1" outlineLevel="1"/>
    <col min="36" max="40" width="13.7109375" customWidth="1" outlineLevel="1"/>
    <col min="41" max="42" width="14.42578125" customWidth="1" outlineLevel="1"/>
    <col min="43" max="47" width="19" customWidth="1" outlineLevel="1"/>
    <col min="48" max="66" width="15.85546875" customWidth="1" outlineLevel="1"/>
    <col min="67" max="67" width="15.85546875" style="24" customWidth="1" outlineLevel="1"/>
    <col min="68" max="16384" width="5.140625" style="16"/>
  </cols>
  <sheetData>
    <row r="1" spans="1:68" customFormat="1" ht="11.25" customHeight="1">
      <c r="B1" s="16"/>
      <c r="C1" s="549" t="s">
        <v>132</v>
      </c>
      <c r="D1" s="549"/>
      <c r="E1" s="549"/>
      <c r="F1" s="549"/>
      <c r="G1" s="537" t="s">
        <v>133</v>
      </c>
      <c r="H1" s="537"/>
      <c r="I1" s="537"/>
      <c r="J1" s="537"/>
      <c r="K1" s="537"/>
      <c r="L1" s="537"/>
      <c r="M1" s="537"/>
      <c r="N1" s="537"/>
      <c r="O1" s="537"/>
      <c r="P1" s="537"/>
      <c r="Q1" s="537"/>
      <c r="R1" s="537"/>
      <c r="S1" s="537"/>
      <c r="T1" s="537"/>
      <c r="U1" s="537"/>
      <c r="V1" s="537"/>
      <c r="W1" s="537"/>
      <c r="X1" s="537"/>
      <c r="Y1" s="537"/>
      <c r="Z1" s="145"/>
      <c r="AA1" s="150"/>
      <c r="AE1" s="83"/>
      <c r="BO1" s="24"/>
    </row>
    <row r="2" spans="1:68" customFormat="1" ht="11.25" customHeight="1">
      <c r="B2" s="16"/>
      <c r="C2" s="549"/>
      <c r="D2" s="549"/>
      <c r="E2" s="549"/>
      <c r="F2" s="549"/>
      <c r="G2" s="537"/>
      <c r="H2" s="537"/>
      <c r="I2" s="537"/>
      <c r="J2" s="537"/>
      <c r="K2" s="537"/>
      <c r="L2" s="537"/>
      <c r="M2" s="537"/>
      <c r="N2" s="537"/>
      <c r="O2" s="537"/>
      <c r="P2" s="537"/>
      <c r="Q2" s="537"/>
      <c r="R2" s="537"/>
      <c r="S2" s="537"/>
      <c r="T2" s="537"/>
      <c r="U2" s="537"/>
      <c r="V2" s="537"/>
      <c r="W2" s="537"/>
      <c r="X2" s="537"/>
      <c r="Y2" s="537"/>
      <c r="Z2" s="145"/>
      <c r="AA2" s="150"/>
      <c r="AE2" s="83"/>
      <c r="BO2" s="24"/>
    </row>
    <row r="3" spans="1:68" customFormat="1" ht="11.25" customHeight="1">
      <c r="B3" s="16"/>
      <c r="C3" s="549"/>
      <c r="D3" s="549"/>
      <c r="E3" s="549"/>
      <c r="F3" s="549"/>
      <c r="G3" s="546" t="s">
        <v>137</v>
      </c>
      <c r="H3" s="546"/>
      <c r="I3" s="546"/>
      <c r="J3" s="547" t="s">
        <v>136</v>
      </c>
      <c r="K3" s="547"/>
      <c r="L3" s="547"/>
      <c r="M3" s="150"/>
      <c r="N3" s="16"/>
      <c r="O3" s="16"/>
      <c r="P3" s="16"/>
      <c r="Q3" s="16"/>
      <c r="R3" s="16"/>
      <c r="S3" s="16"/>
      <c r="T3" s="16"/>
      <c r="U3" s="16"/>
      <c r="V3" s="16"/>
      <c r="W3" s="145"/>
      <c r="X3" s="145"/>
      <c r="Y3" s="145"/>
      <c r="Z3" s="145"/>
      <c r="AA3" s="150"/>
      <c r="AE3" s="83"/>
      <c r="BO3" s="24"/>
    </row>
    <row r="4" spans="1:68" customFormat="1" ht="11.25" customHeight="1">
      <c r="B4" s="16"/>
      <c r="C4" s="549"/>
      <c r="D4" s="549"/>
      <c r="E4" s="549"/>
      <c r="F4" s="549"/>
      <c r="G4" s="429"/>
      <c r="H4" s="429"/>
      <c r="I4" s="429"/>
      <c r="J4" s="548"/>
      <c r="K4" s="548"/>
      <c r="L4" s="548"/>
      <c r="M4" s="150"/>
      <c r="N4" s="16"/>
      <c r="O4" s="16" t="s">
        <v>40</v>
      </c>
      <c r="P4" s="16" t="s">
        <v>192</v>
      </c>
      <c r="Q4" s="16"/>
      <c r="R4" s="16"/>
      <c r="S4" s="16"/>
      <c r="T4" s="16"/>
      <c r="U4" s="16"/>
      <c r="V4" s="16"/>
      <c r="W4" s="145"/>
      <c r="X4" s="145"/>
      <c r="Y4" s="145"/>
      <c r="Z4" s="145"/>
      <c r="AA4" s="150"/>
      <c r="AE4" s="83"/>
      <c r="BO4" s="24"/>
    </row>
    <row r="5" spans="1:68" ht="17.25" customHeight="1" thickBot="1"/>
    <row r="6" spans="1:68" customFormat="1" ht="17.25" customHeight="1" thickBot="1">
      <c r="B6" s="25" t="s">
        <v>0</v>
      </c>
      <c r="C6" s="26"/>
      <c r="D6" s="26"/>
      <c r="E6" s="212" t="str">
        <f>dateDecimale2txt(dateConvert2Decimal(E7),0)</f>
        <v>2024/06/28</v>
      </c>
      <c r="F6" s="94"/>
      <c r="G6" s="95"/>
      <c r="H6" s="96"/>
      <c r="I6" s="94"/>
      <c r="J6" s="94"/>
      <c r="K6" s="94"/>
      <c r="L6" s="26"/>
      <c r="M6" s="158"/>
      <c r="N6" s="26" t="s">
        <v>317</v>
      </c>
      <c r="O6" s="26"/>
      <c r="P6" s="26"/>
      <c r="Q6" s="26"/>
      <c r="R6" s="26"/>
      <c r="S6" s="26" t="s">
        <v>318</v>
      </c>
      <c r="T6" s="508">
        <f>dateConvert2Decimal(E7)</f>
        <v>1719532800</v>
      </c>
      <c r="U6" s="508"/>
      <c r="V6" s="508"/>
      <c r="W6" s="26" t="s">
        <v>319</v>
      </c>
      <c r="X6" s="653">
        <f>(T6/86400)+DATE(1970,1,1)</f>
        <v>45471</v>
      </c>
      <c r="Y6" s="653"/>
      <c r="Z6" s="26" t="s">
        <v>320</v>
      </c>
      <c r="AA6" s="179">
        <f>INT(MONTH(X6))</f>
        <v>6</v>
      </c>
      <c r="AB6" s="158"/>
      <c r="AC6" s="158"/>
      <c r="AE6" s="83"/>
      <c r="BO6" s="24"/>
    </row>
    <row r="7" spans="1:68" customFormat="1" ht="17.25" customHeight="1">
      <c r="B7" s="16"/>
      <c r="C7" s="538" t="s">
        <v>1</v>
      </c>
      <c r="D7" s="539"/>
      <c r="E7" s="529" t="s">
        <v>496</v>
      </c>
      <c r="F7" s="530"/>
      <c r="G7" s="530"/>
      <c r="H7" s="59"/>
      <c r="I7" s="16"/>
      <c r="J7" s="16"/>
      <c r="K7" s="16"/>
      <c r="L7" s="16"/>
      <c r="M7" s="150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E7" s="83"/>
      <c r="BO7" s="24"/>
    </row>
    <row r="8" spans="1:68" customFormat="1" ht="17.25" customHeight="1" thickBot="1">
      <c r="B8" s="16"/>
      <c r="C8" s="14"/>
      <c r="D8" s="14"/>
      <c r="E8" s="213"/>
      <c r="F8" s="153"/>
      <c r="G8" s="14"/>
      <c r="H8" s="14"/>
      <c r="I8" s="14"/>
      <c r="J8" s="14"/>
      <c r="K8" s="14"/>
      <c r="L8" s="14"/>
      <c r="M8" s="160"/>
      <c r="N8" s="14"/>
      <c r="O8" s="14"/>
      <c r="P8" s="14"/>
      <c r="Q8" s="14"/>
      <c r="R8" s="14"/>
      <c r="S8" s="14"/>
      <c r="T8" s="14"/>
      <c r="U8" s="14"/>
      <c r="V8" s="14"/>
      <c r="W8" s="155"/>
      <c r="X8" s="155"/>
      <c r="Y8" s="155"/>
      <c r="Z8" s="145"/>
      <c r="AA8" s="150"/>
      <c r="AE8" s="83"/>
      <c r="BO8" s="24"/>
    </row>
    <row r="9" spans="1:68" customFormat="1" ht="17.25" customHeight="1" thickBot="1">
      <c r="B9" s="25" t="s">
        <v>17</v>
      </c>
      <c r="C9" s="75"/>
      <c r="D9" s="75"/>
      <c r="E9" s="351"/>
      <c r="F9" s="352"/>
      <c r="G9" s="75"/>
      <c r="H9" s="75"/>
      <c r="I9" s="75"/>
      <c r="J9" s="26"/>
      <c r="K9" s="26"/>
      <c r="L9" s="26"/>
      <c r="M9" s="158"/>
      <c r="N9" s="26"/>
      <c r="O9" s="26"/>
      <c r="P9" s="26"/>
      <c r="Q9" s="26"/>
      <c r="R9" s="26"/>
      <c r="S9" s="26"/>
      <c r="T9" s="26"/>
      <c r="U9" s="26"/>
      <c r="V9" s="26"/>
      <c r="W9" s="156"/>
      <c r="X9" s="156"/>
      <c r="Y9" s="156"/>
      <c r="Z9" s="156"/>
      <c r="AA9" s="158"/>
      <c r="AB9" s="158"/>
      <c r="AC9" s="158"/>
      <c r="AE9" s="83"/>
      <c r="BO9" s="24"/>
    </row>
    <row r="10" spans="1:68" ht="17.25" customHeight="1" thickTop="1" thickBot="1">
      <c r="A10" s="820" t="s">
        <v>129</v>
      </c>
      <c r="B10" s="311" t="s">
        <v>130</v>
      </c>
      <c r="C10" s="1205" t="s">
        <v>7</v>
      </c>
      <c r="D10" s="1205"/>
      <c r="E10" s="1205"/>
      <c r="F10" s="584">
        <f>AH10*angleConvert2Decimal(I10)</f>
        <v>-50.05</v>
      </c>
      <c r="G10" s="584"/>
      <c r="H10" s="357" t="s">
        <v>4</v>
      </c>
      <c r="I10" s="356" t="s">
        <v>497</v>
      </c>
      <c r="J10" s="817" t="str">
        <f>angleDecimal2Txt(F10)</f>
        <v>-50°03.00 (-50.0499) [-50°03'00.00]</v>
      </c>
      <c r="K10" s="817"/>
      <c r="L10" s="817"/>
      <c r="M10" s="818"/>
      <c r="N10" s="14"/>
      <c r="O10" s="14"/>
      <c r="P10" s="14"/>
      <c r="Q10" s="14"/>
      <c r="R10" s="14"/>
      <c r="AG10" s="3" t="s">
        <v>168</v>
      </c>
      <c r="AH10" s="3">
        <f>VLOOKUP(H10,Outils!$C$9:$E$10,3)</f>
        <v>-1</v>
      </c>
    </row>
    <row r="11" spans="1:68" ht="17.25" customHeight="1" thickTop="1" thickBot="1">
      <c r="A11" s="820"/>
      <c r="B11" s="311" t="s">
        <v>138</v>
      </c>
      <c r="C11" s="551" t="s">
        <v>8</v>
      </c>
      <c r="D11" s="551"/>
      <c r="E11" s="551"/>
      <c r="F11" s="584">
        <f>AH11*angleConvert2Decimal(I11)</f>
        <v>-9.0333333333333332</v>
      </c>
      <c r="G11" s="584"/>
      <c r="H11" s="357" t="s">
        <v>6</v>
      </c>
      <c r="I11" s="356" t="s">
        <v>498</v>
      </c>
      <c r="J11" s="817" t="str">
        <f>angleDecimal2Txt(F11)</f>
        <v>-09°02.00 (-09.0333) [-09°02'00.00]</v>
      </c>
      <c r="K11" s="817"/>
      <c r="L11" s="817"/>
      <c r="M11" s="818"/>
      <c r="N11" s="14"/>
      <c r="O11" s="14"/>
      <c r="P11" s="14"/>
      <c r="AG11" s="3" t="s">
        <v>170</v>
      </c>
      <c r="AH11" s="3">
        <f>VLOOKUP(H11,Outils!$D$9:$E$10,2)</f>
        <v>-1</v>
      </c>
    </row>
    <row r="12" spans="1:68" ht="17.25" customHeight="1" thickTop="1" thickBot="1">
      <c r="A12"/>
      <c r="B12"/>
      <c r="C12" s="568" t="s">
        <v>19</v>
      </c>
      <c r="D12" s="568"/>
      <c r="E12" s="568"/>
      <c r="F12" s="353">
        <f>0.0293 * SQRT(H12)</f>
        <v>0.14354009892709421</v>
      </c>
      <c r="G12" s="355" t="s">
        <v>28</v>
      </c>
      <c r="H12" s="601">
        <v>24</v>
      </c>
      <c r="I12" s="601"/>
      <c r="J12"/>
      <c r="K12"/>
      <c r="L12"/>
      <c r="M12"/>
      <c r="N12"/>
      <c r="O12"/>
      <c r="P12"/>
      <c r="Y12" s="155"/>
      <c r="Z12" s="155"/>
      <c r="AI12" s="16"/>
      <c r="BO12" s="31"/>
    </row>
    <row r="13" spans="1:68" ht="17.25" customHeight="1" thickTop="1" thickBot="1">
      <c r="A13"/>
      <c r="B13"/>
      <c r="C13" s="568" t="s">
        <v>20</v>
      </c>
      <c r="D13" s="568"/>
      <c r="E13" s="568"/>
      <c r="F13" s="354" cm="1">
        <f t="array" ref="F13">angleConvert2Decimal(H13)</f>
        <v>2.5000000000000001E-2</v>
      </c>
      <c r="G13" s="355" t="s">
        <v>28</v>
      </c>
      <c r="H13" s="439" t="s">
        <v>499</v>
      </c>
      <c r="I13" s="439"/>
      <c r="J13" s="752" t="str" cm="1">
        <f t="array" ref="J13">angleDecimal2Txt(F13)</f>
        <v>+00°01.50 (+00.0250) [+00°01'30.00]</v>
      </c>
      <c r="K13" s="752"/>
      <c r="L13" s="752"/>
      <c r="M13" s="438"/>
      <c r="BO13" s="31"/>
    </row>
    <row r="14" spans="1:68" ht="17.25" customHeight="1" thickTop="1" thickBot="1">
      <c r="A14" s="14"/>
      <c r="C14" s="14"/>
      <c r="D14"/>
      <c r="E14" s="215"/>
      <c r="F14" s="147"/>
      <c r="G14"/>
      <c r="H14"/>
      <c r="I14"/>
      <c r="J14"/>
      <c r="K14"/>
      <c r="L14"/>
      <c r="M14" s="151"/>
      <c r="N14"/>
      <c r="O14"/>
      <c r="P14"/>
      <c r="Q14"/>
    </row>
    <row r="15" spans="1:68" customFormat="1" ht="17.25" customHeight="1" thickBot="1">
      <c r="A15" s="33"/>
      <c r="B15" s="25" t="s">
        <v>337</v>
      </c>
      <c r="C15" s="26"/>
      <c r="D15" s="26"/>
      <c r="E15" s="214"/>
      <c r="F15" s="154"/>
      <c r="G15" s="26"/>
      <c r="H15" s="26"/>
      <c r="I15" s="26"/>
      <c r="J15" s="26"/>
      <c r="K15" s="26"/>
      <c r="L15" s="26"/>
      <c r="M15" s="158"/>
      <c r="N15" s="26"/>
      <c r="O15" s="26"/>
      <c r="P15" s="26"/>
      <c r="Q15" s="26"/>
      <c r="R15" s="26"/>
      <c r="S15" s="26"/>
      <c r="T15" s="26"/>
      <c r="U15" s="26"/>
      <c r="V15" s="26"/>
      <c r="W15" s="156"/>
      <c r="X15" s="156"/>
      <c r="Y15" s="156"/>
      <c r="Z15" s="156"/>
      <c r="AA15" s="158"/>
      <c r="AB15" s="158"/>
      <c r="AC15" s="158"/>
      <c r="AE15" s="83"/>
      <c r="BO15" s="24"/>
      <c r="BP15" s="16"/>
    </row>
    <row r="16" spans="1:68" customFormat="1" ht="17.25" customHeight="1">
      <c r="E16" s="215"/>
      <c r="F16" s="147"/>
      <c r="M16" s="151"/>
      <c r="W16" s="149"/>
      <c r="X16" s="149"/>
      <c r="Y16" s="149"/>
      <c r="Z16" s="149"/>
      <c r="AA16" s="151"/>
      <c r="AE16" s="83"/>
    </row>
    <row r="17" spans="1:67" customFormat="1" ht="13.5" customHeight="1">
      <c r="B17" s="1209"/>
      <c r="C17" s="1209"/>
      <c r="D17" s="1210" t="s">
        <v>147</v>
      </c>
      <c r="E17" s="1211" t="s">
        <v>541</v>
      </c>
      <c r="F17" s="1211"/>
      <c r="G17" s="1211"/>
      <c r="H17" s="1210" t="s">
        <v>60</v>
      </c>
      <c r="I17" s="1210"/>
      <c r="J17" s="1218" t="s">
        <v>343</v>
      </c>
      <c r="K17" s="1218"/>
      <c r="L17" s="1209" t="s">
        <v>193</v>
      </c>
      <c r="M17" s="1209"/>
      <c r="N17" s="1210" t="s">
        <v>84</v>
      </c>
      <c r="O17" s="1210"/>
      <c r="P17" s="16"/>
      <c r="Q17" s="1250" t="s">
        <v>380</v>
      </c>
      <c r="R17" s="1250"/>
      <c r="S17" s="1250"/>
      <c r="T17" s="1250"/>
      <c r="U17" s="16"/>
      <c r="V17" s="1210" t="s">
        <v>381</v>
      </c>
      <c r="W17" s="1210"/>
      <c r="X17" s="1210"/>
      <c r="Y17" s="145"/>
      <c r="Z17" s="145"/>
      <c r="AA17" s="150"/>
      <c r="AE17" s="83"/>
    </row>
    <row r="18" spans="1:67" customFormat="1" ht="15.75" customHeight="1">
      <c r="B18" s="1209"/>
      <c r="C18" s="1209"/>
      <c r="D18" s="1210"/>
      <c r="E18" s="1211"/>
      <c r="F18" s="1211"/>
      <c r="G18" s="1211"/>
      <c r="H18" s="1210"/>
      <c r="I18" s="1210"/>
      <c r="J18" s="1218" t="s">
        <v>353</v>
      </c>
      <c r="K18" s="1218"/>
      <c r="L18" s="1209"/>
      <c r="M18" s="1209"/>
      <c r="N18" s="1210"/>
      <c r="O18" s="1210"/>
      <c r="P18" s="16"/>
      <c r="Q18" s="257" t="s">
        <v>524</v>
      </c>
      <c r="R18" s="146" t="s">
        <v>148</v>
      </c>
      <c r="S18" s="146" t="s">
        <v>17</v>
      </c>
      <c r="T18" s="146"/>
      <c r="U18" s="16"/>
      <c r="V18" s="1210"/>
      <c r="W18" s="1210"/>
      <c r="X18" s="1210"/>
      <c r="Y18" s="145"/>
      <c r="Z18" s="145"/>
      <c r="AA18" s="150"/>
      <c r="AE18" s="83"/>
      <c r="AG18" s="270" t="s">
        <v>342</v>
      </c>
    </row>
    <row r="19" spans="1:67" customFormat="1" ht="26.25" customHeight="1">
      <c r="B19" s="206" t="s">
        <v>32</v>
      </c>
      <c r="C19" s="206" t="s">
        <v>500</v>
      </c>
      <c r="D19" s="207" t="str">
        <f>IF(B19=$AG$18,IF(ISNA(VLOOKUP(C19,$I$35:$I$36,1,FALSE)),"Mauvaise planete","OK"),"OK")</f>
        <v>OK</v>
      </c>
      <c r="E19" s="258" t="s">
        <v>526</v>
      </c>
      <c r="F19" s="1221" t="s">
        <v>531</v>
      </c>
      <c r="G19" s="259">
        <f>heureConvert2Decimal(E19)+$F$23</f>
        <v>3.3344444444444443</v>
      </c>
      <c r="H19" s="208" t="s">
        <v>501</v>
      </c>
      <c r="I19" s="238">
        <f>angleConvert2Decimal(H19)</f>
        <v>18.75</v>
      </c>
      <c r="J19" s="238">
        <f>I19-$F$13-$F$12</f>
        <v>18.581459901072908</v>
      </c>
      <c r="K19" s="209" t="str">
        <f>angleDecimal2Txt(J19,0)</f>
        <v>+18°34.88</v>
      </c>
      <c r="L19" s="208" t="s">
        <v>513</v>
      </c>
      <c r="M19" s="174">
        <f>angleConvert2Decimal(L19)</f>
        <v>280.38333333333333</v>
      </c>
      <c r="N19" s="208" t="s">
        <v>514</v>
      </c>
      <c r="O19" s="210">
        <f>angleConvert2Decimal(N19)</f>
        <v>46.021666666666668</v>
      </c>
      <c r="P19" s="16"/>
      <c r="Q19" s="1210" t="s">
        <v>338</v>
      </c>
      <c r="R19" s="197">
        <v>3</v>
      </c>
      <c r="S19" s="198" t="s">
        <v>509</v>
      </c>
      <c r="T19" s="199">
        <f>angleConvert2Decimal(S19)</f>
        <v>321.70666666666665</v>
      </c>
      <c r="U19" s="16"/>
      <c r="V19" s="1248" t="s">
        <v>65</v>
      </c>
      <c r="W19" s="1249"/>
      <c r="X19" s="203">
        <v>10</v>
      </c>
      <c r="Y19" s="145"/>
      <c r="Z19" s="145"/>
      <c r="AA19" s="150"/>
      <c r="AE19" s="83"/>
      <c r="AG19" s="271" t="s">
        <v>32</v>
      </c>
    </row>
    <row r="20" spans="1:67" customFormat="1" ht="26.25" customHeight="1">
      <c r="B20" s="13" t="s">
        <v>32</v>
      </c>
      <c r="C20" s="13" t="s">
        <v>502</v>
      </c>
      <c r="D20" s="207" t="str">
        <f>IF(B20=$AG$18,IF(ISNA(VLOOKUP(C20,$I$35:$I$36,1,FALSE)),"Mauvaise planete","OK"),"OK")</f>
        <v>OK</v>
      </c>
      <c r="E20" s="258" t="s">
        <v>527</v>
      </c>
      <c r="F20" s="1222"/>
      <c r="G20" s="260">
        <f>heureConvert2Decimal(E20)+$F$23</f>
        <v>3.3688888888888888</v>
      </c>
      <c r="H20" s="12" t="s">
        <v>503</v>
      </c>
      <c r="I20" s="239">
        <f>angleConvert2Decimal(H20)</f>
        <v>51.1</v>
      </c>
      <c r="J20" s="239">
        <f>I20-$F$13-$F$12</f>
        <v>50.931459901072905</v>
      </c>
      <c r="K20" s="196" t="str">
        <f>angleDecimal2Txt(J20,0)</f>
        <v>+50°55.88</v>
      </c>
      <c r="L20" s="12" t="s">
        <v>515</v>
      </c>
      <c r="M20" s="159">
        <f>angleConvert2Decimal(L20)</f>
        <v>357.58666666666664</v>
      </c>
      <c r="N20" s="12" t="s">
        <v>516</v>
      </c>
      <c r="O20" s="173">
        <f>angleConvert2Decimal(N20)</f>
        <v>29.223333333333333</v>
      </c>
      <c r="P20" s="16"/>
      <c r="Q20" s="1210"/>
      <c r="R20" s="200">
        <v>4</v>
      </c>
      <c r="S20" s="201" t="s">
        <v>510</v>
      </c>
      <c r="T20" s="202">
        <f>angleConvert2Decimal(S20)</f>
        <v>336.74666666666667</v>
      </c>
      <c r="U20" s="16"/>
      <c r="V20" s="205" t="s">
        <v>66</v>
      </c>
      <c r="W20" s="205"/>
      <c r="X20" s="204">
        <v>1010</v>
      </c>
      <c r="Y20" s="145"/>
      <c r="Z20" s="145"/>
      <c r="AA20" s="150"/>
      <c r="AE20" s="83"/>
    </row>
    <row r="21" spans="1:67" customFormat="1" ht="26.25" customHeight="1">
      <c r="B21" s="13" t="s">
        <v>32</v>
      </c>
      <c r="C21" s="13" t="s">
        <v>504</v>
      </c>
      <c r="D21" s="207" t="str">
        <f>IF(B21=$AG$18,IF(ISNA(VLOOKUP(C21,$I$35:$I$36,1,FALSE)),"Mauvaise planete","OK"),"OK")</f>
        <v>OK</v>
      </c>
      <c r="E21" s="258" t="s">
        <v>528</v>
      </c>
      <c r="F21" s="1222"/>
      <c r="G21" s="260">
        <f>heureConvert2Decimal(E21)+$F$23</f>
        <v>3.4166666666666665</v>
      </c>
      <c r="H21" s="12" t="s">
        <v>506</v>
      </c>
      <c r="I21" s="239">
        <f>angleConvert2Decimal(H21)</f>
        <v>45.39</v>
      </c>
      <c r="J21" s="239">
        <f>I21-$F$13-$F$12</f>
        <v>45.221459901072905</v>
      </c>
      <c r="K21" s="196" t="str">
        <f>angleDecimal2Txt(J21,0)</f>
        <v>+45°13.28</v>
      </c>
      <c r="L21" s="12" t="s">
        <v>517</v>
      </c>
      <c r="M21" s="159">
        <f>angleConvert2Decimal(L21)</f>
        <v>62.001666666666665</v>
      </c>
      <c r="N21" s="12" t="s">
        <v>518</v>
      </c>
      <c r="O21" s="173">
        <f>angleConvert2Decimal(N21)</f>
        <v>8.9316666666666666</v>
      </c>
      <c r="P21" s="16"/>
      <c r="Q21" s="1210"/>
      <c r="R21" s="200">
        <v>5</v>
      </c>
      <c r="S21" s="201" t="s">
        <v>511</v>
      </c>
      <c r="T21" s="202">
        <f>angleConvert2Decimal(S21)</f>
        <v>351.78833333333336</v>
      </c>
      <c r="U21" s="16"/>
      <c r="V21" s="16"/>
      <c r="W21" s="145"/>
      <c r="X21" s="145"/>
      <c r="Y21" s="145"/>
      <c r="Z21" s="145"/>
      <c r="AA21" s="150"/>
      <c r="AE21" s="83"/>
    </row>
    <row r="22" spans="1:67" customFormat="1" ht="26.25" customHeight="1">
      <c r="B22" s="13" t="s">
        <v>32</v>
      </c>
      <c r="C22" s="13" t="s">
        <v>505</v>
      </c>
      <c r="D22" s="207" t="str">
        <f>IF(B22=$AG$18,IF(ISNA(VLOOKUP(C22,$I$35:$I$36,1,FALSE)),"Mauvaise planete","OK"),"OK")</f>
        <v>OK</v>
      </c>
      <c r="E22" s="258" t="s">
        <v>529</v>
      </c>
      <c r="F22" s="1222"/>
      <c r="G22" s="260">
        <f>heureConvert2Decimal(E22)+$F$23</f>
        <v>3.4530555555555558</v>
      </c>
      <c r="H22" s="12" t="s">
        <v>507</v>
      </c>
      <c r="I22" s="239">
        <f>angleConvert2Decimal(H22)</f>
        <v>59.795000000000002</v>
      </c>
      <c r="J22" s="239">
        <f>I22-$F$13-$F$12</f>
        <v>59.626459901072906</v>
      </c>
      <c r="K22" s="196" t="str">
        <f>angleDecimal2Txt(J22,0)</f>
        <v>+59°37.58</v>
      </c>
      <c r="L22" s="12" t="s">
        <v>519</v>
      </c>
      <c r="M22" s="159">
        <f>angleConvert2Decimal(L22)</f>
        <v>80.551666666666662</v>
      </c>
      <c r="N22" s="12" t="s">
        <v>520</v>
      </c>
      <c r="O22" s="173">
        <f>angleConvert2Decimal(N22)</f>
        <v>38.805</v>
      </c>
      <c r="P22" s="16"/>
      <c r="Q22" s="257" t="s">
        <v>105</v>
      </c>
      <c r="R22" s="16" t="s">
        <v>148</v>
      </c>
      <c r="S22" s="16" t="s">
        <v>17</v>
      </c>
      <c r="T22" s="16" t="s">
        <v>105</v>
      </c>
      <c r="U22" s="16"/>
      <c r="V22" s="16"/>
      <c r="W22" s="145"/>
      <c r="X22" s="145"/>
      <c r="Y22" s="145"/>
      <c r="Z22" s="145"/>
      <c r="AA22" s="150"/>
      <c r="AE22" s="83"/>
      <c r="AK22" t="s">
        <v>378</v>
      </c>
      <c r="AL22" s="16"/>
      <c r="AM22" s="16"/>
      <c r="AN22" s="16"/>
      <c r="AO22" s="16"/>
      <c r="AP22" s="16"/>
      <c r="AQ22" s="16"/>
      <c r="AR22" s="16"/>
    </row>
    <row r="23" spans="1:67" customFormat="1" ht="26.25" customHeight="1">
      <c r="B23" s="13" t="s">
        <v>342</v>
      </c>
      <c r="C23" s="13" t="s">
        <v>347</v>
      </c>
      <c r="D23" s="207" t="str">
        <f>IF(B23=$AG$18,IF(ISNA(VLOOKUP(C23,$I$35:$I$36,1,FALSE)),"Mauvaise planete","OK"),"OK")</f>
        <v>OK</v>
      </c>
      <c r="E23" s="258" t="s">
        <v>530</v>
      </c>
      <c r="F23" s="261" cm="1">
        <f t="array" ref="F23">heureConvert2Decimal(F19)</f>
        <v>-1.1111111111111111E-3</v>
      </c>
      <c r="G23" s="260">
        <f>heureConvert2Decimal(E23)+$F$23</f>
        <v>3.5055555555555555</v>
      </c>
      <c r="H23" s="12" t="s">
        <v>508</v>
      </c>
      <c r="I23" s="239">
        <f>angleConvert2Decimal(H23)</f>
        <v>45.78</v>
      </c>
      <c r="J23" s="239">
        <f>I23-$F$13-$F$12</f>
        <v>45.611459901072905</v>
      </c>
      <c r="K23" s="196" t="str">
        <f>angleDecimal2Txt(J23,0)</f>
        <v>+45°36.68</v>
      </c>
      <c r="L23" s="12" t="s">
        <v>521</v>
      </c>
      <c r="M23" s="159">
        <f>angleConvert2Decimal(L23)</f>
        <v>137.31666666666666</v>
      </c>
      <c r="N23" s="12" t="s">
        <v>522</v>
      </c>
      <c r="O23" s="173">
        <f>angleConvert2Decimal(N23)</f>
        <v>74.058333333333337</v>
      </c>
      <c r="P23" s="16"/>
      <c r="Q23" s="146" t="s">
        <v>338</v>
      </c>
      <c r="R23" s="200">
        <v>0</v>
      </c>
      <c r="S23" s="201" t="s">
        <v>512</v>
      </c>
      <c r="T23" s="200" t="s">
        <v>366</v>
      </c>
      <c r="U23" s="16"/>
      <c r="V23" s="16"/>
      <c r="W23" s="145"/>
      <c r="X23" s="145"/>
      <c r="Y23" s="145"/>
      <c r="Z23" s="145"/>
      <c r="AA23" s="150"/>
      <c r="AE23" s="83"/>
      <c r="AR23" s="162" t="s">
        <v>143</v>
      </c>
      <c r="AS23" s="163"/>
      <c r="AT23" s="163"/>
      <c r="AU23" s="162" t="s">
        <v>144</v>
      </c>
      <c r="AV23" s="163"/>
      <c r="AW23" s="164"/>
    </row>
    <row r="24" spans="1:67" customFormat="1" ht="14.25" customHeight="1">
      <c r="E24" s="215"/>
      <c r="F24" s="147"/>
      <c r="I24" s="16"/>
      <c r="J24" s="16"/>
      <c r="K24" s="16"/>
      <c r="L24" s="16"/>
      <c r="M24" s="150"/>
      <c r="N24" s="16"/>
      <c r="O24" s="16"/>
      <c r="P24" s="16"/>
      <c r="U24" s="16"/>
      <c r="V24" s="16"/>
      <c r="W24" s="145"/>
      <c r="X24" s="145"/>
      <c r="Y24" s="145"/>
      <c r="Z24" s="145"/>
      <c r="AA24" s="150"/>
      <c r="AE24" s="83"/>
      <c r="AH24" s="1309" t="s">
        <v>539</v>
      </c>
      <c r="AI24" s="1309"/>
      <c r="AJ24" s="1309"/>
      <c r="AK24" s="1309"/>
      <c r="AL24" s="1309"/>
      <c r="AM24" s="1310"/>
      <c r="AR24" s="165"/>
      <c r="AS24" s="166" t="s">
        <v>117</v>
      </c>
      <c r="AT24" s="167" t="s">
        <v>118</v>
      </c>
      <c r="AU24" s="165"/>
      <c r="AV24" s="166" t="s">
        <v>117</v>
      </c>
      <c r="AW24" s="167" t="s">
        <v>119</v>
      </c>
    </row>
    <row r="25" spans="1:67" customFormat="1" ht="12.75" customHeight="1">
      <c r="C25" s="15"/>
      <c r="D25" s="15"/>
      <c r="E25" s="1240" t="s">
        <v>344</v>
      </c>
      <c r="F25" s="1240"/>
      <c r="G25" s="1208" t="s">
        <v>345</v>
      </c>
      <c r="H25" s="1208" t="s">
        <v>346</v>
      </c>
      <c r="I25" s="1208"/>
      <c r="J25" s="1208"/>
      <c r="K25" s="184" t="s">
        <v>95</v>
      </c>
      <c r="L25" s="184" t="s">
        <v>95</v>
      </c>
      <c r="M25" s="1243" t="s">
        <v>101</v>
      </c>
      <c r="N25" s="1243"/>
      <c r="O25" s="1247" t="s">
        <v>338</v>
      </c>
      <c r="P25" s="1247"/>
      <c r="Q25" s="1247"/>
      <c r="R25" s="1247"/>
      <c r="S25" s="1247"/>
      <c r="T25" s="1247"/>
      <c r="U25" s="1212" t="s">
        <v>339</v>
      </c>
      <c r="V25" s="1212" t="s">
        <v>416</v>
      </c>
      <c r="W25" s="1212" t="s">
        <v>43</v>
      </c>
      <c r="X25" s="1212" t="s">
        <v>223</v>
      </c>
      <c r="Y25" s="1212"/>
      <c r="Z25" s="1224" t="s">
        <v>340</v>
      </c>
      <c r="AA25" s="1224" t="s">
        <v>341</v>
      </c>
      <c r="AB25" t="s">
        <v>364</v>
      </c>
      <c r="AC25" s="1224" t="s">
        <v>93</v>
      </c>
      <c r="AE25" s="83"/>
      <c r="AH25" s="1311" t="s">
        <v>538</v>
      </c>
      <c r="AI25" s="1312"/>
      <c r="AJ25" s="1312"/>
      <c r="AK25" s="1312"/>
      <c r="AL25" s="1312"/>
      <c r="AM25" s="1312"/>
      <c r="AT25" s="168" t="s">
        <v>88</v>
      </c>
      <c r="AV25" s="168"/>
      <c r="AW25" s="168" t="s">
        <v>89</v>
      </c>
    </row>
    <row r="26" spans="1:67" customFormat="1" ht="22.5" customHeight="1">
      <c r="C26" s="15"/>
      <c r="D26" s="15"/>
      <c r="E26" s="1240"/>
      <c r="F26" s="1240"/>
      <c r="G26" s="1208"/>
      <c r="H26" s="235" t="s">
        <v>96</v>
      </c>
      <c r="I26" s="235" t="s">
        <v>354</v>
      </c>
      <c r="J26" s="235" t="s">
        <v>184</v>
      </c>
      <c r="K26" s="185" t="s">
        <v>369</v>
      </c>
      <c r="L26" s="187" t="s">
        <v>375</v>
      </c>
      <c r="M26" s="1243"/>
      <c r="N26" s="1243"/>
      <c r="O26" s="157" t="s">
        <v>355</v>
      </c>
      <c r="P26" s="157" t="s">
        <v>356</v>
      </c>
      <c r="Q26" s="157" t="s">
        <v>357</v>
      </c>
      <c r="R26" s="157" t="s">
        <v>368</v>
      </c>
      <c r="S26" s="236" t="s">
        <v>367</v>
      </c>
      <c r="T26" s="195" t="s">
        <v>523</v>
      </c>
      <c r="U26" s="1212"/>
      <c r="V26" s="1212"/>
      <c r="W26" s="1212"/>
      <c r="X26" s="1212"/>
      <c r="Y26" s="1212"/>
      <c r="Z26" s="1224"/>
      <c r="AA26" s="1224"/>
      <c r="AB26" t="s">
        <v>365</v>
      </c>
      <c r="AC26" s="1224"/>
      <c r="AE26" s="83"/>
      <c r="AG26" s="286" t="s">
        <v>358</v>
      </c>
      <c r="AH26" s="286" t="s">
        <v>533</v>
      </c>
      <c r="AI26" s="286" t="s">
        <v>534</v>
      </c>
      <c r="AJ26" s="286" t="s">
        <v>359</v>
      </c>
      <c r="AK26" s="286" t="s">
        <v>535</v>
      </c>
      <c r="AL26" s="286" t="s">
        <v>536</v>
      </c>
      <c r="AM26" s="285" t="s">
        <v>360</v>
      </c>
      <c r="AN26" s="285" t="s">
        <v>421</v>
      </c>
      <c r="AO26" s="272" t="s">
        <v>537</v>
      </c>
      <c r="AP26" s="272" t="s">
        <v>540</v>
      </c>
      <c r="AQ26" s="274" t="s">
        <v>223</v>
      </c>
      <c r="AR26" s="275" t="s">
        <v>424</v>
      </c>
      <c r="AS26" s="276" t="s">
        <v>92</v>
      </c>
      <c r="AT26" s="141" t="s">
        <v>362</v>
      </c>
      <c r="AU26" s="169" t="s">
        <v>363</v>
      </c>
      <c r="AV26" s="169" t="s">
        <v>93</v>
      </c>
      <c r="AZ26" s="16"/>
    </row>
    <row r="27" spans="1:67" customFormat="1" ht="17.25" customHeight="1">
      <c r="C27" s="146" t="str">
        <f t="shared" ref="C27:D31" si="0">B19</f>
        <v>Etoile</v>
      </c>
      <c r="D27" s="146" t="str">
        <f t="shared" si="0"/>
        <v>Capela</v>
      </c>
      <c r="E27" s="241">
        <f>IF(B19=$AG$18,IF(ISNA(VLOOKUP(C19,$I$35:$I$36,1,FALSE)),0,VLOOKUP(C19,$I$35:$J$36,2,FALSE)),0)</f>
        <v>0</v>
      </c>
      <c r="F27" s="242">
        <f>angleConvert2Decimal(E27)</f>
        <v>0</v>
      </c>
      <c r="G27" s="242">
        <f>ASIN(SIN(F27*Outils!$F$4)*COS(J19*Outils!$F$4))*Outils!$F$5</f>
        <v>0</v>
      </c>
      <c r="H27" s="1215">
        <f>0.28*$X$20/(273+$X$19)</f>
        <v>0.99929328621908131</v>
      </c>
      <c r="I27" s="243">
        <f>(1/TAN(Outils!$F$4*(J19+7.31/(J19+4.4))))/60</f>
        <v>4.8680618529665542E-2</v>
      </c>
      <c r="J27" s="243">
        <f>I27*$H$27</f>
        <v>4.8646215265686979E-2</v>
      </c>
      <c r="K27" s="186" t="str">
        <f>angleDecimal2Txt(G27-$F$12-J27,0)</f>
        <v>-00°11.53</v>
      </c>
      <c r="L27" s="188" t="str">
        <f>angleDecimal2Txt(AN36,0)</f>
        <v>+00°00.00</v>
      </c>
      <c r="M27" s="189">
        <f>J19-F27+G27-J27+angleConvert2Decimal(L27)</f>
        <v>18.53281368580722</v>
      </c>
      <c r="N27" s="190" t="str">
        <f>angleDecimal2Txt(M27,0)</f>
        <v>+18°31.96</v>
      </c>
      <c r="O27" s="173">
        <f>INT(G19)</f>
        <v>3</v>
      </c>
      <c r="P27" s="173">
        <f>VLOOKUP($O27,$R$19:$T$21,3,FALSE)</f>
        <v>321.70666666666665</v>
      </c>
      <c r="Q27" s="173">
        <f>VLOOKUP(1+$O27,$R$19:$T$21,3,FALSE)</f>
        <v>336.74666666666667</v>
      </c>
      <c r="R27" s="280">
        <f>P27+(Q27-P27)*(G19-O27)</f>
        <v>326.73671111111111</v>
      </c>
      <c r="S27" s="237">
        <f>angleConvert2Decimal($S$23)+angleConvert2Decimal($T$23)*(G19-$R$23)</f>
        <v>277.41705559259259</v>
      </c>
      <c r="T27" s="177">
        <f>R27</f>
        <v>326.73671111111111</v>
      </c>
      <c r="U27" s="174">
        <f>$F$11+R27</f>
        <v>317.70337777777775</v>
      </c>
      <c r="V27" s="174">
        <f>IF(T27+M19&gt;360,T27+M19-360,IF(T27+M19&lt;0,T27+M19+360,T27+M19))</f>
        <v>247.12004444444437</v>
      </c>
      <c r="W27" s="174">
        <f>IF(U27+M19&gt;360,U27+M19-360,U27+M19)</f>
        <v>238.08671111111107</v>
      </c>
      <c r="X27" s="159" cm="1">
        <f t="array" ref="X27">astroCalculHc($F$10,O19,W27)</f>
        <v>-51.939292970743075</v>
      </c>
      <c r="Y27" s="161" t="str">
        <f>angleDecimal2Txt(X27,0)</f>
        <v>-51°56.35</v>
      </c>
      <c r="Z27" s="175">
        <f>60*(M27-X27)</f>
        <v>4228.3263993930177</v>
      </c>
      <c r="AA27" s="171" t="str">
        <f>IF(Z27&gt;0,"Vers Pg", "Oppose de Pg")</f>
        <v>Vers Pg</v>
      </c>
      <c r="AB27" t="str" cm="1">
        <f t="array" ref="AB27">CONCATENATE(TEXT(O19,"#,00")," / ",TEXT(longitudeHoraire2longitude(V27),"#,00"))</f>
        <v>46 / 113</v>
      </c>
      <c r="AC27" s="176" cm="1">
        <f t="array" ref="AC27">astroCalculZ2Zn($F$10,astroCalculZ($F$10,O19,W27),W27)</f>
        <v>72.959065784186734</v>
      </c>
      <c r="AE27" s="83"/>
      <c r="AG27" s="286">
        <f>Outils!$F$4 * O19</f>
        <v>0.80322961058865705</v>
      </c>
      <c r="AH27" s="286">
        <f>SIN(AG27)</f>
        <v>0.71960243720697437</v>
      </c>
      <c r="AI27" s="286">
        <f>COS(AG27)</f>
        <v>0.69438629909135052</v>
      </c>
      <c r="AJ27" s="1307">
        <f>Outils!$F$4 * $F$10</f>
        <v>-0.87353729062316188</v>
      </c>
      <c r="AK27" s="1307">
        <f>SIN(AJ27)</f>
        <v>-0.76660508936870064</v>
      </c>
      <c r="AL27" s="1307">
        <f>COS(AJ27)</f>
        <v>0.64211886512857297</v>
      </c>
      <c r="AM27" s="286">
        <f>Outils!$F$4 * W27</f>
        <v>4.1553970141334551</v>
      </c>
      <c r="AN27" s="286">
        <f>COS(AM27)</f>
        <v>-0.5286352266410298</v>
      </c>
      <c r="AO27" s="273">
        <f>AH27*$AK$27+AI27*$AL$27*AN27</f>
        <v>-0.78735799496575931</v>
      </c>
      <c r="AP27" s="273">
        <f>COS(AQ27*Outils!$F$4)</f>
        <v>0.61649605656767947</v>
      </c>
      <c r="AQ27" s="274">
        <f>ASIN(AO27)*Outils!$F$5</f>
        <v>-51.939292970742905</v>
      </c>
      <c r="AR27" s="275">
        <f>(AH27-$AK$27*AO27)/($AL$27*AP27)</f>
        <v>0.29305484939891285</v>
      </c>
      <c r="AS27" s="276">
        <f>Outils!$F$5*ACOS(AR27)</f>
        <v>72.959065784186535</v>
      </c>
      <c r="AT27" s="1244" t="b">
        <f>$F$10&gt;0</f>
        <v>0</v>
      </c>
      <c r="AU27" s="170" t="b">
        <f>AM27&gt;PI()</f>
        <v>1</v>
      </c>
      <c r="AV27" s="170">
        <f>IF($AT$27,IF(AU27,AS27,360-AS27),IF(AU27,180-AS27,180+AS27))</f>
        <v>107.04093421581346</v>
      </c>
    </row>
    <row r="28" spans="1:67" customFormat="1" ht="17.25" customHeight="1" collapsed="1">
      <c r="C28" s="146" t="str">
        <f t="shared" si="0"/>
        <v>Etoile</v>
      </c>
      <c r="D28" s="146" t="str">
        <f t="shared" si="0"/>
        <v>Alpheratz</v>
      </c>
      <c r="E28" s="244">
        <f>IF(B20=$AG$18,IF(ISNA(VLOOKUP(C20,$I$35:$I$36,1,FALSE)),0,VLOOKUP(C20,$I$35:$J$36,2,FALSE)),0)</f>
        <v>0</v>
      </c>
      <c r="F28" s="242">
        <f>angleConvert2Decimal(E28)</f>
        <v>0</v>
      </c>
      <c r="G28" s="242">
        <f>ASIN(SIN(F28*Outils!$F$4)*COS(J20*Outils!$F$4))*Outils!$F$5</f>
        <v>0</v>
      </c>
      <c r="H28" s="1216"/>
      <c r="I28" s="243">
        <f>(1/TAN(Outils!$F$4*(J20+7.31/(J20+4.4))))/60</f>
        <v>1.3465808934296632E-2</v>
      </c>
      <c r="J28" s="243">
        <f>I28*$H$27</f>
        <v>1.3456292461551547E-2</v>
      </c>
      <c r="K28" s="186" t="str">
        <f>angleDecimal2Txt(G28-$F$12-J28,0)</f>
        <v>-00°09.41</v>
      </c>
      <c r="L28" s="188" t="str">
        <f>angleDecimal2Txt(AN37,0)</f>
        <v>+00°00.00</v>
      </c>
      <c r="M28" s="189">
        <f>J20-F28+G28-J28+angleConvert2Decimal(L28)</f>
        <v>50.918003608611357</v>
      </c>
      <c r="N28" s="190" t="str">
        <f>angleDecimal2Txt(M28,0)</f>
        <v>+50°55.08</v>
      </c>
      <c r="O28" s="173">
        <f>INT(G20)</f>
        <v>3</v>
      </c>
      <c r="P28" s="173">
        <f>VLOOKUP($O28,$R$19:$T$21,3,FALSE)</f>
        <v>321.70666666666665</v>
      </c>
      <c r="Q28" s="173">
        <f>VLOOKUP(1+$O28,$R$19:$T$21,3,FALSE)</f>
        <v>336.74666666666667</v>
      </c>
      <c r="R28" s="280">
        <f>P28+(Q28-P28)*(G20-O28)</f>
        <v>327.25475555555556</v>
      </c>
      <c r="S28" s="237">
        <f>angleConvert2Decimal($S$23)+angleConvert2Decimal($T$23)*(G20-$R$23)</f>
        <v>277.42566785185181</v>
      </c>
      <c r="T28" s="177">
        <f>R28</f>
        <v>327.25475555555556</v>
      </c>
      <c r="U28" s="159">
        <f>$F$11+R28</f>
        <v>318.2214222222222</v>
      </c>
      <c r="V28" s="174">
        <f>IF(T28+M20&gt;360,T28+M20-360,IF(T28+M20&lt;0,T28+M20+360,T28+M20))</f>
        <v>324.84142222222226</v>
      </c>
      <c r="W28" s="174">
        <f>IF(U28+M20&gt;360,U28+M20-360,U28+M20)</f>
        <v>315.80808888888885</v>
      </c>
      <c r="X28" s="159" cm="1">
        <f t="array" ref="X28">astroCalculHc($F$10,O20,W28)</f>
        <v>1.5780114421502713</v>
      </c>
      <c r="Y28" s="161" t="str">
        <f>angleDecimal2Txt(X28,0)</f>
        <v>+01°34.68</v>
      </c>
      <c r="Z28" s="175">
        <f>60*(M28-X28)</f>
        <v>2960.3995299876651</v>
      </c>
      <c r="AA28" s="171" t="str">
        <f>IF(Z28&gt;0,"Vers Pg", "Oppose de Pg")</f>
        <v>Vers Pg</v>
      </c>
      <c r="AB28" t="str" cm="1">
        <f t="array" ref="AB28">CONCATENATE(TEXT(O20,"#,00")," / ",TEXT(longitudeHoraire2longitude(V28),"#,00"))</f>
        <v>29 / 35</v>
      </c>
      <c r="AC28" s="176" cm="1">
        <f t="array" ref="AC28">astroCalculZ2Zn($F$10,astroCalculZ($F$10,O20,W28),W28)</f>
        <v>37.486516410473143</v>
      </c>
      <c r="AE28" s="83"/>
      <c r="AG28" s="286">
        <f>Outils!$F$4 * O20</f>
        <v>0.51004338507447622</v>
      </c>
      <c r="AH28" s="286">
        <f>SIN(AG28)</f>
        <v>0.48821511050891914</v>
      </c>
      <c r="AI28" s="286">
        <f>COS(AG28)</f>
        <v>0.87272332721817625</v>
      </c>
      <c r="AJ28" s="459"/>
      <c r="AK28" s="459"/>
      <c r="AL28" s="459"/>
      <c r="AM28" s="286">
        <f>Outils!$F$4 * W28</f>
        <v>5.5118909555420315</v>
      </c>
      <c r="AN28" s="286">
        <f>COS(AM28)</f>
        <v>0.71700902470210126</v>
      </c>
      <c r="AO28" s="273">
        <f>AH28*$AK$27+AI28*$AL$27*AN28</f>
        <v>2.7538013571789588E-2</v>
      </c>
      <c r="AP28" s="273">
        <f>COS(AQ28*Outils!$F$4)</f>
        <v>0.99962075699163022</v>
      </c>
      <c r="AQ28" s="274">
        <f>ASIN(AO28)*Outils!$F$5</f>
        <v>1.5780114421503435</v>
      </c>
      <c r="AR28" s="275">
        <f>(AH28-$AK$27*AO28)/($AL$27*AP28)</f>
        <v>0.79349657999430734</v>
      </c>
      <c r="AS28" s="276">
        <f>Outils!$F$5*ACOS(AR28)</f>
        <v>37.486516410472817</v>
      </c>
      <c r="AT28" s="1245"/>
      <c r="AU28" s="170" t="b">
        <f>AM28&gt;PI()</f>
        <v>1</v>
      </c>
      <c r="AV28" s="170">
        <f>IF($AT$27,IF(AU28,AS28,360-AS28),IF(AU28,180-AS28,180+AS28))</f>
        <v>142.5134835895272</v>
      </c>
      <c r="BF28" s="16"/>
      <c r="BG28" s="16"/>
      <c r="BH28" s="16"/>
      <c r="BI28" s="16"/>
      <c r="BJ28" s="16"/>
    </row>
    <row r="29" spans="1:67" customFormat="1" ht="17.25" customHeight="1">
      <c r="C29" s="146" t="str">
        <f t="shared" si="0"/>
        <v>Etoile</v>
      </c>
      <c r="D29" s="146" t="str">
        <f t="shared" si="0"/>
        <v>Altair</v>
      </c>
      <c r="E29" s="244">
        <f>IF(B21=$AG$18,IF(ISNA(VLOOKUP(C21,$I$35:$I$36,1,FALSE)),0,VLOOKUP(C21,$I$35:$J$36,2,FALSE)),0)</f>
        <v>0</v>
      </c>
      <c r="F29" s="242">
        <f>angleConvert2Decimal(E29)</f>
        <v>0</v>
      </c>
      <c r="G29" s="242">
        <f>ASIN(SIN(F29*Outils!$F$4)*COS(J21*Outils!$F$4))*Outils!$F$5</f>
        <v>0</v>
      </c>
      <c r="H29" s="1216"/>
      <c r="I29" s="243">
        <f>(1/TAN(Outils!$F$4*(J21+7.31/(J21+4.4))))/60</f>
        <v>1.6453491081462088E-2</v>
      </c>
      <c r="J29" s="243">
        <f>I29*$H$27</f>
        <v>1.6441863172570594E-2</v>
      </c>
      <c r="K29" s="186" t="str">
        <f>angleDecimal2Txt(G29-$F$12-J29,0)</f>
        <v>-00°09.59</v>
      </c>
      <c r="L29" s="188" t="str">
        <f>angleDecimal2Txt(AN38,0)</f>
        <v>+00°00.00</v>
      </c>
      <c r="M29" s="189">
        <f>J21-F29+G29-J29+angleConvert2Decimal(L29)</f>
        <v>45.205018037900331</v>
      </c>
      <c r="N29" s="190" t="str">
        <f>angleDecimal2Txt(M29,0)</f>
        <v>+45°12.30</v>
      </c>
      <c r="O29" s="173">
        <f>INT(G21)</f>
        <v>3</v>
      </c>
      <c r="P29" s="173">
        <f>VLOOKUP($O29,$R$19:$T$21,3,FALSE)</f>
        <v>321.70666666666665</v>
      </c>
      <c r="Q29" s="173">
        <f>VLOOKUP(1+$O29,$R$19:$T$21,3,FALSE)</f>
        <v>336.74666666666667</v>
      </c>
      <c r="R29" s="280">
        <f>P29+(Q29-P29)*(G21-O29)</f>
        <v>327.9733333333333</v>
      </c>
      <c r="S29" s="237">
        <f>angleConvert2Decimal($S$23)+angleConvert2Decimal($T$23)*(G21-$R$23)</f>
        <v>277.43761388888885</v>
      </c>
      <c r="T29" s="177">
        <f>R29</f>
        <v>327.9733333333333</v>
      </c>
      <c r="U29" s="159">
        <f>$F$11+R29</f>
        <v>318.93999999999994</v>
      </c>
      <c r="V29" s="174">
        <f>IF(T29+M21&gt;360,T29+M21-360,IF(T29+M21&lt;0,T29+M21+360,T29+M21))</f>
        <v>29.974999999999966</v>
      </c>
      <c r="W29" s="174">
        <f>IF(U29+M21&gt;360,U29+M21-360,U29+M21)</f>
        <v>20.941666666666606</v>
      </c>
      <c r="X29" s="159" cm="1">
        <f t="array" ref="X29">astroCalculHc($F$10,O21,W29)</f>
        <v>28.255963581780762</v>
      </c>
      <c r="Y29" s="161" t="str">
        <f>angleDecimal2Txt(X29,0)</f>
        <v>+28°15.35</v>
      </c>
      <c r="Z29" s="175">
        <f>60*(M29-X29)</f>
        <v>1016.9432673671741</v>
      </c>
      <c r="AA29" s="171" t="str">
        <f>IF(Z29&gt;0,"Vers Pg", "Oppose de Pg")</f>
        <v>Vers Pg</v>
      </c>
      <c r="AB29" t="str" cm="1">
        <f t="array" ref="AB29">CONCATENATE(TEXT(O21,"#,00")," / ",TEXT(longitudeHoraire2longitude(V29),"#,00"))</f>
        <v>09 / -30</v>
      </c>
      <c r="AC29" s="176" cm="1">
        <f t="array" ref="AC29">astroCalculZ2Zn($F$10,astroCalculZ($F$10,O21,W29),W29)</f>
        <v>336.36881462185761</v>
      </c>
      <c r="AE29" s="83"/>
      <c r="AG29" s="286">
        <f>Outils!$F$4 * O21</f>
        <v>0.1558869910239602</v>
      </c>
      <c r="AH29" s="286">
        <f>SIN(AG29)</f>
        <v>0.15525639580609149</v>
      </c>
      <c r="AI29" s="286">
        <f>COS(AG29)</f>
        <v>0.98787420836931572</v>
      </c>
      <c r="AJ29" s="459"/>
      <c r="AK29" s="459"/>
      <c r="AL29" s="459"/>
      <c r="AM29" s="286">
        <f>Outils!$F$4 * W29</f>
        <v>0.36550103418847812</v>
      </c>
      <c r="AN29" s="286">
        <f>COS(AM29)</f>
        <v>0.93394480012307246</v>
      </c>
      <c r="AO29" s="273">
        <f>AH29*$AK$27+AI29*$AL$27*AN29</f>
        <v>0.47341135137334994</v>
      </c>
      <c r="AP29" s="273">
        <f>COS(AQ29*Outils!$F$4)</f>
        <v>0.88084146836468735</v>
      </c>
      <c r="AQ29" s="274">
        <f>ASIN(AO29)*Outils!$F$5</f>
        <v>28.255963581780676</v>
      </c>
      <c r="AR29" s="275">
        <f>(AH29-$AK$27*AO29)/($AL$27*AP29)</f>
        <v>0.91614468885237799</v>
      </c>
      <c r="AS29" s="276">
        <f>Outils!$F$5*ACOS(AR29)</f>
        <v>23.631185378142415</v>
      </c>
      <c r="AT29" s="1245"/>
      <c r="AU29" s="170" t="b">
        <f>AM29&gt;PI()</f>
        <v>0</v>
      </c>
      <c r="AV29" s="170">
        <f>IF($AT$27,IF(AU29,AS29,360-AS29),IF(AU29,180-AS29,180+AS29))</f>
        <v>203.63118537814242</v>
      </c>
      <c r="BF29" s="16"/>
      <c r="BG29" s="16"/>
      <c r="BH29" s="16"/>
      <c r="BI29" s="16"/>
      <c r="BJ29" s="16"/>
    </row>
    <row r="30" spans="1:67" customFormat="1" ht="17.25" customHeight="1">
      <c r="C30" s="146" t="str">
        <f t="shared" si="0"/>
        <v>Etoile</v>
      </c>
      <c r="D30" s="146" t="str">
        <f t="shared" si="0"/>
        <v>Vega</v>
      </c>
      <c r="E30" s="244">
        <f>IF(B22=$AG$18,IF(ISNA(VLOOKUP(C22,$I$35:$I$36,1,FALSE)),0,VLOOKUP(C22,$I$35:$J$36,2,FALSE)),0)</f>
        <v>0</v>
      </c>
      <c r="F30" s="242">
        <f>angleConvert2Decimal(E30)</f>
        <v>0</v>
      </c>
      <c r="G30" s="242">
        <f>ASIN(SIN(F30*Outils!$F$4)*COS(J22*Outils!$F$4))*Outils!$F$5</f>
        <v>0</v>
      </c>
      <c r="H30" s="1216"/>
      <c r="I30" s="243">
        <f>(1/TAN(Outils!$F$4*(J22+7.31/(J22+4.4))))/60</f>
        <v>9.7233651195171404E-3</v>
      </c>
      <c r="J30" s="243">
        <f>I30*$H$27</f>
        <v>9.7164934833902736E-3</v>
      </c>
      <c r="K30" s="186" t="str">
        <f>angleDecimal2Txt(G30-$F$12-J30,0)</f>
        <v>-00°09.19</v>
      </c>
      <c r="L30" s="188" t="str">
        <f>angleDecimal2Txt(AN39,0)</f>
        <v>+00°00.00</v>
      </c>
      <c r="M30" s="189">
        <f>J22-F30+G30-J30+angleConvert2Decimal(L30)</f>
        <v>59.616743407589517</v>
      </c>
      <c r="N30" s="190" t="str">
        <f>angleDecimal2Txt(M30,0)</f>
        <v>+59°37.00</v>
      </c>
      <c r="O30" s="173">
        <f>INT(G22)</f>
        <v>3</v>
      </c>
      <c r="P30" s="173">
        <f>VLOOKUP($O30,$R$19:$T$21,3,FALSE)</f>
        <v>321.70666666666665</v>
      </c>
      <c r="Q30" s="173">
        <f>VLOOKUP(1+$O30,$R$19:$T$21,3,FALSE)</f>
        <v>336.74666666666667</v>
      </c>
      <c r="R30" s="280">
        <f>P30+(Q30-P30)*(G22-O30)</f>
        <v>328.52062222222224</v>
      </c>
      <c r="S30" s="237">
        <f>angleConvert2Decimal($S$23)+angleConvert2Decimal($T$23)*(G22-$R$23)</f>
        <v>277.44671232407404</v>
      </c>
      <c r="T30" s="177">
        <f>R30</f>
        <v>328.52062222222224</v>
      </c>
      <c r="U30" s="159">
        <f>$F$11+R30</f>
        <v>319.48728888888888</v>
      </c>
      <c r="V30" s="174">
        <f>IF(T30+M22&gt;360,T30+M22-360,IF(T30+M22&lt;0,T30+M22+360,T30+M22))</f>
        <v>49.07228888888892</v>
      </c>
      <c r="W30" s="174">
        <f>IF(U30+M22&gt;360,U30+M22-360,U30+M22)</f>
        <v>40.03895555555556</v>
      </c>
      <c r="X30" s="159" cm="1">
        <f t="array" ref="X30">astroCalculHc($F$10,O22,W30)</f>
        <v>-5.584041205284322</v>
      </c>
      <c r="Y30" s="161" t="str">
        <f>angleDecimal2Txt(X30,0)</f>
        <v>-05°35.04</v>
      </c>
      <c r="Z30" s="175">
        <f>60*(M30-X30)</f>
        <v>3912.04707677243</v>
      </c>
      <c r="AA30" s="171" t="str">
        <f>IF(Z30&gt;0,"Vers Pg", "Oppose de Pg")</f>
        <v>Vers Pg</v>
      </c>
      <c r="AB30" t="str" cm="1">
        <f t="array" ref="AB30">CONCATENATE(TEXT(O22,"#,00")," / ",TEXT(longitudeHoraire2longitude(V30),"#,00"))</f>
        <v>39 / -49</v>
      </c>
      <c r="AC30" s="176" cm="1">
        <f t="array" ref="AC30">astroCalculZ2Zn($F$10,astroCalculZ($F$10,O22,W30),W30)</f>
        <v>329.7542610013158</v>
      </c>
      <c r="AE30" s="83"/>
      <c r="AG30" s="286">
        <f>Outils!$F$4 * O22</f>
        <v>0.67727501623639963</v>
      </c>
      <c r="AH30" s="286">
        <f>SIN(AG30)</f>
        <v>0.62667181904581304</v>
      </c>
      <c r="AI30" s="286">
        <f>COS(AG30)</f>
        <v>0.77928328046597528</v>
      </c>
      <c r="AJ30" s="459"/>
      <c r="AK30" s="459"/>
      <c r="AL30" s="459"/>
      <c r="AM30" s="286">
        <f>Outils!$F$4 * W30</f>
        <v>0.69881160350411986</v>
      </c>
      <c r="AN30" s="286">
        <f>COS(AM30)</f>
        <v>0.76560723305839973</v>
      </c>
      <c r="AO30" s="273">
        <f>AH30*$AK$27+AI30*$AL$27*AN30</f>
        <v>-9.7305691794058013E-2</v>
      </c>
      <c r="AP30" s="273">
        <f>COS(AQ30*Outils!$F$4)</f>
        <v>0.9952545414839763</v>
      </c>
      <c r="AQ30" s="274">
        <f>ASIN(AO30)*Outils!$F$5</f>
        <v>-5.5840412052844144</v>
      </c>
      <c r="AR30" s="275">
        <f>(AH30-$AK$27*AO30)/($AL$27*AP30)</f>
        <v>0.86387296773178213</v>
      </c>
      <c r="AS30" s="276">
        <f>Outils!$F$5*ACOS(AR30)</f>
        <v>30.245738998684189</v>
      </c>
      <c r="AT30" s="1245"/>
      <c r="AU30" s="170" t="b">
        <f>AM30&gt;PI()</f>
        <v>0</v>
      </c>
      <c r="AV30" s="170">
        <f>IF($AT$27,IF(AU30,AS30,360-AS30),IF(AU30,180-AS30,180+AS30))</f>
        <v>210.2457389986842</v>
      </c>
      <c r="BF30" s="16"/>
      <c r="BG30" s="16"/>
      <c r="BH30" s="16"/>
      <c r="BI30" s="16"/>
      <c r="BJ30" s="16"/>
    </row>
    <row r="31" spans="1:67" customFormat="1" ht="17.25" customHeight="1">
      <c r="C31" s="146" t="str">
        <f t="shared" si="0"/>
        <v>Planete</v>
      </c>
      <c r="D31" s="146" t="str">
        <f t="shared" si="0"/>
        <v>Mars</v>
      </c>
      <c r="E31" s="244" t="str">
        <f>IF(B23=$AG$18,IF(ISNA(VLOOKUP(C23,$I$35:$I$36,1,FALSE)),0,VLOOKUP(C23,$I$35:$J$36,2,FALSE)),0)</f>
        <v>0,3'</v>
      </c>
      <c r="F31" s="242">
        <f>angleConvert2Decimal(E31)</f>
        <v>5.0000000000000001E-3</v>
      </c>
      <c r="G31" s="242">
        <f>ASIN(SIN(F31*Outils!$F$4)*COS(J23*Outils!$F$4))*Outils!$F$5</f>
        <v>3.4976021111885074E-3</v>
      </c>
      <c r="H31" s="1217"/>
      <c r="I31" s="243">
        <f>(1/TAN(Outils!$F$4*(J23+7.31/(J23+4.4))))/60</f>
        <v>1.6231624730281172E-2</v>
      </c>
      <c r="J31" s="243">
        <f>I31*$H$27</f>
        <v>1.6220153617397582E-2</v>
      </c>
      <c r="K31" s="186" t="str">
        <f>angleDecimal2Txt(G31-$F$12-J31,0)</f>
        <v>-00°09.37</v>
      </c>
      <c r="L31" s="188" t="str">
        <f>angleDecimal2Txt(AN40,0)</f>
        <v>+00°00.10</v>
      </c>
      <c r="M31" s="189">
        <f>J23-F31+G31-J31+angleConvert2Decimal(L31)</f>
        <v>45.59540401623336</v>
      </c>
      <c r="N31" s="190" t="str">
        <f>angleDecimal2Txt(M31,0)</f>
        <v>+45°35.72</v>
      </c>
      <c r="O31" s="173">
        <f>INT(G23)</f>
        <v>3</v>
      </c>
      <c r="P31" s="173">
        <f>VLOOKUP($O31,$R$19:$T$21,3,FALSE)</f>
        <v>321.70666666666665</v>
      </c>
      <c r="Q31" s="173">
        <f>VLOOKUP(1+$O31,$R$19:$T$21,3,FALSE)</f>
        <v>336.74666666666667</v>
      </c>
      <c r="R31" s="280">
        <f>P31+(Q31-P31)*(G23-O31)</f>
        <v>329.31022222222219</v>
      </c>
      <c r="S31" s="237">
        <f>angleConvert2Decimal($S$23)+angleConvert2Decimal($T$23)*(G23-$R$23)</f>
        <v>277.45983907407407</v>
      </c>
      <c r="T31" s="177">
        <f>R31</f>
        <v>329.31022222222219</v>
      </c>
      <c r="U31" s="159">
        <f>$F$11+R31</f>
        <v>320.27688888888883</v>
      </c>
      <c r="V31" s="174">
        <f>IF(T31+M23&gt;360,T31+M23-360,IF(T31+M23&lt;0,T31+M23+360,T31+M23))</f>
        <v>106.62688888888886</v>
      </c>
      <c r="W31" s="174">
        <f>IF(U31+M23&gt;360,U31+M23-360,U31+M23)</f>
        <v>97.593555555555497</v>
      </c>
      <c r="X31" s="159" cm="1">
        <f t="array" ref="X31">astroCalculHc($F$10,O23,W31)</f>
        <v>-49.501978030042494</v>
      </c>
      <c r="Y31" s="161" t="str">
        <f>angleDecimal2Txt(X31,0)</f>
        <v>-49°30.11</v>
      </c>
      <c r="Z31" s="175">
        <f>60*(M31-X31)</f>
        <v>5705.8429227765509</v>
      </c>
      <c r="AA31" s="171" t="str">
        <f>IF(Z31&gt;0,"Vers Pg", "Oppose de Pg")</f>
        <v>Vers Pg</v>
      </c>
      <c r="AB31" t="str" cm="1">
        <f t="array" ref="AB31">CONCATENATE(TEXT(O23,"#,00")," / ",TEXT(longitudeHoraire2longitude(V31),"#,00"))</f>
        <v>74 / -107</v>
      </c>
      <c r="AC31" s="176" cm="1">
        <f t="array" ref="AC31">astroCalculZ2Zn($F$10,astroCalculZ($F$10,O23,W31),W31)</f>
        <v>335.21471580476339</v>
      </c>
      <c r="AE31" s="83"/>
      <c r="AG31" s="286">
        <f>Outils!$F$4 * O23</f>
        <v>1.2925617552061339</v>
      </c>
      <c r="AH31" s="286">
        <f>SIN(AG31)</f>
        <v>0.96154182649255537</v>
      </c>
      <c r="AI31" s="286">
        <f>COS(AG31)</f>
        <v>0.2746585442060025</v>
      </c>
      <c r="AJ31" s="1308"/>
      <c r="AK31" s="1308"/>
      <c r="AL31" s="1308"/>
      <c r="AM31" s="286">
        <f>Outils!$F$4 * W31</f>
        <v>1.7033288731724472</v>
      </c>
      <c r="AN31" s="286">
        <f>COS(AM31)</f>
        <v>-0.13214490069444362</v>
      </c>
      <c r="AO31" s="273">
        <f>AH31*$AK$27+AI31*$AL$27*AN31</f>
        <v>-0.76042838613079422</v>
      </c>
      <c r="AP31" s="273">
        <f>COS(AQ31*Outils!$F$4)</f>
        <v>0.64942179634388308</v>
      </c>
      <c r="AQ31" s="274">
        <f>ASIN(AO31)*Outils!$F$5</f>
        <v>-49.501978030042523</v>
      </c>
      <c r="AR31" s="275">
        <f>(AH31-$AK$27*AO31)/($AL$27*AP31)</f>
        <v>0.90788518034657373</v>
      </c>
      <c r="AS31" s="276">
        <f>Outils!$F$5*ACOS(AR31)</f>
        <v>24.785284195236507</v>
      </c>
      <c r="AT31" s="1246"/>
      <c r="AU31" s="170" t="b">
        <f>AM31&gt;PI()</f>
        <v>0</v>
      </c>
      <c r="AV31" s="170">
        <f>IF($AT$27,IF(AU31,AS31,360-AS31),IF(AU31,180-AS31,180+AS31))</f>
        <v>204.7852841952365</v>
      </c>
      <c r="BF31" s="14"/>
      <c r="BG31" s="14"/>
      <c r="BH31" s="14"/>
      <c r="BI31" s="14"/>
      <c r="BJ31" s="14"/>
    </row>
    <row r="32" spans="1:67" customFormat="1" ht="17.25" customHeight="1">
      <c r="A32" s="16"/>
      <c r="B32" s="16"/>
      <c r="C32" s="59"/>
      <c r="D32" s="59"/>
      <c r="E32" s="211"/>
      <c r="F32" s="148"/>
      <c r="G32" s="59"/>
      <c r="H32" s="16"/>
      <c r="I32" s="16"/>
      <c r="J32" s="16"/>
      <c r="K32" s="16"/>
      <c r="L32" s="16"/>
      <c r="M32" s="150"/>
      <c r="N32" s="16"/>
      <c r="O32" s="16"/>
      <c r="P32" s="16"/>
      <c r="Q32" s="16"/>
      <c r="R32" s="16"/>
      <c r="S32" s="16"/>
      <c r="T32" s="16"/>
      <c r="U32" s="16"/>
      <c r="V32" s="16"/>
      <c r="W32" s="145"/>
      <c r="X32" s="155"/>
      <c r="Y32" s="145"/>
      <c r="Z32" s="145"/>
      <c r="AA32" s="150"/>
      <c r="AE32" s="83"/>
      <c r="AR32" s="16"/>
      <c r="AX32" s="14"/>
      <c r="AY32" s="14"/>
      <c r="AZ32" s="14"/>
      <c r="BA32" s="14"/>
      <c r="BB32" s="14"/>
      <c r="BN32" s="24"/>
      <c r="BO32" s="16"/>
    </row>
    <row r="33" spans="1:68" customFormat="1" ht="17.25" customHeight="1">
      <c r="A33" s="16"/>
      <c r="B33" s="16"/>
      <c r="C33" s="59"/>
      <c r="D33" s="59"/>
      <c r="E33" s="211"/>
      <c r="F33" s="148"/>
      <c r="G33" s="59"/>
      <c r="H33" s="16"/>
      <c r="I33" s="16"/>
      <c r="J33" s="16"/>
      <c r="K33" s="16"/>
      <c r="L33" s="16"/>
      <c r="M33" s="711" t="s">
        <v>374</v>
      </c>
      <c r="N33" s="711"/>
      <c r="O33" s="711"/>
      <c r="P33" s="711"/>
      <c r="Q33" s="711"/>
      <c r="R33" s="711"/>
      <c r="S33" s="711"/>
      <c r="T33" s="711"/>
      <c r="U33" s="711"/>
      <c r="V33" s="711"/>
      <c r="W33" s="711"/>
      <c r="X33" s="711"/>
      <c r="Y33" s="711"/>
      <c r="Z33" s="145"/>
      <c r="AA33" s="150"/>
      <c r="AE33" s="83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N33" s="24"/>
      <c r="BO33" s="16"/>
    </row>
    <row r="34" spans="1:68" customFormat="1" ht="17.25" customHeight="1">
      <c r="A34" s="16"/>
      <c r="B34" s="16"/>
      <c r="C34" s="59"/>
      <c r="D34" s="59"/>
      <c r="E34" s="211"/>
      <c r="F34" s="148"/>
      <c r="G34" s="59"/>
      <c r="H34" s="16"/>
      <c r="I34" s="150"/>
      <c r="J34" s="151" t="s">
        <v>351</v>
      </c>
      <c r="K34" s="151" t="s">
        <v>352</v>
      </c>
      <c r="L34" s="16"/>
      <c r="M34" s="152" t="s">
        <v>101</v>
      </c>
      <c r="N34" s="178">
        <v>1</v>
      </c>
      <c r="O34" s="178">
        <f>N34+1</f>
        <v>2</v>
      </c>
      <c r="P34" s="178">
        <f t="shared" ref="P34:V34" si="1">O34+1</f>
        <v>3</v>
      </c>
      <c r="Q34" s="178">
        <f t="shared" si="1"/>
        <v>4</v>
      </c>
      <c r="R34" s="178">
        <f t="shared" si="1"/>
        <v>5</v>
      </c>
      <c r="S34" s="178">
        <f t="shared" si="1"/>
        <v>6</v>
      </c>
      <c r="T34" s="178">
        <f t="shared" si="1"/>
        <v>7</v>
      </c>
      <c r="U34" s="178">
        <f t="shared" si="1"/>
        <v>8</v>
      </c>
      <c r="V34" s="178">
        <f t="shared" si="1"/>
        <v>9</v>
      </c>
      <c r="W34" s="178">
        <f>V34+1</f>
        <v>10</v>
      </c>
      <c r="X34" s="178">
        <f>W34+1</f>
        <v>11</v>
      </c>
      <c r="Y34" s="178">
        <f>X34+1</f>
        <v>12</v>
      </c>
      <c r="Z34" s="145"/>
      <c r="AA34" s="150"/>
      <c r="AE34" s="83"/>
      <c r="AG34" s="266" t="s">
        <v>376</v>
      </c>
      <c r="AH34" s="266"/>
      <c r="AI34" s="266"/>
      <c r="AJ34" s="253"/>
      <c r="AK34" s="253"/>
      <c r="AL34" s="253"/>
      <c r="AM34" s="253"/>
      <c r="BC34" s="16"/>
      <c r="BO34" s="24"/>
      <c r="BP34" s="16"/>
    </row>
    <row r="35" spans="1:68" customFormat="1" ht="17.25" customHeight="1">
      <c r="A35" s="16"/>
      <c r="B35" s="16"/>
      <c r="C35" s="59"/>
      <c r="D35" s="59"/>
      <c r="E35" s="211"/>
      <c r="F35" s="148"/>
      <c r="G35" s="59"/>
      <c r="H35" s="16"/>
      <c r="I35" s="182" t="s">
        <v>347</v>
      </c>
      <c r="J35" s="183" t="s">
        <v>349</v>
      </c>
      <c r="K35" s="281">
        <f>angleConvert2Decimal(J35)</f>
        <v>5.0000000000000001E-3</v>
      </c>
      <c r="L35" s="1213" t="str">
        <f>I35</f>
        <v>Mars</v>
      </c>
      <c r="M35" s="262">
        <v>40</v>
      </c>
      <c r="N35" s="263" t="s">
        <v>370</v>
      </c>
      <c r="O35" s="263" t="s">
        <v>370</v>
      </c>
      <c r="P35" s="263" t="s">
        <v>370</v>
      </c>
      <c r="Q35" s="263" t="s">
        <v>370</v>
      </c>
      <c r="R35" s="263" t="s">
        <v>370</v>
      </c>
      <c r="S35" s="263" t="s">
        <v>370</v>
      </c>
      <c r="T35" s="263" t="s">
        <v>370</v>
      </c>
      <c r="U35" s="263" t="s">
        <v>370</v>
      </c>
      <c r="V35" s="263" t="s">
        <v>370</v>
      </c>
      <c r="W35" s="263" t="s">
        <v>371</v>
      </c>
      <c r="X35" s="263" t="s">
        <v>371</v>
      </c>
      <c r="Y35" s="263" t="s">
        <v>371</v>
      </c>
      <c r="Z35" s="145"/>
      <c r="AA35" s="150"/>
      <c r="AE35" s="83"/>
      <c r="AG35" s="253"/>
      <c r="AH35" s="266" t="s">
        <v>101</v>
      </c>
      <c r="AI35" s="267">
        <f>AA6</f>
        <v>6</v>
      </c>
      <c r="AJ35" s="253"/>
      <c r="AK35" s="254" t="s">
        <v>620</v>
      </c>
      <c r="AL35" s="254" t="s">
        <v>347</v>
      </c>
      <c r="AM35" s="254" t="s">
        <v>348</v>
      </c>
      <c r="AN35" s="254" t="s">
        <v>377</v>
      </c>
      <c r="BC35" s="16"/>
      <c r="BO35" s="24"/>
      <c r="BP35" s="16"/>
    </row>
    <row r="36" spans="1:68" customFormat="1" ht="17.25" customHeight="1">
      <c r="A36" s="16"/>
      <c r="B36" s="16"/>
      <c r="C36" s="59"/>
      <c r="D36" s="59"/>
      <c r="E36" s="211"/>
      <c r="F36" s="148"/>
      <c r="G36" s="59"/>
      <c r="H36" s="16"/>
      <c r="I36" s="180" t="s">
        <v>348</v>
      </c>
      <c r="J36" s="181" t="s">
        <v>350</v>
      </c>
      <c r="K36" s="282">
        <f>angleConvert2Decimal(J36)</f>
        <v>1.6666666666666668E-3</v>
      </c>
      <c r="L36" s="1213"/>
      <c r="M36" s="262">
        <v>60</v>
      </c>
      <c r="N36" s="263" t="s">
        <v>370</v>
      </c>
      <c r="O36" s="263" t="s">
        <v>370</v>
      </c>
      <c r="P36" s="263" t="s">
        <v>370</v>
      </c>
      <c r="Q36" s="263" t="s">
        <v>370</v>
      </c>
      <c r="R36" s="263" t="s">
        <v>370</v>
      </c>
      <c r="S36" s="263" t="s">
        <v>370</v>
      </c>
      <c r="T36" s="263" t="s">
        <v>370</v>
      </c>
      <c r="U36" s="263" t="s">
        <v>370</v>
      </c>
      <c r="V36" s="263" t="s">
        <v>370</v>
      </c>
      <c r="W36" s="263" t="s">
        <v>370</v>
      </c>
      <c r="X36" s="263" t="s">
        <v>370</v>
      </c>
      <c r="Y36" s="263" t="s">
        <v>370</v>
      </c>
      <c r="Z36" s="145"/>
      <c r="AA36" s="150"/>
      <c r="AE36" s="83"/>
      <c r="AG36" s="1241" t="str">
        <f>I35</f>
        <v>Mars</v>
      </c>
      <c r="AH36" s="266">
        <v>0</v>
      </c>
      <c r="AI36" s="268" t="str">
        <f>AI37</f>
        <v>0°0,1'</v>
      </c>
      <c r="AK36" s="269">
        <f>J19</f>
        <v>18.581459901072908</v>
      </c>
      <c r="AL36" s="254">
        <f>IF(D27=$AG$36,VLOOKUP($AK36,$AH$36:$AI$39,2,TRUE),0)</f>
        <v>0</v>
      </c>
      <c r="AM36" s="254">
        <f>IF(D27=$AG$40,VLOOKUP($AK36,$AH$40:$AI$43,2,TRUE),0)</f>
        <v>0</v>
      </c>
      <c r="AN36" s="254">
        <f>angleConvert2Decimal(AL36)+angleConvert2Decimal(AM36)</f>
        <v>0</v>
      </c>
      <c r="BO36" s="24"/>
      <c r="BP36" s="16"/>
    </row>
    <row r="37" spans="1:68" customFormat="1" ht="17.25" customHeight="1">
      <c r="A37" s="16"/>
      <c r="B37" s="16"/>
      <c r="C37" s="59"/>
      <c r="D37" s="59"/>
      <c r="E37" s="211"/>
      <c r="F37" s="148"/>
      <c r="G37" s="59"/>
      <c r="H37" s="16"/>
      <c r="L37" s="1213"/>
      <c r="M37" s="262">
        <v>90</v>
      </c>
      <c r="N37" s="263" t="s">
        <v>370</v>
      </c>
      <c r="O37" s="263" t="s">
        <v>370</v>
      </c>
      <c r="P37" s="263" t="s">
        <v>370</v>
      </c>
      <c r="Q37" s="263" t="s">
        <v>370</v>
      </c>
      <c r="R37" s="263" t="s">
        <v>370</v>
      </c>
      <c r="S37" s="263" t="s">
        <v>370</v>
      </c>
      <c r="T37" s="263" t="s">
        <v>370</v>
      </c>
      <c r="U37" s="263" t="s">
        <v>370</v>
      </c>
      <c r="V37" s="263" t="s">
        <v>370</v>
      </c>
      <c r="W37" s="263" t="s">
        <v>370</v>
      </c>
      <c r="X37" s="263" t="s">
        <v>370</v>
      </c>
      <c r="Y37" s="263" t="s">
        <v>370</v>
      </c>
      <c r="Z37" s="145"/>
      <c r="AA37" s="150"/>
      <c r="AE37" s="83"/>
      <c r="AG37" s="1241"/>
      <c r="AH37" s="266">
        <v>40</v>
      </c>
      <c r="AI37" s="268" t="str">
        <f>HLOOKUP($AI$35,$N$34:$Y$40,2,FALSE)</f>
        <v>0°0,1'</v>
      </c>
      <c r="AK37" s="269">
        <f>J20</f>
        <v>50.931459901072905</v>
      </c>
      <c r="AL37" s="254">
        <f>IF(D28=$AG$36,VLOOKUP($AK37,$AH$36:$AI$39,2,TRUE),0)</f>
        <v>0</v>
      </c>
      <c r="AM37" s="254">
        <f>IF(D28=$AG$40,VLOOKUP($AK37,$AH$40:$AI$43,2,TRUE),0)</f>
        <v>0</v>
      </c>
      <c r="AN37" s="254">
        <f>angleConvert2Decimal(AL37)+angleConvert2Decimal(AM37)</f>
        <v>0</v>
      </c>
      <c r="BO37" s="24"/>
      <c r="BP37" s="16"/>
    </row>
    <row r="38" spans="1:68" customFormat="1" ht="17.25" customHeight="1">
      <c r="A38" s="16"/>
      <c r="B38" s="16"/>
      <c r="C38" s="59"/>
      <c r="D38" s="59"/>
      <c r="E38" s="211"/>
      <c r="F38" s="148"/>
      <c r="G38" s="59"/>
      <c r="H38" s="16"/>
      <c r="I38" s="16"/>
      <c r="J38" s="16"/>
      <c r="K38" s="16"/>
      <c r="L38" s="1214" t="str">
        <f>I36</f>
        <v>Venus</v>
      </c>
      <c r="M38" s="264">
        <v>40</v>
      </c>
      <c r="N38" s="265" t="s">
        <v>370</v>
      </c>
      <c r="O38" s="265" t="s">
        <v>370</v>
      </c>
      <c r="P38" s="265" t="s">
        <v>370</v>
      </c>
      <c r="Q38" s="265" t="s">
        <v>370</v>
      </c>
      <c r="R38" s="265" t="s">
        <v>371</v>
      </c>
      <c r="S38" s="265" t="s">
        <v>371</v>
      </c>
      <c r="T38" s="265" t="s">
        <v>372</v>
      </c>
      <c r="U38" s="265" t="s">
        <v>373</v>
      </c>
      <c r="V38" s="265" t="s">
        <v>372</v>
      </c>
      <c r="W38" s="265" t="s">
        <v>371</v>
      </c>
      <c r="X38" s="265" t="s">
        <v>371</v>
      </c>
      <c r="Y38" s="265" t="s">
        <v>370</v>
      </c>
      <c r="Z38" s="145"/>
      <c r="AA38" s="150"/>
      <c r="AE38" s="83"/>
      <c r="AG38" s="1241"/>
      <c r="AH38" s="266">
        <v>60</v>
      </c>
      <c r="AI38" s="268" t="str">
        <f>HLOOKUP($AI$35,$N$34:$Y$40,3,FALSE)</f>
        <v>0°0,1'</v>
      </c>
      <c r="AK38" s="269">
        <f>J21</f>
        <v>45.221459901072905</v>
      </c>
      <c r="AL38" s="254">
        <f>IF(D29=$AG$36,VLOOKUP($AK38,$AH$36:$AI$39,2,TRUE),0)</f>
        <v>0</v>
      </c>
      <c r="AM38" s="254">
        <f>IF(D29=$AG$40,VLOOKUP($AK38,$AH$40:$AI$43,2,TRUE),0)</f>
        <v>0</v>
      </c>
      <c r="AN38" s="254">
        <f>angleConvert2Decimal(AL38)+angleConvert2Decimal(AM38)</f>
        <v>0</v>
      </c>
      <c r="BO38" s="24"/>
      <c r="BP38" s="16"/>
    </row>
    <row r="39" spans="1:68" customFormat="1" ht="17.25" customHeight="1">
      <c r="A39" s="16"/>
      <c r="B39" s="16"/>
      <c r="C39" s="59"/>
      <c r="D39" s="59"/>
      <c r="E39" s="211"/>
      <c r="F39" s="148"/>
      <c r="G39" s="59"/>
      <c r="H39" s="16"/>
      <c r="I39" s="16"/>
      <c r="J39" s="16"/>
      <c r="K39" s="16"/>
      <c r="L39" s="1214"/>
      <c r="M39" s="264">
        <v>60</v>
      </c>
      <c r="N39" s="265" t="s">
        <v>370</v>
      </c>
      <c r="O39" s="265" t="s">
        <v>370</v>
      </c>
      <c r="P39" s="265" t="s">
        <v>370</v>
      </c>
      <c r="Q39" s="265" t="s">
        <v>370</v>
      </c>
      <c r="R39" s="265" t="s">
        <v>370</v>
      </c>
      <c r="S39" s="265" t="s">
        <v>370</v>
      </c>
      <c r="T39" s="265" t="s">
        <v>371</v>
      </c>
      <c r="U39" s="265" t="s">
        <v>372</v>
      </c>
      <c r="V39" s="265" t="s">
        <v>371</v>
      </c>
      <c r="W39" s="265" t="s">
        <v>370</v>
      </c>
      <c r="X39" s="265" t="s">
        <v>370</v>
      </c>
      <c r="Y39" s="265" t="s">
        <v>370</v>
      </c>
      <c r="Z39" s="145"/>
      <c r="AA39" s="150"/>
      <c r="AE39" s="83"/>
      <c r="AG39" s="1241"/>
      <c r="AH39" s="266">
        <v>90</v>
      </c>
      <c r="AI39" s="268" t="str">
        <f>HLOOKUP($AI$35,$N$34:$Y$40,4,FALSE)</f>
        <v>0°0,1'</v>
      </c>
      <c r="AK39" s="269">
        <f>J22</f>
        <v>59.626459901072906</v>
      </c>
      <c r="AL39" s="254">
        <f>IF(D30=$AG$36,VLOOKUP($AK39,$AH$36:$AI$39,2,TRUE),0)</f>
        <v>0</v>
      </c>
      <c r="AM39" s="254">
        <f>IF(D30=$AG$40,VLOOKUP($AK39,$AH$40:$AI$43,2,TRUE),0)</f>
        <v>0</v>
      </c>
      <c r="AN39" s="254">
        <f>angleConvert2Decimal(AL39)+angleConvert2Decimal(AM39)</f>
        <v>0</v>
      </c>
      <c r="BO39" s="24"/>
      <c r="BP39" s="16"/>
    </row>
    <row r="40" spans="1:68" customFormat="1" ht="17.25" customHeight="1">
      <c r="A40" s="16"/>
      <c r="B40" s="16"/>
      <c r="C40" s="59"/>
      <c r="D40" s="59"/>
      <c r="E40" s="211"/>
      <c r="F40" s="148"/>
      <c r="G40" s="59"/>
      <c r="H40" s="16"/>
      <c r="I40" s="16"/>
      <c r="J40" s="16"/>
      <c r="K40" s="16"/>
      <c r="L40" s="1214"/>
      <c r="M40" s="264">
        <v>90</v>
      </c>
      <c r="N40" s="265" t="s">
        <v>370</v>
      </c>
      <c r="O40" s="265" t="s">
        <v>370</v>
      </c>
      <c r="P40" s="265" t="s">
        <v>370</v>
      </c>
      <c r="Q40" s="265" t="s">
        <v>370</v>
      </c>
      <c r="R40" s="265" t="s">
        <v>370</v>
      </c>
      <c r="S40" s="265" t="s">
        <v>370</v>
      </c>
      <c r="T40" s="265" t="s">
        <v>370</v>
      </c>
      <c r="U40" s="265" t="s">
        <v>371</v>
      </c>
      <c r="V40" s="265" t="s">
        <v>370</v>
      </c>
      <c r="W40" s="265" t="s">
        <v>370</v>
      </c>
      <c r="X40" s="265" t="s">
        <v>370</v>
      </c>
      <c r="Y40" s="265" t="s">
        <v>370</v>
      </c>
      <c r="Z40" s="145"/>
      <c r="AA40" s="150"/>
      <c r="AE40" s="83"/>
      <c r="AG40" s="1242" t="str">
        <f>I36</f>
        <v>Venus</v>
      </c>
      <c r="AH40" s="266">
        <v>0</v>
      </c>
      <c r="AI40" s="266" t="str">
        <f>AI41</f>
        <v>0°0,2'</v>
      </c>
      <c r="AK40" s="269">
        <f>J23</f>
        <v>45.611459901072905</v>
      </c>
      <c r="AL40" s="254" t="str">
        <f>IF(D31=$AG$36,VLOOKUP($AK40,$AH$36:$AI$39,2,TRUE),0)</f>
        <v>0°0,1'</v>
      </c>
      <c r="AM40" s="254">
        <f>IF(D31=$AG$40,VLOOKUP($AK40,$AH$40:$AI$43,2,TRUE),0)</f>
        <v>0</v>
      </c>
      <c r="AN40" s="254">
        <f>angleConvert2Decimal(AL40)+angleConvert2Decimal(AM40)</f>
        <v>1.6666666666666668E-3</v>
      </c>
      <c r="BO40" s="24"/>
      <c r="BP40" s="16"/>
    </row>
    <row r="41" spans="1:68" customFormat="1" ht="17.25" customHeight="1">
      <c r="A41" s="16"/>
      <c r="B41" s="16"/>
      <c r="C41" s="59"/>
      <c r="D41" s="59"/>
      <c r="E41" s="211"/>
      <c r="F41" s="148"/>
      <c r="G41" s="59"/>
      <c r="H41" s="16"/>
      <c r="I41" s="16"/>
      <c r="J41" s="16"/>
      <c r="K41" s="16"/>
      <c r="L41" s="16"/>
      <c r="M41" s="150"/>
      <c r="N41" s="16"/>
      <c r="O41" s="16"/>
      <c r="P41" s="16"/>
      <c r="Q41" s="16"/>
      <c r="R41" s="16"/>
      <c r="S41" s="16"/>
      <c r="T41" s="16"/>
      <c r="U41" s="16"/>
      <c r="V41" s="16"/>
      <c r="W41" s="145"/>
      <c r="X41" s="145"/>
      <c r="Y41" s="145"/>
      <c r="Z41" s="145"/>
      <c r="AA41" s="150"/>
      <c r="AE41" s="83"/>
      <c r="AG41" s="1242"/>
      <c r="AH41" s="266">
        <v>40</v>
      </c>
      <c r="AI41" s="268" t="str">
        <f>HLOOKUP($AI$35,$N$34:$Y$40,5,FALSE)</f>
        <v>0°0,2'</v>
      </c>
      <c r="BO41" s="24"/>
      <c r="BP41" s="16"/>
    </row>
    <row r="42" spans="1:68" customFormat="1" ht="17.25" customHeight="1">
      <c r="E42" s="215"/>
      <c r="L42" s="16"/>
      <c r="M42" s="150"/>
      <c r="N42" s="16"/>
      <c r="O42" s="16"/>
      <c r="P42" s="16"/>
      <c r="Q42" s="16"/>
      <c r="R42" s="16"/>
      <c r="S42" s="16"/>
      <c r="T42" s="16"/>
      <c r="U42" s="16"/>
      <c r="V42" s="16"/>
      <c r="W42" s="145"/>
      <c r="X42" s="145"/>
      <c r="Y42" s="145"/>
      <c r="Z42" s="145"/>
      <c r="AE42" s="83"/>
      <c r="AG42" s="1242"/>
      <c r="AH42" s="266">
        <v>60</v>
      </c>
      <c r="AI42" s="268" t="str">
        <f>HLOOKUP($AI$35,$N$34:$Y$40,6,FALSE)</f>
        <v>0°0,1'</v>
      </c>
      <c r="AJ42" s="253"/>
      <c r="AK42" s="253"/>
      <c r="AL42" s="253"/>
      <c r="AM42" s="253"/>
    </row>
    <row r="43" spans="1:68" customFormat="1" ht="17.25" customHeight="1">
      <c r="E43" s="215"/>
      <c r="L43" s="16"/>
      <c r="M43" s="150"/>
      <c r="N43" s="16"/>
      <c r="O43" s="16"/>
      <c r="P43" s="16"/>
      <c r="Q43" s="16"/>
      <c r="R43" s="16"/>
      <c r="S43" s="16"/>
      <c r="T43" s="16"/>
      <c r="U43" s="16"/>
      <c r="V43" s="16"/>
      <c r="W43" s="145"/>
      <c r="X43" s="145"/>
      <c r="Y43" s="145"/>
      <c r="Z43" s="145"/>
      <c r="AE43" s="83"/>
      <c r="AF43" s="11"/>
      <c r="AG43" s="1242"/>
      <c r="AH43" s="266">
        <v>90</v>
      </c>
      <c r="AI43" s="268" t="str">
        <f>HLOOKUP($AI$35,$N$34:$Y$40,7,FALSE)</f>
        <v>0°0,1'</v>
      </c>
      <c r="AJ43" s="253"/>
      <c r="AK43" s="253"/>
      <c r="AL43" s="253"/>
      <c r="AM43" s="253"/>
    </row>
    <row r="44" spans="1:68" ht="17.25" customHeight="1" thickBot="1">
      <c r="D44" s="16"/>
      <c r="E44" s="16"/>
      <c r="F44" s="16"/>
      <c r="G44" s="16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/>
      <c r="AH44" s="16"/>
      <c r="AI44" s="16"/>
      <c r="AJ44" s="16"/>
      <c r="AK44" s="16"/>
      <c r="AL44" s="16"/>
      <c r="AM44" s="77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</row>
    <row r="45" spans="1:68" customFormat="1" ht="15.75" thickBot="1">
      <c r="B45" s="109" t="s">
        <v>542</v>
      </c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1"/>
      <c r="AB45" s="158"/>
      <c r="AC45" s="158"/>
      <c r="AE45" s="83"/>
    </row>
    <row r="46" spans="1:68" customFormat="1" ht="15">
      <c r="K46" s="92"/>
      <c r="L46" s="92"/>
      <c r="AE46" s="83"/>
    </row>
    <row r="47" spans="1:68" customFormat="1" ht="15">
      <c r="B47" s="705" t="s">
        <v>1</v>
      </c>
      <c r="C47" s="705"/>
      <c r="D47" s="705" t="str">
        <f>E6</f>
        <v>2024/06/28</v>
      </c>
      <c r="E47" s="705"/>
      <c r="F47" s="705"/>
      <c r="G47" s="705"/>
      <c r="H47" s="705"/>
      <c r="I47" s="705"/>
      <c r="AE47" s="83"/>
    </row>
    <row r="48" spans="1:68" customFormat="1" ht="15">
      <c r="B48" s="706" t="s">
        <v>30</v>
      </c>
      <c r="C48" s="706"/>
      <c r="D48" s="994" t="s">
        <v>474</v>
      </c>
      <c r="E48" s="994"/>
      <c r="F48" s="994"/>
      <c r="G48" s="994"/>
      <c r="H48" s="994"/>
      <c r="I48" s="994"/>
      <c r="J48" s="228"/>
      <c r="K48" s="228"/>
      <c r="L48" s="228"/>
      <c r="AE48" s="83"/>
    </row>
    <row r="49" spans="2:66" customFormat="1" ht="15">
      <c r="H49" s="228"/>
      <c r="I49" s="228"/>
      <c r="J49" s="228"/>
      <c r="K49" s="228"/>
      <c r="L49" s="228"/>
      <c r="AE49" s="83"/>
    </row>
    <row r="50" spans="2:66" customFormat="1" ht="15">
      <c r="B50" s="753" t="s">
        <v>403</v>
      </c>
      <c r="C50" s="753"/>
      <c r="D50" s="814" t="str" cm="1">
        <f t="array" ref="D50">angleDecimal2Txt(angleConvert2Decimal(H13))</f>
        <v>+00°01.50 (+00.0250) [+00°01'30.00]</v>
      </c>
      <c r="E50" s="814"/>
      <c r="F50" s="814"/>
      <c r="G50" s="814"/>
      <c r="H50" s="814"/>
      <c r="I50" s="814"/>
      <c r="J50" s="228"/>
      <c r="K50" s="228"/>
      <c r="L50" s="228"/>
      <c r="AE50" s="83"/>
    </row>
    <row r="51" spans="2:66" customFormat="1" ht="15">
      <c r="B51" s="705" t="s">
        <v>404</v>
      </c>
      <c r="C51" s="705"/>
      <c r="D51" s="814" t="str">
        <f>CONCATENATE(H12, " m")</f>
        <v>24 m</v>
      </c>
      <c r="E51" s="814"/>
      <c r="F51" s="814"/>
      <c r="G51" s="814"/>
      <c r="H51" s="814"/>
      <c r="I51" s="814"/>
      <c r="J51" s="228"/>
      <c r="K51" s="228"/>
      <c r="L51" s="228"/>
      <c r="AE51" s="83"/>
    </row>
    <row r="52" spans="2:66" customFormat="1" ht="15">
      <c r="J52" s="228"/>
      <c r="K52" s="228"/>
      <c r="L52" s="228"/>
      <c r="AE52" s="83"/>
    </row>
    <row r="53" spans="2:66" customFormat="1" ht="15">
      <c r="B53" s="758" t="s">
        <v>414</v>
      </c>
      <c r="C53" s="758"/>
      <c r="D53" s="758" t="str" cm="1">
        <f t="array" ref="D53">latitudeDecimal2Txt(F10)</f>
        <v>S 50°03.00 (S 50.0499) [S 50°03'00.00]</v>
      </c>
      <c r="E53" s="758"/>
      <c r="F53" s="758"/>
      <c r="G53" s="758"/>
      <c r="H53" s="758"/>
      <c r="I53" s="758"/>
      <c r="J53" s="228"/>
      <c r="K53" s="228"/>
      <c r="L53" s="228"/>
      <c r="AE53" s="83"/>
    </row>
    <row r="54" spans="2:66" customFormat="1" ht="15">
      <c r="B54" s="758" t="s">
        <v>415</v>
      </c>
      <c r="C54" s="758"/>
      <c r="D54" s="758" t="str" cm="1">
        <f t="array" ref="D54">longitudeDecimal2Txt(F11)</f>
        <v>W 09°02.00 (W 09.0333) [W 09°02'00.00]</v>
      </c>
      <c r="E54" s="758"/>
      <c r="F54" s="758"/>
      <c r="G54" s="758"/>
      <c r="H54" s="758"/>
      <c r="I54" s="758"/>
      <c r="J54" s="228"/>
      <c r="K54" s="228"/>
      <c r="L54" s="228"/>
      <c r="AE54" s="83"/>
    </row>
    <row r="55" spans="2:66" customFormat="1" ht="15">
      <c r="B55" s="224"/>
      <c r="C55" s="224"/>
      <c r="D55" s="227"/>
      <c r="E55" s="224"/>
      <c r="AE55" s="83"/>
    </row>
    <row r="56" spans="2:66" s="92" customFormat="1" ht="17.25" customHeight="1" thickBot="1">
      <c r="B56" s="231" t="s">
        <v>401</v>
      </c>
      <c r="C56" s="231"/>
      <c r="D56" s="231"/>
      <c r="E56"/>
      <c r="F56" s="226"/>
      <c r="G56" s="226"/>
      <c r="AB56"/>
      <c r="AC56"/>
      <c r="AD56"/>
      <c r="AE56" s="83"/>
      <c r="AF56"/>
      <c r="AG56"/>
      <c r="BF56"/>
      <c r="BG56"/>
      <c r="BH56"/>
      <c r="BI56"/>
      <c r="BJ56"/>
      <c r="BK56"/>
      <c r="BL56"/>
      <c r="BM56"/>
      <c r="BN56"/>
    </row>
    <row r="57" spans="2:66" s="92" customFormat="1" ht="17.25" customHeight="1" thickTop="1" thickBot="1">
      <c r="C57"/>
      <c r="D57" s="1227" t="s">
        <v>480</v>
      </c>
      <c r="E57" s="1228"/>
      <c r="F57" s="1233" t="str">
        <f>C19</f>
        <v>Capela</v>
      </c>
      <c r="G57" s="1234"/>
      <c r="H57" s="1234"/>
      <c r="I57" s="1235"/>
      <c r="J57" s="1251" t="str">
        <f>C20</f>
        <v>Alpheratz</v>
      </c>
      <c r="K57" s="1252"/>
      <c r="L57" s="1252"/>
      <c r="M57" s="1253"/>
      <c r="N57" s="1251" t="str">
        <f>C21</f>
        <v>Altair</v>
      </c>
      <c r="O57" s="1252"/>
      <c r="P57" s="1252"/>
      <c r="Q57" s="1253"/>
      <c r="R57" s="1251" t="str">
        <f>C22</f>
        <v>Vega</v>
      </c>
      <c r="S57" s="1252"/>
      <c r="T57" s="1252"/>
      <c r="U57" s="1253"/>
      <c r="V57" s="1251" t="str">
        <f>C23</f>
        <v>Mars</v>
      </c>
      <c r="W57" s="1252"/>
      <c r="X57" s="1252"/>
      <c r="Y57" s="1253"/>
      <c r="AB57"/>
      <c r="AC57"/>
      <c r="AD57"/>
      <c r="AE57" s="83"/>
      <c r="AF57"/>
      <c r="AG57"/>
      <c r="BF57"/>
      <c r="BG57"/>
      <c r="BH57"/>
      <c r="BI57"/>
      <c r="BJ57"/>
      <c r="BK57"/>
      <c r="BL57"/>
      <c r="BM57"/>
      <c r="BN57"/>
    </row>
    <row r="58" spans="2:66" s="92" customFormat="1" ht="17.25" customHeight="1">
      <c r="C58"/>
      <c r="D58" s="1261" t="s">
        <v>525</v>
      </c>
      <c r="E58" s="1220"/>
      <c r="F58" s="1206" t="str">
        <f>$D$47</f>
        <v>2024/06/28</v>
      </c>
      <c r="G58" s="1207"/>
      <c r="H58" s="1219" t="str" cm="1">
        <f t="array" ref="H58">heureDecimal2Txt($G$19,0)</f>
        <v>03:20:04.00</v>
      </c>
      <c r="I58" s="1220"/>
      <c r="J58" s="1206" t="str">
        <f>$D$47</f>
        <v>2024/06/28</v>
      </c>
      <c r="K58" s="1207"/>
      <c r="L58" s="1219" t="str" cm="1">
        <f t="array" ref="L58">heureDecimal2Txt($G$20,0)</f>
        <v>03:22:08.00</v>
      </c>
      <c r="M58" s="1220"/>
      <c r="N58" s="1206" t="str">
        <f>$D$47</f>
        <v>2024/06/28</v>
      </c>
      <c r="O58" s="1207"/>
      <c r="P58" s="1219" t="str" cm="1">
        <f t="array" ref="P58">heureDecimal2Txt($G$21,0)</f>
        <v>03:25:00.00</v>
      </c>
      <c r="Q58" s="1220"/>
      <c r="R58" s="1206" t="str">
        <f>$D$47</f>
        <v>2024/06/28</v>
      </c>
      <c r="S58" s="1207"/>
      <c r="T58" s="1219" t="str" cm="1">
        <f t="array" ref="T58">heureDecimal2Txt($G$22,0)</f>
        <v>03:27:11.00</v>
      </c>
      <c r="U58" s="1220"/>
      <c r="V58" s="1206" t="str">
        <f>$D$47</f>
        <v>2024/06/28</v>
      </c>
      <c r="W58" s="1207"/>
      <c r="X58" s="1219" t="str" cm="1">
        <f t="array" ref="X58">heureDecimal2Txt($G$23,0)</f>
        <v>03:30:20.00</v>
      </c>
      <c r="Y58" s="1220"/>
      <c r="AB58"/>
      <c r="AC58"/>
      <c r="AD58"/>
      <c r="AE58" s="83"/>
      <c r="AF58"/>
      <c r="AG58"/>
      <c r="BF58"/>
      <c r="BG58"/>
      <c r="BH58"/>
      <c r="BI58"/>
      <c r="BJ58"/>
      <c r="BK58"/>
      <c r="BL58"/>
      <c r="BM58"/>
      <c r="BN58"/>
    </row>
    <row r="59" spans="2:66" s="92" customFormat="1" ht="17.25" customHeight="1">
      <c r="D59" s="759" t="s">
        <v>402</v>
      </c>
      <c r="E59" s="1263"/>
      <c r="F59" s="1254" t="str" cm="1">
        <f t="array" ref="F59">angleDecimal2Txt(angleConvert2Decimal(H19))</f>
        <v>+18°45.00 (+18.7500) [+18°45'00.00]</v>
      </c>
      <c r="G59" s="1255"/>
      <c r="H59" s="1255"/>
      <c r="I59" s="1256"/>
      <c r="J59" s="1254" t="str" cm="1">
        <f t="array" ref="J59">angleDecimal2Txt(angleConvert2Decimal(H20))</f>
        <v>+51°06.00 (+51.1000) [+51°06'00.00]</v>
      </c>
      <c r="K59" s="1255"/>
      <c r="L59" s="1255"/>
      <c r="M59" s="1256"/>
      <c r="N59" s="1254" t="str" cm="1">
        <f t="array" ref="N59">angleDecimal2Txt(angleConvert2Decimal(H21))</f>
        <v>+45°23.39 (+45.3900) [+45°23'24.00]</v>
      </c>
      <c r="O59" s="1255"/>
      <c r="P59" s="1255"/>
      <c r="Q59" s="1256"/>
      <c r="R59" s="1254" t="str" cm="1">
        <f t="array" ref="R59">angleDecimal2Txt(angleConvert2Decimal(H22))</f>
        <v>+59°47.70 (+59.7950) [+59°47'42.00]</v>
      </c>
      <c r="S59" s="1255"/>
      <c r="T59" s="1255"/>
      <c r="U59" s="1256"/>
      <c r="V59" s="1254" t="str" cm="1">
        <f t="array" ref="V59">angleDecimal2Txt(angleConvert2Decimal(H23))</f>
        <v>+45°46.79 (+45.7800) [+45°46'48.00]</v>
      </c>
      <c r="W59" s="1255"/>
      <c r="X59" s="1255"/>
      <c r="Y59" s="1256"/>
      <c r="AB59"/>
      <c r="AC59"/>
      <c r="AD59"/>
      <c r="AE59" s="83"/>
      <c r="AF59"/>
      <c r="AG59"/>
      <c r="BF59"/>
      <c r="BG59"/>
      <c r="BH59"/>
      <c r="BI59"/>
      <c r="BJ59"/>
      <c r="BK59"/>
      <c r="BL59"/>
      <c r="BM59"/>
      <c r="BN59"/>
    </row>
    <row r="60" spans="2:66" s="92" customFormat="1" ht="17.25" customHeight="1">
      <c r="D60" s="1229" t="s">
        <v>406</v>
      </c>
      <c r="E60" s="1230"/>
      <c r="F60" s="1257" t="str" cm="1">
        <f t="array" ref="F60">angleDecimal2Txt(J19)</f>
        <v>+18°34.88 (+18.5814) [+18°34'53.25]</v>
      </c>
      <c r="G60" s="1230"/>
      <c r="H60" s="1230"/>
      <c r="I60" s="1258"/>
      <c r="J60" s="1257" t="str" cm="1">
        <f t="array" ref="J60">angleDecimal2Txt(J20)</f>
        <v>+50°55.88 (+50.9314) [+50°55'53.25]</v>
      </c>
      <c r="K60" s="1230"/>
      <c r="L60" s="1230"/>
      <c r="M60" s="1258"/>
      <c r="N60" s="1257" t="str" cm="1">
        <f t="array" ref="N60">angleDecimal2Txt(J21)</f>
        <v>+45°13.28 (+45.2214) [+45°13'17.25]</v>
      </c>
      <c r="O60" s="1230"/>
      <c r="P60" s="1230"/>
      <c r="Q60" s="1258"/>
      <c r="R60" s="1257" t="str" cm="1">
        <f t="array" ref="R60">angleDecimal2Txt(J22)</f>
        <v>+59°37.58 (+59.6264) [+59°37'35.25]</v>
      </c>
      <c r="S60" s="1230"/>
      <c r="T60" s="1230"/>
      <c r="U60" s="1258"/>
      <c r="V60" s="1257" t="str" cm="1">
        <f t="array" ref="V60">angleDecimal2Txt(J23)</f>
        <v>+45°36.68 (+45.6114) [+45°36'41.25]</v>
      </c>
      <c r="W60" s="1230"/>
      <c r="X60" s="1230"/>
      <c r="Y60" s="1258"/>
      <c r="AB60"/>
      <c r="AC60"/>
      <c r="AD60"/>
      <c r="AE60" s="83"/>
      <c r="AF60"/>
      <c r="AG60"/>
      <c r="BF60"/>
      <c r="BG60"/>
      <c r="BH60"/>
      <c r="BI60"/>
      <c r="BJ60"/>
      <c r="BK60"/>
      <c r="BL60"/>
      <c r="BM60"/>
      <c r="BN60"/>
    </row>
    <row r="61" spans="2:66" s="92" customFormat="1" ht="17.25" customHeight="1">
      <c r="D61" s="766" t="s">
        <v>404</v>
      </c>
      <c r="E61" s="767"/>
      <c r="F61" s="1259" t="str" cm="1">
        <f t="array" ref="F61">angleDecimal2Txt($F$12)</f>
        <v>+00°08.61 (+00.1435) [+00°08'36.74]</v>
      </c>
      <c r="G61" s="996"/>
      <c r="H61" s="996"/>
      <c r="I61" s="996"/>
      <c r="J61" s="996"/>
      <c r="K61" s="996"/>
      <c r="L61" s="996"/>
      <c r="M61" s="996"/>
      <c r="N61" s="996"/>
      <c r="O61" s="996"/>
      <c r="P61" s="996"/>
      <c r="Q61" s="996"/>
      <c r="R61" s="996"/>
      <c r="S61" s="996"/>
      <c r="T61" s="996"/>
      <c r="U61" s="996"/>
      <c r="V61" s="996"/>
      <c r="W61" s="996"/>
      <c r="X61" s="996"/>
      <c r="Y61" s="1260"/>
      <c r="AB61"/>
      <c r="AC61"/>
      <c r="AD61"/>
      <c r="AE61" s="83"/>
      <c r="AF61"/>
      <c r="AG61"/>
      <c r="BF61"/>
      <c r="BG61"/>
      <c r="BH61"/>
      <c r="BI61"/>
      <c r="BJ61"/>
      <c r="BK61"/>
      <c r="BL61"/>
      <c r="BM61"/>
      <c r="BN61"/>
    </row>
    <row r="62" spans="2:66" s="92" customFormat="1" ht="17.25" customHeight="1">
      <c r="D62" s="766" t="s">
        <v>411</v>
      </c>
      <c r="E62" s="767"/>
      <c r="F62" s="1259" t="str" cm="1">
        <f t="array" ref="F62">angleDecimal2Txt(J27)</f>
        <v>+00°02.91 (+00.0486) [+00°02'55.12]</v>
      </c>
      <c r="G62" s="996"/>
      <c r="H62" s="996"/>
      <c r="I62" s="1260"/>
      <c r="J62" s="1259" t="str" cm="1">
        <f t="array" ref="J62">angleDecimal2Txt(J28)</f>
        <v>+00°00.80 (+00.0134) [+00°00'48.44]</v>
      </c>
      <c r="K62" s="996"/>
      <c r="L62" s="996"/>
      <c r="M62" s="1260"/>
      <c r="N62" s="1259" t="str" cm="1">
        <f t="array" ref="N62">angleDecimal2Txt(J29)</f>
        <v>+00°00.98 (+00.0164) [+00°00'59.19]</v>
      </c>
      <c r="O62" s="996"/>
      <c r="P62" s="996"/>
      <c r="Q62" s="1260"/>
      <c r="R62" s="1259" t="str" cm="1">
        <f t="array" ref="R62">angleDecimal2Txt(J30)</f>
        <v>+00°00.58 (+00.0097) [+00°00'34.97]</v>
      </c>
      <c r="S62" s="996"/>
      <c r="T62" s="996"/>
      <c r="U62" s="1260"/>
      <c r="V62" s="1259" t="str" cm="1">
        <f t="array" ref="V62">angleDecimal2Txt(J31)</f>
        <v>+00°00.97 (+00.0162) [+00°00'58.39]</v>
      </c>
      <c r="W62" s="996"/>
      <c r="X62" s="996"/>
      <c r="Y62" s="1260"/>
      <c r="AB62"/>
      <c r="AC62"/>
      <c r="AD62"/>
      <c r="AE62" s="83"/>
      <c r="AF62"/>
      <c r="AG62"/>
      <c r="BF62"/>
      <c r="BG62"/>
      <c r="BH62"/>
      <c r="BI62"/>
      <c r="BJ62"/>
      <c r="BK62"/>
      <c r="BL62"/>
      <c r="BM62"/>
      <c r="BN62"/>
    </row>
    <row r="63" spans="2:66" s="92" customFormat="1" ht="17.25" customHeight="1">
      <c r="D63" s="1229" t="s">
        <v>405</v>
      </c>
      <c r="E63" s="1230"/>
      <c r="F63" s="1257" t="str" cm="1">
        <f t="array" ref="F63">angleDecimal2Txt(M27)</f>
        <v>+18°31.96 (+18.5328) [+18°31'58.12]</v>
      </c>
      <c r="G63" s="1230"/>
      <c r="H63" s="1230"/>
      <c r="I63" s="1258"/>
      <c r="J63" s="1257" t="str" cm="1">
        <f t="array" ref="J63">angleDecimal2Txt(M28)</f>
        <v>+50°55.08 (+50.9180) [+50°55'04.81]</v>
      </c>
      <c r="K63" s="1230"/>
      <c r="L63" s="1230"/>
      <c r="M63" s="1258"/>
      <c r="N63" s="1257" t="str" cm="1">
        <f t="array" ref="N63">angleDecimal2Txt(M29)</f>
        <v>+45°12.30 (+45.2050) [+45°12'18.06]</v>
      </c>
      <c r="O63" s="1230"/>
      <c r="P63" s="1230"/>
      <c r="Q63" s="1258"/>
      <c r="R63" s="1257" t="str" cm="1">
        <f t="array" ref="R63">angleDecimal2Txt(M30)</f>
        <v>+59°37.00 (+59.6167) [+59°37'00.27]</v>
      </c>
      <c r="S63" s="1230"/>
      <c r="T63" s="1230"/>
      <c r="U63" s="1258"/>
      <c r="V63" s="1257" t="str" cm="1">
        <f t="array" ref="V63">angleDecimal2Txt(M31)</f>
        <v>+45°35.72 (+45.5954) [+45°35'43.45]</v>
      </c>
      <c r="W63" s="1230"/>
      <c r="X63" s="1230"/>
      <c r="Y63" s="1258"/>
      <c r="AB63"/>
      <c r="AC63"/>
      <c r="AD63"/>
      <c r="AE63" s="83"/>
      <c r="AF63"/>
      <c r="AG63"/>
      <c r="BF63"/>
      <c r="BG63"/>
      <c r="BH63"/>
      <c r="BI63"/>
      <c r="BJ63"/>
      <c r="BK63"/>
      <c r="BL63"/>
      <c r="BM63"/>
      <c r="BN63"/>
    </row>
    <row r="64" spans="2:66" s="92" customFormat="1" ht="17.25" customHeight="1">
      <c r="B64" s="1007" t="s">
        <v>428</v>
      </c>
      <c r="C64" s="1264"/>
      <c r="D64" s="1231" t="s">
        <v>413</v>
      </c>
      <c r="E64" s="1232"/>
      <c r="F64" s="1225" t="str" cm="1">
        <f t="array" ref="F64">angleDecimal2Txt(G27-J27-$F$12)</f>
        <v>-00°11.53 (-00.1921) [-00°11'31.87]</v>
      </c>
      <c r="G64" s="767"/>
      <c r="H64" s="767"/>
      <c r="I64" s="1226"/>
      <c r="J64" s="1225" t="str" cm="1">
        <f t="array" ref="J64">angleDecimal2Txt(G28-J28-$F$12)</f>
        <v>-00°09.41 (-00.1569) [-00°09'25.18]</v>
      </c>
      <c r="K64" s="767"/>
      <c r="L64" s="767"/>
      <c r="M64" s="1226"/>
      <c r="N64" s="1225" t="str" cm="1">
        <f t="array" ref="N64">angleDecimal2Txt(G29-J29-$F$12)</f>
        <v>-00°09.59 (-00.1599) [-00°09'35.93]</v>
      </c>
      <c r="O64" s="767"/>
      <c r="P64" s="767"/>
      <c r="Q64" s="1226"/>
      <c r="R64" s="1225" t="str" cm="1">
        <f t="array" ref="R64">angleDecimal2Txt(G30-J30-$F$12)</f>
        <v>-00°09.19 (-00.1532) [-00°09'11.72]</v>
      </c>
      <c r="S64" s="767"/>
      <c r="T64" s="767"/>
      <c r="U64" s="1226"/>
      <c r="V64" s="1225" t="str" cm="1">
        <f t="array" ref="V64">angleDecimal2Txt(G31-J31-$F$12)</f>
        <v>-00°09.37 (-00.1562) [-00°09'22.54]</v>
      </c>
      <c r="W64" s="767"/>
      <c r="X64" s="767"/>
      <c r="Y64" s="1226"/>
      <c r="AB64"/>
      <c r="AC64"/>
      <c r="AD64"/>
      <c r="AE64" s="83"/>
      <c r="AF64"/>
      <c r="AG64"/>
      <c r="BF64"/>
      <c r="BG64"/>
      <c r="BH64"/>
      <c r="BI64"/>
      <c r="BJ64"/>
      <c r="BK64"/>
      <c r="BL64"/>
      <c r="BM64"/>
      <c r="BN64"/>
    </row>
    <row r="65" spans="2:66" s="92" customFormat="1" ht="17.25" customHeight="1">
      <c r="B65" s="1265"/>
      <c r="C65" s="1266"/>
      <c r="D65" s="1231" t="s">
        <v>409</v>
      </c>
      <c r="E65" s="1232"/>
      <c r="F65" s="1225" t="str" cm="1">
        <f t="array" ref="F65">angleDecimal2Txt(G27-J27-$F$12+angleConvert2Decimal(L27))</f>
        <v>-00°11.53 (-00.1921) [-00°11'31.87]</v>
      </c>
      <c r="G65" s="767"/>
      <c r="H65" s="767"/>
      <c r="I65" s="1226"/>
      <c r="J65" s="1225" t="str" cm="1">
        <f t="array" ref="J65">angleDecimal2Txt(G28-J28-$F$12+angleConvert2Decimal(L28))</f>
        <v>-00°09.41 (-00.1569) [-00°09'25.18]</v>
      </c>
      <c r="K65" s="767"/>
      <c r="L65" s="767"/>
      <c r="M65" s="1226"/>
      <c r="N65" s="1225" t="str" cm="1">
        <f t="array" ref="N65">angleDecimal2Txt(G29-J29-$F$12+angleConvert2Decimal(L29))</f>
        <v>-00°09.59 (-00.1599) [-00°09'35.93]</v>
      </c>
      <c r="O65" s="767"/>
      <c r="P65" s="767"/>
      <c r="Q65" s="1226"/>
      <c r="R65" s="1225" t="str" cm="1">
        <f t="array" ref="R65">angleDecimal2Txt(G30-J30-$F$12+angleConvert2Decimal(L30))</f>
        <v>-00°09.19 (-00.1532) [-00°09'11.72]</v>
      </c>
      <c r="S65" s="767"/>
      <c r="T65" s="767"/>
      <c r="U65" s="1226"/>
      <c r="V65" s="1225" t="str" cm="1">
        <f t="array" ref="V65">angleDecimal2Txt(G31-J31-$F$12+angleConvert2Decimal(L31))</f>
        <v>-00°09.27 (-00.1545) [-00°09'16.54]</v>
      </c>
      <c r="W65" s="767"/>
      <c r="X65" s="767"/>
      <c r="Y65" s="1226"/>
      <c r="AB65"/>
      <c r="AC65"/>
      <c r="AD65"/>
      <c r="AE65" s="83"/>
      <c r="AF65"/>
      <c r="AG65"/>
      <c r="BF65"/>
      <c r="BG65"/>
      <c r="BH65"/>
      <c r="BI65"/>
      <c r="BJ65"/>
      <c r="BK65"/>
      <c r="BL65"/>
      <c r="BM65"/>
      <c r="BN65"/>
    </row>
    <row r="66" spans="2:66" s="92" customFormat="1" ht="17.25" customHeight="1">
      <c r="B66" s="1009"/>
      <c r="C66" s="1267"/>
      <c r="D66" s="1231" t="s">
        <v>410</v>
      </c>
      <c r="E66" s="1232"/>
      <c r="F66" s="1225" t="str" cm="1">
        <f t="array" ref="F66">angleDecimal2Txt(G27-J27+angleConvert2Decimal(L27))</f>
        <v>-00°02.91 (-00.0486) [-00°02'55.12]</v>
      </c>
      <c r="G66" s="767"/>
      <c r="H66" s="767"/>
      <c r="I66" s="1226"/>
      <c r="J66" s="1225" t="str" cm="1">
        <f t="array" ref="J66">angleDecimal2Txt(G28-J28+angleConvert2Decimal(L28))</f>
        <v>-00°00.80 (-00.0134) [-00°00'48.44]</v>
      </c>
      <c r="K66" s="767"/>
      <c r="L66" s="767"/>
      <c r="M66" s="1226"/>
      <c r="N66" s="1225" t="str" cm="1">
        <f t="array" ref="N66">angleDecimal2Txt(G29-J29+angleConvert2Decimal(L29))</f>
        <v>-00°00.98 (-00.0164) [-00°00'59.19]</v>
      </c>
      <c r="O66" s="767"/>
      <c r="P66" s="767"/>
      <c r="Q66" s="1226"/>
      <c r="R66" s="1225" t="str" cm="1">
        <f t="array" ref="R66">angleDecimal2Txt(G30-J30-angleConvert2Decimal(L30))</f>
        <v>-00°00.58 (-00.0097) [-00°00'34.97]</v>
      </c>
      <c r="S66" s="767"/>
      <c r="T66" s="767"/>
      <c r="U66" s="1226"/>
      <c r="V66" s="1225" t="str" cm="1">
        <f t="array" ref="V66">angleDecimal2Txt(G31-J31+angleConvert2Decimal(L31))</f>
        <v>-00°00.66 (-00.0110) [-00°00'39.80]</v>
      </c>
      <c r="W66" s="767"/>
      <c r="X66" s="767"/>
      <c r="Y66" s="1226"/>
      <c r="AB66"/>
      <c r="AC66"/>
      <c r="AD66"/>
      <c r="AE66" s="83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</row>
    <row r="67" spans="2:66" s="92" customFormat="1" ht="17.25" customHeight="1">
      <c r="D67" s="226"/>
      <c r="AB67"/>
      <c r="AC67"/>
      <c r="AD67"/>
      <c r="AE67" s="83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</row>
    <row r="68" spans="2:66" s="92" customFormat="1" ht="17.25" customHeight="1" thickBot="1">
      <c r="B68" s="229" t="s">
        <v>62</v>
      </c>
      <c r="C68" s="230"/>
      <c r="D68" s="230"/>
      <c r="E68" s="230"/>
      <c r="F68" s="230"/>
      <c r="G68" s="230"/>
      <c r="H68" s="229"/>
      <c r="I68" s="229"/>
      <c r="J68" s="229"/>
      <c r="K68" s="229"/>
      <c r="L68" s="229"/>
      <c r="M68" s="229"/>
      <c r="N68" s="229"/>
      <c r="O68" s="229"/>
      <c r="P68" s="229"/>
      <c r="Q68" s="229"/>
      <c r="AB68"/>
      <c r="AC68"/>
      <c r="AD68"/>
      <c r="AE68" s="83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</row>
    <row r="69" spans="2:66" s="92" customFormat="1" ht="17.25" customHeight="1" thickTop="1">
      <c r="D69" s="1278" t="s">
        <v>439</v>
      </c>
      <c r="E69" s="1262" t="str">
        <f>CONCATENATE(" -", "Interval")</f>
        <v xml:space="preserve"> -Interval</v>
      </c>
      <c r="F69" s="1271">
        <f>O27</f>
        <v>3</v>
      </c>
      <c r="G69" s="1268"/>
      <c r="H69" s="1268" t="str" cm="1">
        <f t="array" ref="H69">angleDecimal2Txt(VLOOKUP(F69,$R$19:$T$21,3),0)</f>
        <v>+321°42.39</v>
      </c>
      <c r="I69" s="1269"/>
      <c r="J69" s="1275">
        <f>O28</f>
        <v>3</v>
      </c>
      <c r="K69" s="1268"/>
      <c r="L69" s="1268" t="str" cm="1">
        <f t="array" ref="L69">angleDecimal2Txt(VLOOKUP(J69,$R$19:$T$21,3),0)</f>
        <v>+321°42.39</v>
      </c>
      <c r="M69" s="1270"/>
      <c r="N69" s="1271">
        <f>O29</f>
        <v>3</v>
      </c>
      <c r="O69" s="1268"/>
      <c r="P69" s="1268" t="str" cm="1">
        <f t="array" ref="P69">angleDecimal2Txt(VLOOKUP(N69,$R$19:$T$21,3),0)</f>
        <v>+321°42.39</v>
      </c>
      <c r="Q69" s="1269"/>
      <c r="R69" s="1275">
        <f>O30</f>
        <v>3</v>
      </c>
      <c r="S69" s="1268"/>
      <c r="T69" s="1268" t="str" cm="1">
        <f t="array" ref="T69">angleDecimal2Txt(VLOOKUP(R69,$R$19:$T$21,3),0)</f>
        <v>+321°42.39</v>
      </c>
      <c r="U69" s="1270"/>
      <c r="V69" s="1271">
        <f>O31</f>
        <v>3</v>
      </c>
      <c r="W69" s="1268"/>
      <c r="X69" s="1268" t="str" cm="1">
        <f t="array" ref="X69">angleDecimal2Txt(VLOOKUP(V69,$R$19:$T$21,3),0)</f>
        <v>+321°42.39</v>
      </c>
      <c r="Y69" s="1269"/>
      <c r="AB69"/>
      <c r="AC69"/>
      <c r="AD69"/>
      <c r="AE69" s="83"/>
      <c r="AF69"/>
      <c r="BC69"/>
      <c r="BD69"/>
      <c r="BE69"/>
      <c r="BF69"/>
      <c r="BG69"/>
      <c r="BH69"/>
      <c r="BI69"/>
      <c r="BJ69"/>
      <c r="BK69"/>
      <c r="BL69"/>
      <c r="BM69"/>
      <c r="BN69"/>
    </row>
    <row r="70" spans="2:66" s="92" customFormat="1" ht="17.25" customHeight="1">
      <c r="D70" s="1278"/>
      <c r="E70" s="1262"/>
      <c r="F70" s="1271">
        <f>F69+1</f>
        <v>4</v>
      </c>
      <c r="G70" s="1268"/>
      <c r="H70" s="1268" t="str" cm="1">
        <f t="array" ref="H70">angleDecimal2Txt(VLOOKUP(F70,$R$19:$T$21,3),0)</f>
        <v>+336°44.79</v>
      </c>
      <c r="I70" s="1269"/>
      <c r="J70" s="1275">
        <f>J69+1</f>
        <v>4</v>
      </c>
      <c r="K70" s="1268"/>
      <c r="L70" s="1268" t="str" cm="1">
        <f t="array" ref="L70">angleDecimal2Txt(VLOOKUP(J70,$R$19:$T$21,3),0)</f>
        <v>+336°44.79</v>
      </c>
      <c r="M70" s="1270"/>
      <c r="N70" s="1271">
        <f>N69+1</f>
        <v>4</v>
      </c>
      <c r="O70" s="1268"/>
      <c r="P70" s="1268" t="str" cm="1">
        <f t="array" ref="P70">angleDecimal2Txt(VLOOKUP(N70,$R$19:$T$21,3),0)</f>
        <v>+336°44.79</v>
      </c>
      <c r="Q70" s="1269"/>
      <c r="R70" s="1275">
        <f>R69+1</f>
        <v>4</v>
      </c>
      <c r="S70" s="1268"/>
      <c r="T70" s="1268" t="str" cm="1">
        <f t="array" ref="T70">angleDecimal2Txt(VLOOKUP(R70,$R$19:$T$21,3),0)</f>
        <v>+336°44.79</v>
      </c>
      <c r="U70" s="1270"/>
      <c r="V70" s="1271">
        <f>V69+1</f>
        <v>4</v>
      </c>
      <c r="W70" s="1268"/>
      <c r="X70" s="1268" t="str" cm="1">
        <f t="array" ref="X70">angleDecimal2Txt(VLOOKUP(V70,$R$19:$T$21,3),0)</f>
        <v>+336°44.79</v>
      </c>
      <c r="Y70" s="1269"/>
      <c r="AB70"/>
      <c r="AC70"/>
      <c r="AD70"/>
      <c r="AE70" s="83"/>
      <c r="AF70"/>
      <c r="BD70"/>
      <c r="BE70"/>
      <c r="BF70"/>
      <c r="BG70"/>
      <c r="BH70"/>
      <c r="BI70"/>
      <c r="BJ70"/>
      <c r="BK70"/>
      <c r="BL70"/>
      <c r="BM70"/>
      <c r="BN70"/>
    </row>
    <row r="71" spans="2:66" s="92" customFormat="1" ht="17.25" customHeight="1">
      <c r="D71" s="806" t="s">
        <v>440</v>
      </c>
      <c r="E71" s="1236"/>
      <c r="F71" s="1237" t="str" cm="1">
        <f t="array" ref="F71">angleDecimal2Txt(T27,0)</f>
        <v>+326°44.20</v>
      </c>
      <c r="G71" s="806"/>
      <c r="H71" s="806"/>
      <c r="I71" s="1238"/>
      <c r="J71" s="1239" t="str" cm="1">
        <f t="array" ref="J71">angleDecimal2Txt(T28,0)</f>
        <v>+327°15.28</v>
      </c>
      <c r="K71" s="806"/>
      <c r="L71" s="806"/>
      <c r="M71" s="1236"/>
      <c r="N71" s="1237" t="str" cm="1">
        <f t="array" ref="N71">angleDecimal2Txt(T29,0)</f>
        <v>+327°58.39</v>
      </c>
      <c r="O71" s="806"/>
      <c r="P71" s="806"/>
      <c r="Q71" s="1238"/>
      <c r="R71" s="1239" t="str" cm="1">
        <f t="array" ref="R71">angleDecimal2Txt(T30,0)</f>
        <v>+328°31.23</v>
      </c>
      <c r="S71" s="806"/>
      <c r="T71" s="806"/>
      <c r="U71" s="1236"/>
      <c r="V71" s="1237" t="str" cm="1">
        <f t="array" ref="V71">angleDecimal2Txt(T31,0)</f>
        <v>+329°18.61</v>
      </c>
      <c r="W71" s="806"/>
      <c r="X71" s="806"/>
      <c r="Y71" s="1238"/>
      <c r="AB71"/>
      <c r="AC71" s="240"/>
      <c r="AD71"/>
      <c r="AE71" s="83"/>
      <c r="AF71"/>
      <c r="BD71"/>
      <c r="BE71"/>
      <c r="BF71"/>
      <c r="BG71"/>
      <c r="BH71"/>
      <c r="BI71"/>
      <c r="BJ71"/>
      <c r="BK71"/>
      <c r="BL71"/>
      <c r="BM71"/>
      <c r="BN71"/>
    </row>
    <row r="72" spans="2:66" s="92" customFormat="1" ht="17.25" customHeight="1">
      <c r="D72" s="806" t="s">
        <v>478</v>
      </c>
      <c r="E72" s="1236"/>
      <c r="F72" s="1237" t="str" cm="1">
        <f t="array" ref="F72">angleDecimal2Txt(U27,0)</f>
        <v>+317°42.20</v>
      </c>
      <c r="G72" s="806"/>
      <c r="H72" s="806"/>
      <c r="I72" s="1238"/>
      <c r="J72" s="1239" t="str" cm="1">
        <f t="array" ref="J72">angleDecimal2Txt(U28,0)</f>
        <v>+318°13.28</v>
      </c>
      <c r="K72" s="806"/>
      <c r="L72" s="806"/>
      <c r="M72" s="1236"/>
      <c r="N72" s="1237" t="str" cm="1">
        <f t="array" ref="N72">angleDecimal2Txt(U29,0)</f>
        <v>+318°56.39</v>
      </c>
      <c r="O72" s="806"/>
      <c r="P72" s="806"/>
      <c r="Q72" s="1238"/>
      <c r="R72" s="1239" t="str" cm="1">
        <f t="array" ref="R72">angleDecimal2Txt(U30,0)</f>
        <v>+319°29.23</v>
      </c>
      <c r="S72" s="806"/>
      <c r="T72" s="806"/>
      <c r="U72" s="1236"/>
      <c r="V72" s="1237" t="str" cm="1">
        <f t="array" ref="V72">angleDecimal2Txt(U31,0)</f>
        <v>+320°16.61</v>
      </c>
      <c r="W72" s="806"/>
      <c r="X72" s="806"/>
      <c r="Y72" s="1238"/>
      <c r="AB72"/>
      <c r="AC72"/>
      <c r="AD72"/>
      <c r="AE72" s="83"/>
      <c r="AF72"/>
      <c r="BD72"/>
      <c r="BE72"/>
      <c r="BF72"/>
      <c r="BG72"/>
      <c r="BH72"/>
      <c r="BI72"/>
      <c r="BJ72"/>
      <c r="BK72"/>
      <c r="BL72"/>
      <c r="BM72"/>
      <c r="BN72"/>
    </row>
    <row r="73" spans="2:66" s="92" customFormat="1" ht="17.25" customHeight="1">
      <c r="D73" s="806" t="s">
        <v>475</v>
      </c>
      <c r="E73" s="1236"/>
      <c r="F73" s="1237" t="str" cm="1">
        <f t="array" ref="F73">angleDecimal2Txt(M19,0)</f>
        <v>+280°23.00</v>
      </c>
      <c r="G73" s="806"/>
      <c r="H73" s="806"/>
      <c r="I73" s="1238"/>
      <c r="J73" s="1239" t="str" cm="1">
        <f t="array" ref="J73">angleDecimal2Txt(M20,0)</f>
        <v>+357°35.20</v>
      </c>
      <c r="K73" s="806"/>
      <c r="L73" s="806"/>
      <c r="M73" s="1236"/>
      <c r="N73" s="1237" t="str" cm="1">
        <f t="array" ref="N73">angleDecimal2Txt(M21,0)</f>
        <v>+62°00.10</v>
      </c>
      <c r="O73" s="806"/>
      <c r="P73" s="806"/>
      <c r="Q73" s="1238"/>
      <c r="R73" s="1239" t="str" cm="1">
        <f t="array" ref="R73">angleDecimal2Txt(M22,0)</f>
        <v>+80°33.10</v>
      </c>
      <c r="S73" s="806"/>
      <c r="T73" s="806"/>
      <c r="U73" s="1236"/>
      <c r="V73" s="1237" t="str" cm="1">
        <f t="array" ref="V73">angleDecimal2Txt(M23,0)</f>
        <v>+137°19.00</v>
      </c>
      <c r="W73" s="806"/>
      <c r="X73" s="806"/>
      <c r="Y73" s="1238"/>
      <c r="AB73"/>
      <c r="AC73"/>
      <c r="AD73"/>
      <c r="AE73" s="83"/>
      <c r="AF73"/>
      <c r="BD73"/>
      <c r="BE73"/>
      <c r="BF73"/>
      <c r="BG73"/>
      <c r="BH73"/>
      <c r="BI73"/>
      <c r="BJ73"/>
      <c r="BK73"/>
      <c r="BL73"/>
      <c r="BM73"/>
      <c r="BN73"/>
    </row>
    <row r="74" spans="2:66" s="92" customFormat="1" ht="17.25" customHeight="1">
      <c r="D74" s="806" t="s">
        <v>476</v>
      </c>
      <c r="E74" s="1236"/>
      <c r="F74" s="1237" t="str" cm="1">
        <f t="array" ref="F74">angleDecimal2Txt(V27,0)</f>
        <v>+247°07.20</v>
      </c>
      <c r="G74" s="806"/>
      <c r="H74" s="806"/>
      <c r="I74" s="1238"/>
      <c r="J74" s="1239" t="str" cm="1">
        <f t="array" ref="J74">angleDecimal2Txt(V28,0)</f>
        <v>+324°50.48</v>
      </c>
      <c r="K74" s="806"/>
      <c r="L74" s="806"/>
      <c r="M74" s="1236"/>
      <c r="N74" s="1237" t="str" cm="1">
        <f t="array" ref="N74">angleDecimal2Txt(V29,0)</f>
        <v>+29°58.49</v>
      </c>
      <c r="O74" s="806"/>
      <c r="P74" s="806"/>
      <c r="Q74" s="1238"/>
      <c r="R74" s="1239" t="str" cm="1">
        <f t="array" ref="R74">angleDecimal2Txt(V30,0)</f>
        <v>+49°04.33</v>
      </c>
      <c r="S74" s="806"/>
      <c r="T74" s="806"/>
      <c r="U74" s="1236"/>
      <c r="V74" s="1237" t="str" cm="1">
        <f t="array" ref="V74">angleDecimal2Txt(V31,0)</f>
        <v>+106°37.61</v>
      </c>
      <c r="W74" s="806"/>
      <c r="X74" s="806"/>
      <c r="Y74" s="1238"/>
      <c r="AB74"/>
      <c r="AD74"/>
      <c r="AE74" s="83"/>
      <c r="AF74"/>
      <c r="BD74"/>
      <c r="BE74"/>
      <c r="BF74"/>
      <c r="BG74"/>
      <c r="BH74"/>
      <c r="BI74"/>
      <c r="BJ74"/>
      <c r="BK74"/>
      <c r="BL74"/>
      <c r="BM74"/>
      <c r="BN74"/>
    </row>
    <row r="75" spans="2:66" s="92" customFormat="1" ht="17.25" customHeight="1">
      <c r="D75" s="806" t="s">
        <v>477</v>
      </c>
      <c r="E75" s="1236"/>
      <c r="F75" s="1237" t="str" cm="1">
        <f t="array" ref="F75">angleDecimal2Txt(W27,0)</f>
        <v>+238°05.20</v>
      </c>
      <c r="G75" s="806"/>
      <c r="H75" s="806"/>
      <c r="I75" s="1238"/>
      <c r="J75" s="1239" t="str" cm="1">
        <f t="array" ref="J75">angleDecimal2Txt(W28,0)</f>
        <v>+315°48.48</v>
      </c>
      <c r="K75" s="806"/>
      <c r="L75" s="806"/>
      <c r="M75" s="1236"/>
      <c r="N75" s="1237" t="str" cm="1">
        <f t="array" ref="N75">angleDecimal2Txt(W29,0)</f>
        <v>+20°56.49</v>
      </c>
      <c r="O75" s="806"/>
      <c r="P75" s="806"/>
      <c r="Q75" s="1238"/>
      <c r="R75" s="1239" t="str" cm="1">
        <f t="array" ref="R75">angleDecimal2Txt(W30,0)</f>
        <v>+40°02.33</v>
      </c>
      <c r="S75" s="806"/>
      <c r="T75" s="806"/>
      <c r="U75" s="1236"/>
      <c r="V75" s="1237" t="str" cm="1">
        <f t="array" ref="V75">angleDecimal2Txt(W31,0)</f>
        <v>+97°35.61</v>
      </c>
      <c r="W75" s="806"/>
      <c r="X75" s="806"/>
      <c r="Y75" s="1238"/>
      <c r="AB75"/>
      <c r="AD75"/>
      <c r="AE75" s="83"/>
      <c r="AF75"/>
      <c r="BD75"/>
      <c r="BE75"/>
      <c r="BF75"/>
      <c r="BG75"/>
      <c r="BH75"/>
      <c r="BI75"/>
      <c r="BJ75"/>
      <c r="BK75"/>
      <c r="BL75"/>
      <c r="BM75"/>
      <c r="BN75"/>
    </row>
    <row r="76" spans="2:66" s="92" customFormat="1" ht="17.25" customHeight="1">
      <c r="D76" s="806" t="s">
        <v>479</v>
      </c>
      <c r="E76" s="1236"/>
      <c r="F76" s="1237" t="str" cm="1">
        <f t="array" ref="F76">angleDecimal2Txt(O19,0)</f>
        <v>+46°01.30</v>
      </c>
      <c r="G76" s="806"/>
      <c r="H76" s="806"/>
      <c r="I76" s="1238"/>
      <c r="J76" s="1239" t="str" cm="1">
        <f t="array" ref="J76">angleDecimal2Txt(O20,0)</f>
        <v>+29°13.40</v>
      </c>
      <c r="K76" s="806"/>
      <c r="L76" s="806"/>
      <c r="M76" s="1236"/>
      <c r="N76" s="1237" t="str" cm="1">
        <f t="array" ref="N76">angleDecimal2Txt(O21,0)</f>
        <v>+08°55.89</v>
      </c>
      <c r="O76" s="806"/>
      <c r="P76" s="806"/>
      <c r="Q76" s="1238"/>
      <c r="R76" s="1239" t="str" cm="1">
        <f t="array" ref="R76">angleDecimal2Txt(O22,0)</f>
        <v>+38°48.29</v>
      </c>
      <c r="S76" s="806"/>
      <c r="T76" s="806"/>
      <c r="U76" s="1236"/>
      <c r="V76" s="1237" t="str" cm="1">
        <f t="array" ref="V76">angleDecimal2Txt(O23,0)</f>
        <v>+74°03.50</v>
      </c>
      <c r="W76" s="806"/>
      <c r="X76" s="806"/>
      <c r="Y76" s="1238"/>
      <c r="AB76"/>
      <c r="AD76"/>
      <c r="AE76" s="83"/>
      <c r="AF76"/>
      <c r="BD76"/>
      <c r="BE76"/>
      <c r="BF76"/>
      <c r="BG76"/>
      <c r="BH76"/>
      <c r="BI76"/>
      <c r="BJ76"/>
      <c r="BK76"/>
      <c r="BL76"/>
      <c r="BM76"/>
      <c r="BN76"/>
    </row>
    <row r="77" spans="2:66" s="92" customFormat="1" ht="17.25" customHeight="1">
      <c r="D77" s="1297" t="s">
        <v>418</v>
      </c>
      <c r="E77" s="1278"/>
      <c r="F77" s="277">
        <f>SIN(O19*Outils!$F$4)</f>
        <v>0.71960243720697437</v>
      </c>
      <c r="G77" s="278">
        <f>SIN($F$10*Outils!$F$4)</f>
        <v>-0.76660508936870064</v>
      </c>
      <c r="H77" s="1298" t="s">
        <v>419</v>
      </c>
      <c r="I77" s="1299"/>
      <c r="J77" s="279">
        <f>SIN(O20*Outils!$F$4)</f>
        <v>0.48821511050891914</v>
      </c>
      <c r="K77" s="278">
        <f>SIN($F$10*Outils!$F$4)</f>
        <v>-0.76660508936870064</v>
      </c>
      <c r="L77" s="1298" t="s">
        <v>419</v>
      </c>
      <c r="M77" s="1302"/>
      <c r="N77" s="277">
        <f>SIN(O21*Outils!$F$4)</f>
        <v>0.15525639580609149</v>
      </c>
      <c r="O77" s="278">
        <f>SIN($F$10*Outils!$F$4)</f>
        <v>-0.76660508936870064</v>
      </c>
      <c r="P77" s="1298" t="s">
        <v>419</v>
      </c>
      <c r="Q77" s="1299"/>
      <c r="R77" s="279">
        <f>SIN(O22*Outils!$F$4)</f>
        <v>0.62667181904581304</v>
      </c>
      <c r="S77" s="278">
        <f>SIN($F$10*Outils!$F$4)</f>
        <v>-0.76660508936870064</v>
      </c>
      <c r="T77" s="1298" t="s">
        <v>419</v>
      </c>
      <c r="U77" s="1302"/>
      <c r="V77" s="277">
        <f>SIN(O23*Outils!$F$4)</f>
        <v>0.96154182649255537</v>
      </c>
      <c r="W77" s="278">
        <f>SIN($F$10*Outils!$F$4)</f>
        <v>-0.76660508936870064</v>
      </c>
      <c r="X77" s="1298" t="s">
        <v>419</v>
      </c>
      <c r="Y77" s="1299"/>
      <c r="AB77"/>
      <c r="AD77"/>
      <c r="AE77" s="83"/>
      <c r="AF77"/>
      <c r="BD77"/>
      <c r="BE77"/>
      <c r="BF77"/>
      <c r="BG77"/>
      <c r="BH77"/>
      <c r="BI77"/>
      <c r="BJ77"/>
      <c r="BK77"/>
      <c r="BL77"/>
      <c r="BM77"/>
      <c r="BN77"/>
    </row>
    <row r="78" spans="2:66" s="92" customFormat="1" ht="17.25" customHeight="1">
      <c r="D78" s="1297" t="s">
        <v>417</v>
      </c>
      <c r="E78" s="1278"/>
      <c r="F78" s="277">
        <f>COS(O19*Outils!$F$4)</f>
        <v>0.69438629909135052</v>
      </c>
      <c r="G78" s="278">
        <f>COS($F$10*Outils!$F$4)</f>
        <v>0.64211886512857297</v>
      </c>
      <c r="H78" s="1298" t="s">
        <v>420</v>
      </c>
      <c r="I78" s="1299"/>
      <c r="J78" s="279">
        <f>COS(O20*Outils!$F$4)</f>
        <v>0.87272332721817625</v>
      </c>
      <c r="K78" s="278">
        <f>COS($F$10*Outils!$F$4)</f>
        <v>0.64211886512857297</v>
      </c>
      <c r="L78" s="1298" t="s">
        <v>420</v>
      </c>
      <c r="M78" s="1302"/>
      <c r="N78" s="277">
        <f>COS(O21*Outils!$F$4)</f>
        <v>0.98787420836931572</v>
      </c>
      <c r="O78" s="278">
        <f>COS($F$10*Outils!$F$4)</f>
        <v>0.64211886512857297</v>
      </c>
      <c r="P78" s="1298" t="s">
        <v>420</v>
      </c>
      <c r="Q78" s="1299"/>
      <c r="R78" s="279">
        <f>COS(O22*Outils!$F$4)</f>
        <v>0.77928328046597528</v>
      </c>
      <c r="S78" s="278">
        <f>COS($F$10*Outils!$F$4)</f>
        <v>0.64211886512857297</v>
      </c>
      <c r="T78" s="1298" t="s">
        <v>420</v>
      </c>
      <c r="U78" s="1302"/>
      <c r="V78" s="277">
        <f>COS(O23*Outils!$F$4)</f>
        <v>0.2746585442060025</v>
      </c>
      <c r="W78" s="278">
        <f>COS($F$10*Outils!$F$4)</f>
        <v>0.64211886512857297</v>
      </c>
      <c r="X78" s="1298" t="s">
        <v>420</v>
      </c>
      <c r="Y78" s="1299"/>
      <c r="AB78"/>
      <c r="AD78"/>
      <c r="AE78" s="83"/>
      <c r="AF78"/>
      <c r="BD78"/>
      <c r="BE78"/>
      <c r="BF78"/>
      <c r="BG78"/>
      <c r="BH78"/>
      <c r="BI78"/>
      <c r="BJ78"/>
      <c r="BK78"/>
      <c r="BL78"/>
      <c r="BM78"/>
      <c r="BN78"/>
    </row>
    <row r="79" spans="2:66" customFormat="1" ht="17.25" customHeight="1">
      <c r="B79" s="16"/>
      <c r="C79" s="59"/>
      <c r="D79" s="1268" t="s">
        <v>421</v>
      </c>
      <c r="E79" s="1270"/>
      <c r="F79" s="1271">
        <f>COS(W27*Outils!$F$4)</f>
        <v>-0.5286352266410298</v>
      </c>
      <c r="G79" s="1268"/>
      <c r="H79" s="1268"/>
      <c r="I79" s="1269"/>
      <c r="J79" s="1275">
        <f>COS(W28*Outils!$F$4)</f>
        <v>0.71700902470210126</v>
      </c>
      <c r="K79" s="1268"/>
      <c r="L79" s="1268"/>
      <c r="M79" s="1270"/>
      <c r="N79" s="1271">
        <f>COS(W29*Outils!$F$4)</f>
        <v>0.93394480012307246</v>
      </c>
      <c r="O79" s="1268"/>
      <c r="P79" s="1268"/>
      <c r="Q79" s="1269"/>
      <c r="R79" s="1275">
        <f>COS(W30*Outils!$F$4)</f>
        <v>0.76560723305839973</v>
      </c>
      <c r="S79" s="1268"/>
      <c r="T79" s="1268"/>
      <c r="U79" s="1270"/>
      <c r="V79" s="1271">
        <f>COS(W31*Outils!$F$4)</f>
        <v>-0.13214490069444362</v>
      </c>
      <c r="W79" s="1268"/>
      <c r="X79" s="1268"/>
      <c r="Y79" s="1269"/>
      <c r="Z79" s="145"/>
      <c r="AA79" s="92"/>
      <c r="AC79" s="92"/>
      <c r="AE79" s="83"/>
    </row>
    <row r="80" spans="2:66" customFormat="1" ht="17.25" customHeight="1">
      <c r="B80" s="16"/>
      <c r="C80" s="59"/>
      <c r="D80" s="211"/>
      <c r="I80" s="1301" t="s">
        <v>422</v>
      </c>
      <c r="J80" s="1301"/>
      <c r="K80" s="1301"/>
      <c r="L80" s="1301"/>
      <c r="M80" s="1301"/>
      <c r="N80" s="1301"/>
      <c r="O80" s="1301"/>
      <c r="P80" s="1301"/>
      <c r="Q80" s="1301"/>
      <c r="R80" s="1301"/>
      <c r="S80" s="1301"/>
      <c r="T80" s="1301"/>
      <c r="Z80" s="145"/>
      <c r="AA80" s="92"/>
      <c r="AC80" s="92"/>
      <c r="AE80" s="83"/>
    </row>
    <row r="81" spans="2:55" customFormat="1" ht="17.25" customHeight="1">
      <c r="B81" s="16"/>
      <c r="C81" s="59"/>
      <c r="D81" s="1268" t="s">
        <v>429</v>
      </c>
      <c r="E81" s="1270"/>
      <c r="F81" s="1271">
        <f>F77*G77+F78*G78*F79</f>
        <v>-0.78735799496575931</v>
      </c>
      <c r="G81" s="1268"/>
      <c r="H81" s="1268"/>
      <c r="I81" s="1269"/>
      <c r="J81" s="1275">
        <f>J77*K77+J78*K78*J79</f>
        <v>2.7538013571789588E-2</v>
      </c>
      <c r="K81" s="1268"/>
      <c r="L81" s="1268"/>
      <c r="M81" s="1270"/>
      <c r="N81" s="1271">
        <f>N77*O77+N78*O78*N79</f>
        <v>0.47341135137334994</v>
      </c>
      <c r="O81" s="1268"/>
      <c r="P81" s="1268"/>
      <c r="Q81" s="1269"/>
      <c r="R81" s="1275">
        <f>R77*S77+R78*S78*R79</f>
        <v>-9.7305691794058013E-2</v>
      </c>
      <c r="S81" s="1268"/>
      <c r="T81" s="1268"/>
      <c r="U81" s="1270"/>
      <c r="V81" s="1271">
        <f>V77*W77+V78*W78*V79</f>
        <v>-0.76042838613079422</v>
      </c>
      <c r="W81" s="1268"/>
      <c r="X81" s="1268"/>
      <c r="Y81" s="1269"/>
      <c r="Z81" s="145"/>
      <c r="AA81" s="92"/>
      <c r="AC81" s="92"/>
      <c r="AE81" s="83"/>
    </row>
    <row r="82" spans="2:55" customFormat="1" ht="17.25" customHeight="1">
      <c r="B82" s="16"/>
      <c r="C82" s="59"/>
      <c r="D82" s="1273" t="s">
        <v>423</v>
      </c>
      <c r="E82" s="1291"/>
      <c r="F82" s="1272" t="str" cm="1">
        <f t="array" ref="F82">angleDecimal2Txt(Outils!$F$5*ASIN(F81))</f>
        <v>-51°56.35 (-51.9392) [-51°56'21.45]</v>
      </c>
      <c r="G82" s="1273"/>
      <c r="H82" s="1273"/>
      <c r="I82" s="1274"/>
      <c r="J82" s="1290" t="str" cm="1">
        <f t="array" ref="J82">angleDecimal2Txt(Outils!$F$5*ASIN(J81))</f>
        <v>+01°34.68 (+01.5780) [+01°34'40.84]</v>
      </c>
      <c r="K82" s="1273"/>
      <c r="L82" s="1273"/>
      <c r="M82" s="1291"/>
      <c r="N82" s="1272" t="str" cm="1">
        <f t="array" ref="N82">angleDecimal2Txt(Outils!$F$5*ASIN(N81))</f>
        <v>+28°15.35 (+28.2559) [+28°15'21.46]</v>
      </c>
      <c r="O82" s="1273"/>
      <c r="P82" s="1273"/>
      <c r="Q82" s="1274"/>
      <c r="R82" s="1290" t="str" cm="1">
        <f t="array" ref="R82">angleDecimal2Txt(Outils!$F$5*ASIN(R81))</f>
        <v>-05°35.04 (-05.5840) [-05°35'02.54]</v>
      </c>
      <c r="S82" s="1273"/>
      <c r="T82" s="1273"/>
      <c r="U82" s="1291"/>
      <c r="V82" s="1272" t="str" cm="1">
        <f t="array" ref="V82">angleDecimal2Txt(Outils!$F$5*ASIN(V81))</f>
        <v>-49°30.11 (-49.5019) [-49°30'07.12]</v>
      </c>
      <c r="W82" s="1273"/>
      <c r="X82" s="1273"/>
      <c r="Y82" s="1274"/>
      <c r="Z82" s="145"/>
      <c r="AA82" s="150"/>
      <c r="AE82" s="83"/>
    </row>
    <row r="83" spans="2:55" customFormat="1" ht="17.25" customHeight="1">
      <c r="B83" s="16"/>
      <c r="C83" s="59"/>
      <c r="D83" s="776" t="s">
        <v>663</v>
      </c>
      <c r="E83" s="1294"/>
      <c r="F83" s="1272" t="str" cm="1">
        <f t="array" ref="F83">angleDecimal2Txt((M27-X27),0)</f>
        <v>+70°28.32</v>
      </c>
      <c r="G83" s="1273"/>
      <c r="H83" s="1273"/>
      <c r="I83" s="1274"/>
      <c r="J83" s="1290" t="str" cm="1">
        <f t="array" ref="J83">angleDecimal2Txt((M28-X28),0)</f>
        <v>+49°20.39</v>
      </c>
      <c r="K83" s="1273"/>
      <c r="L83" s="1273"/>
      <c r="M83" s="1291"/>
      <c r="N83" s="1272" t="str" cm="1">
        <f t="array" ref="N83">angleDecimal2Txt((M29-X29),0)</f>
        <v>+16°56.94</v>
      </c>
      <c r="O83" s="1273"/>
      <c r="P83" s="1273"/>
      <c r="Q83" s="1274"/>
      <c r="R83" s="1290" t="str" cm="1">
        <f t="array" ref="R83">angleDecimal2Txt((M30-X30),0)</f>
        <v>+65°12.04</v>
      </c>
      <c r="S83" s="1273"/>
      <c r="T83" s="1273"/>
      <c r="U83" s="1291"/>
      <c r="V83" s="1272" t="str" cm="1">
        <f t="array" ref="V83">angleDecimal2Txt((M31-X31),0)</f>
        <v>+95°05.84</v>
      </c>
      <c r="W83" s="1273"/>
      <c r="X83" s="1273"/>
      <c r="Y83" s="1274"/>
      <c r="Z83" s="145"/>
      <c r="AA83" s="150"/>
      <c r="AE83" s="83"/>
    </row>
    <row r="84" spans="2:55" customFormat="1" ht="17.25" customHeight="1">
      <c r="B84" s="16"/>
      <c r="C84" s="59"/>
      <c r="D84" s="778"/>
      <c r="E84" s="1295"/>
      <c r="F84" s="1276" t="str">
        <f>CONCATENATE(TEXT(Z27,"0.00"),"  Mn")</f>
        <v>4228.33  Mn</v>
      </c>
      <c r="G84" s="775"/>
      <c r="H84" s="775"/>
      <c r="I84" s="1277"/>
      <c r="J84" s="851" t="str">
        <f>CONCATENATE(TEXT(Z28,"0.00"),"  Mn")</f>
        <v>2960.40  Mn</v>
      </c>
      <c r="K84" s="775"/>
      <c r="L84" s="775"/>
      <c r="M84" s="849"/>
      <c r="N84" s="1276" t="str">
        <f>CONCATENATE(TEXT(Z29,"0.00"),"  Mn")</f>
        <v>1016.94  Mn</v>
      </c>
      <c r="O84" s="775"/>
      <c r="P84" s="775"/>
      <c r="Q84" s="1277"/>
      <c r="R84" s="851" t="str">
        <f>CONCATENATE(TEXT(Z30,"0.00"),"  Mn")</f>
        <v>3912.05  Mn</v>
      </c>
      <c r="S84" s="775"/>
      <c r="T84" s="775"/>
      <c r="U84" s="849"/>
      <c r="V84" s="1276" t="str">
        <f>CONCATENATE(TEXT(Z31,"0.00"),"  Mn")</f>
        <v>5705.84  Mn</v>
      </c>
      <c r="W84" s="775"/>
      <c r="X84" s="775"/>
      <c r="Y84" s="1277"/>
      <c r="Z84" s="145"/>
      <c r="AA84" s="150"/>
      <c r="AE84" s="83"/>
    </row>
    <row r="85" spans="2:55" customFormat="1" ht="17.25" customHeight="1">
      <c r="B85" s="16"/>
      <c r="C85" s="59"/>
      <c r="D85" s="780"/>
      <c r="E85" s="1296"/>
      <c r="F85" s="1276" t="str">
        <f>AA27</f>
        <v>Vers Pg</v>
      </c>
      <c r="G85" s="775"/>
      <c r="H85" s="775"/>
      <c r="I85" s="1277"/>
      <c r="J85" s="851" t="str">
        <f>AA28</f>
        <v>Vers Pg</v>
      </c>
      <c r="K85" s="775"/>
      <c r="L85" s="775"/>
      <c r="M85" s="849"/>
      <c r="N85" s="1276" t="str">
        <f>AA29</f>
        <v>Vers Pg</v>
      </c>
      <c r="O85" s="775"/>
      <c r="P85" s="775"/>
      <c r="Q85" s="1277"/>
      <c r="R85" s="851" t="str">
        <f>AA30</f>
        <v>Vers Pg</v>
      </c>
      <c r="S85" s="775"/>
      <c r="T85" s="775"/>
      <c r="U85" s="849"/>
      <c r="V85" s="1276" t="str">
        <f>AA31</f>
        <v>Vers Pg</v>
      </c>
      <c r="W85" s="775"/>
      <c r="X85" s="775"/>
      <c r="Y85" s="1277"/>
      <c r="Z85" s="145"/>
      <c r="AA85" s="150"/>
      <c r="AE85" s="83"/>
    </row>
    <row r="86" spans="2:55" ht="17.25" customHeight="1">
      <c r="D86" s="1286" t="s">
        <v>364</v>
      </c>
      <c r="E86" s="1287"/>
      <c r="F86" s="1282" t="str" cm="1">
        <f t="array" ref="F86">latitudeDecimal2Txt(O19,0)</f>
        <v>N 46°01.30</v>
      </c>
      <c r="G86" s="765"/>
      <c r="H86" s="765"/>
      <c r="I86" s="1283"/>
      <c r="J86" s="1292" t="str" cm="1">
        <f t="array" ref="J86">latitudeDecimal2Txt(O20,0)</f>
        <v>N 29°13.40</v>
      </c>
      <c r="K86" s="765"/>
      <c r="L86" s="765"/>
      <c r="M86" s="1293"/>
      <c r="N86" s="1282" t="str" cm="1">
        <f t="array" ref="N86">latitudeDecimal2Txt(O21,0)</f>
        <v>N 08°55.89</v>
      </c>
      <c r="O86" s="765"/>
      <c r="P86" s="765"/>
      <c r="Q86" s="1283"/>
      <c r="R86" s="1292" t="str" cm="1">
        <f t="array" ref="R86">latitudeDecimal2Txt(O22,0)</f>
        <v>N 38°48.29</v>
      </c>
      <c r="S86" s="765"/>
      <c r="T86" s="765"/>
      <c r="U86" s="1293"/>
      <c r="V86" s="1282" t="str" cm="1">
        <f t="array" ref="V86">latitudeDecimal2Txt(O23,0)</f>
        <v>N 74°03.50</v>
      </c>
      <c r="W86" s="765"/>
      <c r="X86" s="765"/>
      <c r="Y86" s="1283"/>
    </row>
    <row r="87" spans="2:55" ht="17.25" customHeight="1">
      <c r="D87" s="1288"/>
      <c r="E87" s="1289"/>
      <c r="F87" s="1284" t="str" cm="1">
        <f t="array" ref="F87">longitudeDecimal2Txt(longitudeHoraire2longitude(V27),0)</f>
        <v>E 112°52.79</v>
      </c>
      <c r="G87" s="1280"/>
      <c r="H87" s="1280"/>
      <c r="I87" s="1285"/>
      <c r="J87" s="1279" t="str" cm="1">
        <f t="array" ref="J87">longitudeDecimal2Txt(longitudeHoraire2longitude(V28),0)</f>
        <v>E 35°09.51</v>
      </c>
      <c r="K87" s="1280"/>
      <c r="L87" s="1280"/>
      <c r="M87" s="1281"/>
      <c r="N87" s="1284" t="str" cm="1">
        <f t="array" ref="N87">longitudeDecimal2Txt(longitudeHoraire2longitude(V29),0)</f>
        <v>W 29°58.49</v>
      </c>
      <c r="O87" s="1280"/>
      <c r="P87" s="1280"/>
      <c r="Q87" s="1285"/>
      <c r="R87" s="1279" t="str" cm="1">
        <f t="array" ref="R87">longitudeDecimal2Txt(longitudeHoraire2longitude(V30),0)</f>
        <v>W 49°04.33</v>
      </c>
      <c r="S87" s="1280"/>
      <c r="T87" s="1280"/>
      <c r="U87" s="1281"/>
      <c r="V87" s="1284" t="str" cm="1">
        <f t="array" ref="V87">longitudeDecimal2Txt(longitudeHoraire2longitude(V31),0)</f>
        <v>W 106°37.61</v>
      </c>
      <c r="W87" s="1280"/>
      <c r="X87" s="1280"/>
      <c r="Y87" s="1285"/>
    </row>
    <row r="88" spans="2:55" ht="17.25" customHeight="1">
      <c r="D88" s="211"/>
      <c r="E88"/>
      <c r="F88"/>
      <c r="G88"/>
      <c r="H88"/>
      <c r="I88" s="1300" t="s">
        <v>532</v>
      </c>
      <c r="J88" s="1300"/>
      <c r="K88" s="1300"/>
      <c r="L88" s="1300"/>
      <c r="M88" s="1300"/>
      <c r="N88" s="1300"/>
      <c r="O88" s="1300"/>
      <c r="P88" s="1300"/>
      <c r="Q88" s="1300"/>
      <c r="R88" s="1300"/>
      <c r="S88" s="1300"/>
      <c r="T88" s="1300"/>
      <c r="U88"/>
      <c r="V88"/>
      <c r="W88"/>
      <c r="X88"/>
      <c r="Y88"/>
    </row>
    <row r="89" spans="2:55" ht="17.25" customHeight="1">
      <c r="D89" s="1268" t="s">
        <v>424</v>
      </c>
      <c r="E89" s="1270"/>
      <c r="F89" s="1271">
        <f>(F77-G77*SIN(X27*Outils!$F$4))/(G78*COS(X27*Outils!$F$4))</f>
        <v>0.29305484939891085</v>
      </c>
      <c r="G89" s="1268"/>
      <c r="H89" s="1268"/>
      <c r="I89" s="1269"/>
      <c r="J89" s="1275">
        <f>(J77-K77*SIN(X28*Outils!$F$4))/(K78*COS(X28*Outils!$F$4))</f>
        <v>0.79349657999430601</v>
      </c>
      <c r="K89" s="1268"/>
      <c r="L89" s="1268"/>
      <c r="M89" s="1270"/>
      <c r="N89" s="1271">
        <f>(N77-O77*SIN(X29*Outils!$F$4))/(O78*COS(X29*Outils!$F$4))</f>
        <v>0.91614468885238054</v>
      </c>
      <c r="O89" s="1268"/>
      <c r="P89" s="1268"/>
      <c r="Q89" s="1269"/>
      <c r="R89" s="1275">
        <f>(R77-S77*SIN(X30*Outils!$F$4))/(S78*COS(X30*Outils!$F$4))</f>
        <v>0.8638729677317839</v>
      </c>
      <c r="S89" s="1268"/>
      <c r="T89" s="1268"/>
      <c r="U89" s="1270"/>
      <c r="V89" s="1271">
        <f>(V77-W77*SIN(X31*Outils!$F$4))/(W78*COS(X31*Outils!$F$4))</f>
        <v>0.90788518034657406</v>
      </c>
      <c r="W89" s="1268"/>
      <c r="X89" s="1268"/>
      <c r="Y89" s="1269"/>
    </row>
    <row r="90" spans="2:55" ht="17.25" customHeight="1">
      <c r="C90" s="16"/>
      <c r="D90" s="1268" t="s">
        <v>92</v>
      </c>
      <c r="E90" s="1270"/>
      <c r="F90" s="1271" t="str" cm="1">
        <f t="array" ref="F90">angleDecimal2Txt(Outils!$F$5*ACOS(F89),0)</f>
        <v>+72°57.54</v>
      </c>
      <c r="G90" s="1268"/>
      <c r="H90" s="1268"/>
      <c r="I90" s="1269"/>
      <c r="J90" s="1271" t="str" cm="1">
        <f t="array" ref="J90">angleDecimal2Txt(Outils!$F$5*ACOS(J89),0)</f>
        <v>+37°29.19</v>
      </c>
      <c r="K90" s="1268"/>
      <c r="L90" s="1268"/>
      <c r="M90" s="1269"/>
      <c r="N90" s="1271" t="str" cm="1">
        <f t="array" ref="N90">angleDecimal2Txt(Outils!$F$5*ACOS(N89),0)</f>
        <v>+23°37.87</v>
      </c>
      <c r="O90" s="1268"/>
      <c r="P90" s="1268"/>
      <c r="Q90" s="1269"/>
      <c r="R90" s="1271" t="str" cm="1">
        <f t="array" ref="R90">angleDecimal2Txt(Outils!$F$5*ACOS(R89),0)</f>
        <v>+30°14.74</v>
      </c>
      <c r="S90" s="1268"/>
      <c r="T90" s="1268"/>
      <c r="U90" s="1269"/>
      <c r="V90" s="1271" t="str" cm="1">
        <f t="array" ref="V90">angleDecimal2Txt(Outils!$F$5*ACOS(V89),0)</f>
        <v>+24°47.11</v>
      </c>
      <c r="W90" s="1268"/>
      <c r="X90" s="1268"/>
      <c r="Y90" s="1269"/>
      <c r="Z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</row>
    <row r="91" spans="2:55" ht="17.25" customHeight="1">
      <c r="C91" s="16"/>
      <c r="D91" s="211"/>
      <c r="E91" s="148"/>
      <c r="F91" s="59"/>
      <c r="G91" s="16"/>
      <c r="I91" s="1316" t="s">
        <v>143</v>
      </c>
      <c r="J91" s="1317"/>
      <c r="K91" s="1317"/>
      <c r="L91" s="1317"/>
      <c r="M91" s="1317"/>
      <c r="N91" s="1318"/>
      <c r="O91" s="1316" t="s">
        <v>144</v>
      </c>
      <c r="P91" s="1317"/>
      <c r="Q91" s="1317"/>
      <c r="R91" s="1317"/>
      <c r="S91" s="1317"/>
      <c r="T91" s="1318"/>
      <c r="W91" s="16"/>
      <c r="X91" s="16"/>
      <c r="Y91" s="16"/>
      <c r="Z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</row>
    <row r="92" spans="2:55" ht="17.25" customHeight="1">
      <c r="C92" s="16"/>
      <c r="D92" s="211"/>
      <c r="E92" s="148"/>
      <c r="F92" s="59"/>
      <c r="G92" s="16"/>
      <c r="I92" s="306"/>
      <c r="J92" s="1303" t="s">
        <v>117</v>
      </c>
      <c r="K92" s="1303"/>
      <c r="L92" s="307"/>
      <c r="M92" s="1303" t="s">
        <v>118</v>
      </c>
      <c r="N92" s="1304"/>
      <c r="O92" s="306"/>
      <c r="P92" s="1303" t="s">
        <v>117</v>
      </c>
      <c r="Q92" s="1303"/>
      <c r="R92" s="307"/>
      <c r="S92" s="1303" t="s">
        <v>119</v>
      </c>
      <c r="T92" s="1304"/>
      <c r="V92" s="145"/>
      <c r="Z92" s="16"/>
      <c r="AA92" s="16"/>
      <c r="AC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</row>
    <row r="93" spans="2:55" ht="17.25" customHeight="1">
      <c r="C93" s="16"/>
      <c r="D93" s="211"/>
      <c r="E93" s="148"/>
      <c r="F93" s="59"/>
      <c r="G93" s="16"/>
      <c r="I93" s="308"/>
      <c r="J93" s="1305" t="s">
        <v>87</v>
      </c>
      <c r="K93" s="1305"/>
      <c r="L93" s="309"/>
      <c r="M93" s="1305" t="s">
        <v>88</v>
      </c>
      <c r="N93" s="1306"/>
      <c r="O93" s="308"/>
      <c r="P93" s="1305" t="s">
        <v>87</v>
      </c>
      <c r="Q93" s="1305"/>
      <c r="R93" s="309"/>
      <c r="S93" s="1305" t="s">
        <v>89</v>
      </c>
      <c r="T93" s="1306"/>
      <c r="V93" s="145"/>
      <c r="Z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</row>
    <row r="94" spans="2:55" ht="17.25" customHeight="1">
      <c r="C94" s="16"/>
      <c r="D94" s="1268" t="s">
        <v>427</v>
      </c>
      <c r="E94" s="1270"/>
      <c r="F94" s="1313" t="str">
        <f>IF($F$10&gt;0,"Nord","Sud")</f>
        <v>Sud</v>
      </c>
      <c r="G94" s="1314"/>
      <c r="H94" s="1314"/>
      <c r="I94" s="1314"/>
      <c r="J94" s="1314"/>
      <c r="K94" s="1314"/>
      <c r="L94" s="1314"/>
      <c r="M94" s="1314"/>
      <c r="N94" s="1314"/>
      <c r="O94" s="1314"/>
      <c r="P94" s="1314"/>
      <c r="Q94" s="1314"/>
      <c r="R94" s="1314"/>
      <c r="S94" s="1314"/>
      <c r="T94" s="1314"/>
      <c r="U94" s="1314"/>
      <c r="V94" s="1314"/>
      <c r="W94" s="1314"/>
      <c r="X94" s="1314"/>
      <c r="Y94" s="1315"/>
      <c r="Z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</row>
    <row r="95" spans="2:55" ht="17.25" customHeight="1">
      <c r="C95" s="16"/>
      <c r="D95" s="1268" t="s">
        <v>426</v>
      </c>
      <c r="E95" s="1270"/>
      <c r="F95" s="1271" t="b">
        <f>(W27&gt;180)</f>
        <v>1</v>
      </c>
      <c r="G95" s="1268"/>
      <c r="H95" s="1268"/>
      <c r="I95" s="1269"/>
      <c r="J95" s="1275" t="b">
        <f>(W28&gt;180)</f>
        <v>1</v>
      </c>
      <c r="K95" s="1268"/>
      <c r="L95" s="1268"/>
      <c r="M95" s="1270"/>
      <c r="N95" s="1271" t="b">
        <f>(W29&gt;180)</f>
        <v>0</v>
      </c>
      <c r="O95" s="1268"/>
      <c r="P95" s="1268"/>
      <c r="Q95" s="1269"/>
      <c r="R95" s="1275" t="b">
        <f>(W30&gt;180)</f>
        <v>0</v>
      </c>
      <c r="S95" s="1268"/>
      <c r="T95" s="1268"/>
      <c r="U95" s="1270"/>
      <c r="V95" s="1271" t="b">
        <f>(W31&gt;180)</f>
        <v>0</v>
      </c>
      <c r="W95" s="1268"/>
      <c r="X95" s="1268"/>
      <c r="Y95" s="1269"/>
      <c r="Z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</row>
    <row r="96" spans="2:55" ht="17.25" customHeight="1">
      <c r="C96" s="16"/>
      <c r="D96" s="775" t="s">
        <v>425</v>
      </c>
      <c r="E96" s="849"/>
      <c r="F96" s="1276" t="str" cm="1">
        <f t="array" ref="F96">angleDecimal2Txt(AC27,0)</f>
        <v>+72°57.54</v>
      </c>
      <c r="G96" s="775"/>
      <c r="H96" s="775"/>
      <c r="I96" s="1277"/>
      <c r="J96" s="851" t="str" cm="1">
        <f t="array" ref="J96">angleDecimal2Txt(AC28,0)</f>
        <v>+37°29.19</v>
      </c>
      <c r="K96" s="775"/>
      <c r="L96" s="775"/>
      <c r="M96" s="849"/>
      <c r="N96" s="1276" t="str" cm="1">
        <f t="array" ref="N96">angleDecimal2Txt(AC29,0)</f>
        <v>+336°22.12</v>
      </c>
      <c r="O96" s="775"/>
      <c r="P96" s="775"/>
      <c r="Q96" s="1277"/>
      <c r="R96" s="851" t="str" cm="1">
        <f t="array" ref="R96">angleDecimal2Txt(AC30,0)</f>
        <v>+329°45.25</v>
      </c>
      <c r="S96" s="775"/>
      <c r="T96" s="775"/>
      <c r="U96" s="849"/>
      <c r="V96" s="1276" t="str" cm="1">
        <f t="array" ref="V96">angleDecimal2Txt(AC31,0)</f>
        <v>+335°12.88</v>
      </c>
      <c r="W96" s="775"/>
      <c r="X96" s="775"/>
      <c r="Y96" s="1277"/>
      <c r="Z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</row>
    <row r="97" spans="3:55" ht="17.25" customHeight="1">
      <c r="E97" s="16"/>
      <c r="F97" s="16"/>
      <c r="G97" s="16"/>
      <c r="M97" s="16"/>
      <c r="W97" s="16"/>
      <c r="X97" s="16"/>
      <c r="Y97" s="16"/>
      <c r="Z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</row>
    <row r="99" spans="3:55" ht="17.25" customHeight="1">
      <c r="C99" s="1223"/>
      <c r="D99" s="1223"/>
      <c r="E99" s="1223"/>
      <c r="F99" s="1223"/>
      <c r="G99" s="1223"/>
      <c r="H99" s="1223"/>
      <c r="I99" s="1223"/>
      <c r="J99" s="1223"/>
      <c r="K99" s="1223"/>
      <c r="L99" s="1223"/>
    </row>
    <row r="100" spans="3:55" customFormat="1" ht="17.25" customHeight="1"/>
  </sheetData>
  <dataConsolidate link="1"/>
  <mergeCells count="286">
    <mergeCell ref="AJ27:AJ31"/>
    <mergeCell ref="AK27:AK31"/>
    <mergeCell ref="AL27:AL31"/>
    <mergeCell ref="AH24:AM24"/>
    <mergeCell ref="AH25:AM25"/>
    <mergeCell ref="F94:Y94"/>
    <mergeCell ref="I91:N91"/>
    <mergeCell ref="O91:T91"/>
    <mergeCell ref="V83:Y83"/>
    <mergeCell ref="V84:Y84"/>
    <mergeCell ref="V85:Y85"/>
    <mergeCell ref="R81:U81"/>
    <mergeCell ref="R82:U82"/>
    <mergeCell ref="R83:U83"/>
    <mergeCell ref="R84:U84"/>
    <mergeCell ref="R85:U85"/>
    <mergeCell ref="N83:Q83"/>
    <mergeCell ref="T77:U77"/>
    <mergeCell ref="T78:U78"/>
    <mergeCell ref="V69:W69"/>
    <mergeCell ref="X69:Y69"/>
    <mergeCell ref="V70:W70"/>
    <mergeCell ref="X70:Y70"/>
    <mergeCell ref="V71:Y71"/>
    <mergeCell ref="R95:U95"/>
    <mergeCell ref="R96:U96"/>
    <mergeCell ref="V95:Y95"/>
    <mergeCell ref="V96:Y96"/>
    <mergeCell ref="J95:M95"/>
    <mergeCell ref="J96:M96"/>
    <mergeCell ref="N95:Q95"/>
    <mergeCell ref="N96:Q96"/>
    <mergeCell ref="N87:Q87"/>
    <mergeCell ref="V90:Y90"/>
    <mergeCell ref="S92:T92"/>
    <mergeCell ref="M93:N93"/>
    <mergeCell ref="S93:T93"/>
    <mergeCell ref="J92:K92"/>
    <mergeCell ref="J93:K93"/>
    <mergeCell ref="P92:Q92"/>
    <mergeCell ref="P93:Q93"/>
    <mergeCell ref="M92:N92"/>
    <mergeCell ref="V73:Y73"/>
    <mergeCell ref="V74:Y74"/>
    <mergeCell ref="V75:Y75"/>
    <mergeCell ref="V76:Y76"/>
    <mergeCell ref="X77:Y77"/>
    <mergeCell ref="X78:Y78"/>
    <mergeCell ref="R72:U72"/>
    <mergeCell ref="R73:U73"/>
    <mergeCell ref="R74:U74"/>
    <mergeCell ref="R75:U75"/>
    <mergeCell ref="R76:U76"/>
    <mergeCell ref="V79:Y79"/>
    <mergeCell ref="V81:Y81"/>
    <mergeCell ref="V82:Y82"/>
    <mergeCell ref="T69:U69"/>
    <mergeCell ref="R70:S70"/>
    <mergeCell ref="T70:U70"/>
    <mergeCell ref="R71:U71"/>
    <mergeCell ref="L77:M77"/>
    <mergeCell ref="L78:M78"/>
    <mergeCell ref="N69:O69"/>
    <mergeCell ref="P69:Q69"/>
    <mergeCell ref="N70:O70"/>
    <mergeCell ref="P70:Q70"/>
    <mergeCell ref="N71:Q71"/>
    <mergeCell ref="N72:Q72"/>
    <mergeCell ref="N73:Q73"/>
    <mergeCell ref="N74:Q74"/>
    <mergeCell ref="N75:Q75"/>
    <mergeCell ref="N76:Q76"/>
    <mergeCell ref="P77:Q77"/>
    <mergeCell ref="P78:Q78"/>
    <mergeCell ref="J72:M72"/>
    <mergeCell ref="J73:M73"/>
    <mergeCell ref="V72:Y72"/>
    <mergeCell ref="V63:Y63"/>
    <mergeCell ref="V64:Y64"/>
    <mergeCell ref="V65:Y65"/>
    <mergeCell ref="V66:Y66"/>
    <mergeCell ref="F61:Y61"/>
    <mergeCell ref="N64:Q64"/>
    <mergeCell ref="N65:Q65"/>
    <mergeCell ref="N66:Q66"/>
    <mergeCell ref="R69:S69"/>
    <mergeCell ref="R57:U57"/>
    <mergeCell ref="R59:U59"/>
    <mergeCell ref="R60:U60"/>
    <mergeCell ref="R62:U62"/>
    <mergeCell ref="R63:U63"/>
    <mergeCell ref="R64:U64"/>
    <mergeCell ref="R65:U65"/>
    <mergeCell ref="R66:U66"/>
    <mergeCell ref="N57:Q57"/>
    <mergeCell ref="N59:Q59"/>
    <mergeCell ref="N60:Q60"/>
    <mergeCell ref="T58:U58"/>
    <mergeCell ref="V57:Y57"/>
    <mergeCell ref="V59:Y59"/>
    <mergeCell ref="V60:Y60"/>
    <mergeCell ref="V62:Y62"/>
    <mergeCell ref="N62:Q62"/>
    <mergeCell ref="F85:I85"/>
    <mergeCell ref="F86:I86"/>
    <mergeCell ref="F74:I74"/>
    <mergeCell ref="F75:I75"/>
    <mergeCell ref="F76:I76"/>
    <mergeCell ref="H77:I77"/>
    <mergeCell ref="F81:I81"/>
    <mergeCell ref="F82:I82"/>
    <mergeCell ref="I80:T80"/>
    <mergeCell ref="F79:I79"/>
    <mergeCell ref="J79:M79"/>
    <mergeCell ref="N79:Q79"/>
    <mergeCell ref="R79:U79"/>
    <mergeCell ref="N84:Q84"/>
    <mergeCell ref="N85:Q85"/>
    <mergeCell ref="N86:Q86"/>
    <mergeCell ref="R86:U86"/>
    <mergeCell ref="P58:Q58"/>
    <mergeCell ref="R58:S58"/>
    <mergeCell ref="D96:E96"/>
    <mergeCell ref="D86:E87"/>
    <mergeCell ref="D74:E74"/>
    <mergeCell ref="J81:M81"/>
    <mergeCell ref="J82:M82"/>
    <mergeCell ref="J83:M83"/>
    <mergeCell ref="J84:M84"/>
    <mergeCell ref="J85:M85"/>
    <mergeCell ref="J86:M86"/>
    <mergeCell ref="J87:M87"/>
    <mergeCell ref="D94:E94"/>
    <mergeCell ref="D95:E95"/>
    <mergeCell ref="D82:E82"/>
    <mergeCell ref="D83:E85"/>
    <mergeCell ref="D79:E79"/>
    <mergeCell ref="D81:E81"/>
    <mergeCell ref="D77:E77"/>
    <mergeCell ref="D78:E78"/>
    <mergeCell ref="H78:I78"/>
    <mergeCell ref="F95:I95"/>
    <mergeCell ref="F96:I96"/>
    <mergeCell ref="F87:I87"/>
    <mergeCell ref="D90:E90"/>
    <mergeCell ref="I88:T88"/>
    <mergeCell ref="F90:I90"/>
    <mergeCell ref="J89:M89"/>
    <mergeCell ref="J90:M90"/>
    <mergeCell ref="N89:Q89"/>
    <mergeCell ref="N90:Q90"/>
    <mergeCell ref="R90:U90"/>
    <mergeCell ref="R87:U87"/>
    <mergeCell ref="V86:Y86"/>
    <mergeCell ref="V87:Y87"/>
    <mergeCell ref="R89:U89"/>
    <mergeCell ref="V89:Y89"/>
    <mergeCell ref="D89:E89"/>
    <mergeCell ref="N63:Q63"/>
    <mergeCell ref="N81:Q81"/>
    <mergeCell ref="N82:Q82"/>
    <mergeCell ref="F69:G69"/>
    <mergeCell ref="F70:G70"/>
    <mergeCell ref="H69:I69"/>
    <mergeCell ref="F63:I63"/>
    <mergeCell ref="F64:I64"/>
    <mergeCell ref="F65:I65"/>
    <mergeCell ref="F66:I66"/>
    <mergeCell ref="J66:M66"/>
    <mergeCell ref="J69:K69"/>
    <mergeCell ref="L69:M69"/>
    <mergeCell ref="J70:K70"/>
    <mergeCell ref="L70:M70"/>
    <mergeCell ref="F83:I83"/>
    <mergeCell ref="F84:I84"/>
    <mergeCell ref="D76:E76"/>
    <mergeCell ref="F89:I89"/>
    <mergeCell ref="J74:M74"/>
    <mergeCell ref="J75:M75"/>
    <mergeCell ref="J76:M76"/>
    <mergeCell ref="D69:D70"/>
    <mergeCell ref="E69:E70"/>
    <mergeCell ref="D61:E61"/>
    <mergeCell ref="D62:E62"/>
    <mergeCell ref="D59:E59"/>
    <mergeCell ref="B64:C66"/>
    <mergeCell ref="D66:E66"/>
    <mergeCell ref="H70:I70"/>
    <mergeCell ref="F59:I59"/>
    <mergeCell ref="F60:I60"/>
    <mergeCell ref="F62:I62"/>
    <mergeCell ref="J11:M11"/>
    <mergeCell ref="D50:I50"/>
    <mergeCell ref="D51:I51"/>
    <mergeCell ref="J57:M57"/>
    <mergeCell ref="J59:M59"/>
    <mergeCell ref="J60:M60"/>
    <mergeCell ref="J63:M63"/>
    <mergeCell ref="N17:O18"/>
    <mergeCell ref="B53:C53"/>
    <mergeCell ref="D53:I53"/>
    <mergeCell ref="B54:C54"/>
    <mergeCell ref="D54:I54"/>
    <mergeCell ref="B17:B18"/>
    <mergeCell ref="J62:M62"/>
    <mergeCell ref="B50:C50"/>
    <mergeCell ref="B51:C51"/>
    <mergeCell ref="B47:C47"/>
    <mergeCell ref="B48:C48"/>
    <mergeCell ref="D58:E58"/>
    <mergeCell ref="F58:G58"/>
    <mergeCell ref="H58:I58"/>
    <mergeCell ref="J58:K58"/>
    <mergeCell ref="L58:M58"/>
    <mergeCell ref="AG36:AG39"/>
    <mergeCell ref="AG40:AG43"/>
    <mergeCell ref="M25:N26"/>
    <mergeCell ref="AT27:AT31"/>
    <mergeCell ref="O25:T25"/>
    <mergeCell ref="M33:Y33"/>
    <mergeCell ref="AC25:AC26"/>
    <mergeCell ref="C1:F4"/>
    <mergeCell ref="G1:Y2"/>
    <mergeCell ref="G3:I4"/>
    <mergeCell ref="J3:L4"/>
    <mergeCell ref="X25:Y26"/>
    <mergeCell ref="T6:V6"/>
    <mergeCell ref="X6:Y6"/>
    <mergeCell ref="C7:D7"/>
    <mergeCell ref="E7:G7"/>
    <mergeCell ref="V19:W19"/>
    <mergeCell ref="Q19:Q21"/>
    <mergeCell ref="J18:K18"/>
    <mergeCell ref="AA25:AA26"/>
    <mergeCell ref="U25:U26"/>
    <mergeCell ref="Q17:T17"/>
    <mergeCell ref="V17:X18"/>
    <mergeCell ref="V25:V26"/>
    <mergeCell ref="X58:Y58"/>
    <mergeCell ref="F19:F22"/>
    <mergeCell ref="C99:L99"/>
    <mergeCell ref="Z25:Z26"/>
    <mergeCell ref="J64:M64"/>
    <mergeCell ref="J65:M65"/>
    <mergeCell ref="D47:I47"/>
    <mergeCell ref="D48:I48"/>
    <mergeCell ref="D57:E57"/>
    <mergeCell ref="D60:E60"/>
    <mergeCell ref="D63:E63"/>
    <mergeCell ref="D64:E64"/>
    <mergeCell ref="D65:E65"/>
    <mergeCell ref="F57:I57"/>
    <mergeCell ref="N58:O58"/>
    <mergeCell ref="D73:E73"/>
    <mergeCell ref="D75:E75"/>
    <mergeCell ref="F73:I73"/>
    <mergeCell ref="D72:E72"/>
    <mergeCell ref="D71:E71"/>
    <mergeCell ref="J71:M71"/>
    <mergeCell ref="F71:I71"/>
    <mergeCell ref="F72:I72"/>
    <mergeCell ref="E25:F26"/>
    <mergeCell ref="A10:A11"/>
    <mergeCell ref="C10:E10"/>
    <mergeCell ref="C11:E11"/>
    <mergeCell ref="C12:E12"/>
    <mergeCell ref="C13:E13"/>
    <mergeCell ref="H12:I12"/>
    <mergeCell ref="H13:I13"/>
    <mergeCell ref="J13:M13"/>
    <mergeCell ref="V58:W58"/>
    <mergeCell ref="G25:G26"/>
    <mergeCell ref="C17:C18"/>
    <mergeCell ref="D17:D18"/>
    <mergeCell ref="E17:G18"/>
    <mergeCell ref="H17:I18"/>
    <mergeCell ref="W25:W26"/>
    <mergeCell ref="F10:G10"/>
    <mergeCell ref="F11:G11"/>
    <mergeCell ref="L35:L37"/>
    <mergeCell ref="L38:L40"/>
    <mergeCell ref="H27:H31"/>
    <mergeCell ref="L17:M18"/>
    <mergeCell ref="J17:K17"/>
    <mergeCell ref="H25:J25"/>
    <mergeCell ref="J10:M10"/>
  </mergeCells>
  <dataValidations count="1">
    <dataValidation type="list" allowBlank="1" showInputMessage="1" showErrorMessage="1" sqref="B19:B23" xr:uid="{B2879BE4-96C7-4CB3-B750-6ABF567E21CA}">
      <formula1>$AG$18:$AG$19</formula1>
    </dataValidation>
  </dataValidations>
  <printOptions horizontalCentered="1" verticalCentered="1"/>
  <pageMargins left="0.1" right="0.1" top="0.1" bottom="0.1" header="0" footer="0"/>
  <pageSetup paperSize="9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43</xdr:row>
                    <xdr:rowOff>95250</xdr:rowOff>
                  </from>
                  <to>
                    <xdr:col>7</xdr:col>
                    <xdr:colOff>9525</xdr:colOff>
                    <xdr:row>44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D0D8A02-4909-4776-B145-BF403D57BABC}">
          <x14:formula1>
            <xm:f>Outils!$C$9:$C$10</xm:f>
          </x14:formula1>
          <xm:sqref>H10</xm:sqref>
        </x14:dataValidation>
        <x14:dataValidation type="list" allowBlank="1" showInputMessage="1" showErrorMessage="1" xr:uid="{DF7A26C5-8941-4574-9F02-5B92EF93FB75}">
          <x14:formula1>
            <xm:f>Outils!$D$9:$D$10</xm:f>
          </x14:formula1>
          <xm:sqref>H11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77"/>
  <sheetViews>
    <sheetView zoomScale="85" zoomScaleNormal="85" workbookViewId="0">
      <selection activeCell="C6" sqref="C6"/>
    </sheetView>
  </sheetViews>
  <sheetFormatPr baseColWidth="10" defaultColWidth="5.140625" defaultRowHeight="17.25" customHeight="1" outlineLevelRow="1" outlineLevelCol="1"/>
  <cols>
    <col min="1" max="2" width="6.42578125" style="1" customWidth="1"/>
    <col min="3" max="6" width="7" style="9" customWidth="1"/>
    <col min="7" max="7" width="7" style="1" customWidth="1"/>
    <col min="8" max="12" width="8.140625" style="1" customWidth="1"/>
    <col min="13" max="26" width="6.42578125" style="1" customWidth="1"/>
    <col min="27" max="27" width="19" style="2" customWidth="1" outlineLevel="1"/>
    <col min="28" max="28" width="1.85546875" style="81" customWidth="1" outlineLevel="1"/>
    <col min="29" max="29" width="23.7109375" style="5" customWidth="1" outlineLevel="1"/>
    <col min="30" max="37" width="19" style="4" customWidth="1" outlineLevel="1"/>
    <col min="38" max="38" width="19" style="6" customWidth="1" outlineLevel="1"/>
    <col min="39" max="45" width="19" style="4" customWidth="1" outlineLevel="1"/>
    <col min="46" max="65" width="15.85546875" style="4" customWidth="1" outlineLevel="1"/>
    <col min="66" max="16384" width="5.140625" style="1"/>
  </cols>
  <sheetData>
    <row r="1" spans="2:66" customFormat="1" ht="9" customHeight="1">
      <c r="B1" s="16"/>
      <c r="C1" s="549" t="s">
        <v>132</v>
      </c>
      <c r="D1" s="549"/>
      <c r="E1" s="549"/>
      <c r="F1" s="549"/>
      <c r="G1" s="537" t="s">
        <v>133</v>
      </c>
      <c r="H1" s="537"/>
      <c r="I1" s="537"/>
      <c r="J1" s="537"/>
      <c r="K1" s="537"/>
      <c r="L1" s="537"/>
      <c r="M1" s="537"/>
      <c r="N1" s="537"/>
      <c r="O1" s="537"/>
      <c r="P1" s="537"/>
      <c r="Q1" s="537"/>
      <c r="R1" s="537"/>
      <c r="S1" s="537"/>
      <c r="T1" s="537"/>
      <c r="U1" s="537"/>
      <c r="V1" s="537"/>
      <c r="W1" s="537"/>
      <c r="X1" s="537"/>
      <c r="Y1" s="537"/>
      <c r="Z1" s="16"/>
      <c r="AA1" s="16"/>
      <c r="AB1" s="61"/>
      <c r="BN1" s="24"/>
    </row>
    <row r="2" spans="2:66" customFormat="1" ht="9" customHeight="1">
      <c r="B2" s="16"/>
      <c r="C2" s="549"/>
      <c r="D2" s="549"/>
      <c r="E2" s="549"/>
      <c r="F2" s="549"/>
      <c r="G2" s="537"/>
      <c r="H2" s="537"/>
      <c r="I2" s="537"/>
      <c r="J2" s="537"/>
      <c r="K2" s="537"/>
      <c r="L2" s="537"/>
      <c r="M2" s="537"/>
      <c r="N2" s="537"/>
      <c r="O2" s="537"/>
      <c r="P2" s="537"/>
      <c r="Q2" s="537"/>
      <c r="R2" s="537"/>
      <c r="S2" s="537"/>
      <c r="T2" s="537"/>
      <c r="U2" s="537"/>
      <c r="V2" s="537"/>
      <c r="W2" s="537"/>
      <c r="X2" s="537"/>
      <c r="Y2" s="537"/>
      <c r="Z2" s="16"/>
      <c r="AA2" s="16"/>
      <c r="AB2" s="61"/>
      <c r="BN2" s="24"/>
    </row>
    <row r="3" spans="2:66" customFormat="1" ht="9" customHeight="1">
      <c r="B3" s="16"/>
      <c r="C3" s="549"/>
      <c r="D3" s="549"/>
      <c r="E3" s="549"/>
      <c r="F3" s="549"/>
      <c r="G3" s="546" t="s">
        <v>137</v>
      </c>
      <c r="H3" s="546"/>
      <c r="I3" s="546"/>
      <c r="J3" s="1351" t="s">
        <v>136</v>
      </c>
      <c r="K3" s="1351"/>
      <c r="L3" s="1351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61"/>
      <c r="BN3" s="24"/>
    </row>
    <row r="4" spans="2:66" customFormat="1" ht="9" customHeight="1">
      <c r="B4" s="16"/>
      <c r="C4" s="549"/>
      <c r="D4" s="549"/>
      <c r="E4" s="549"/>
      <c r="F4" s="549"/>
      <c r="G4" s="429"/>
      <c r="H4" s="429"/>
      <c r="I4" s="429"/>
      <c r="J4" s="422"/>
      <c r="K4" s="422"/>
      <c r="L4" s="422"/>
      <c r="M4" s="16"/>
      <c r="N4" s="16"/>
      <c r="O4" s="16" t="s">
        <v>40</v>
      </c>
      <c r="P4" s="16" t="s">
        <v>192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61"/>
      <c r="BN4" s="24"/>
    </row>
    <row r="5" spans="2:66" s="16" customFormat="1" ht="17.25" customHeight="1">
      <c r="C5" s="59"/>
      <c r="D5" s="59"/>
      <c r="E5" s="59"/>
      <c r="F5" s="59"/>
      <c r="G5" s="59"/>
      <c r="AB5" s="6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2:66" customFormat="1" ht="17.25" customHeight="1" thickBot="1">
      <c r="B6" s="16"/>
      <c r="C6" s="59"/>
      <c r="D6" s="59"/>
      <c r="E6" s="59"/>
      <c r="F6" s="59"/>
      <c r="G6" s="59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61"/>
      <c r="BN6" s="24"/>
    </row>
    <row r="7" spans="2:66" customFormat="1" ht="17.25" customHeight="1" thickBot="1">
      <c r="B7" s="25" t="s">
        <v>0</v>
      </c>
      <c r="C7" s="26"/>
      <c r="D7" s="26"/>
      <c r="E7" s="58" t="str">
        <f>E8</f>
        <v>20/10/2029</v>
      </c>
      <c r="F7" s="58"/>
      <c r="G7" s="58" t="str" cm="1">
        <f t="array" ref="G7">heureDecimal2Txt(E11)</f>
        <v>18:48:30.00(18.8083)</v>
      </c>
      <c r="H7" s="58"/>
      <c r="I7" s="58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62"/>
      <c r="BN7" s="24"/>
    </row>
    <row r="8" spans="2:66" customFormat="1" ht="17.25" customHeight="1">
      <c r="B8" s="16"/>
      <c r="C8" s="538" t="s">
        <v>1</v>
      </c>
      <c r="D8" s="539"/>
      <c r="E8" s="529" t="s">
        <v>465</v>
      </c>
      <c r="F8" s="530"/>
      <c r="G8" s="530"/>
      <c r="H8" s="59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61"/>
      <c r="AC8" s="3" t="s">
        <v>162</v>
      </c>
      <c r="AD8" s="3" cm="1">
        <f t="array" ref="AD8">heureConvert2Decimal(I11)</f>
        <v>18.808333333333334</v>
      </c>
      <c r="BN8" s="24"/>
    </row>
    <row r="9" spans="2:66" customFormat="1" ht="17.25" customHeight="1" thickBot="1">
      <c r="B9" s="16"/>
      <c r="C9" s="540" t="s">
        <v>11</v>
      </c>
      <c r="D9" s="541"/>
      <c r="E9" s="540" t="s">
        <v>2</v>
      </c>
      <c r="F9" s="552"/>
      <c r="G9" s="552"/>
      <c r="H9" s="541"/>
      <c r="I9" s="526" t="s">
        <v>123</v>
      </c>
      <c r="J9" s="526"/>
      <c r="K9" s="526"/>
      <c r="L9" s="526" t="s">
        <v>124</v>
      </c>
      <c r="M9" s="526"/>
      <c r="N9" s="526"/>
      <c r="O9" s="526"/>
      <c r="P9" s="526"/>
      <c r="Q9" s="526" t="s">
        <v>125</v>
      </c>
      <c r="R9" s="526"/>
      <c r="S9" s="526"/>
      <c r="T9" s="526"/>
      <c r="U9" s="526"/>
      <c r="V9" s="637" t="s">
        <v>122</v>
      </c>
      <c r="W9" s="638"/>
      <c r="X9" s="638"/>
      <c r="Y9" s="639"/>
      <c r="Z9" s="16"/>
      <c r="AA9" s="16"/>
      <c r="AB9" s="63"/>
      <c r="AC9" s="3" t="s">
        <v>163</v>
      </c>
      <c r="AD9" s="67">
        <f>L11</f>
        <v>0</v>
      </c>
      <c r="BN9" s="24"/>
    </row>
    <row r="10" spans="2:66" customFormat="1" ht="17.25" customHeight="1">
      <c r="B10" s="16"/>
      <c r="C10" s="542"/>
      <c r="D10" s="543"/>
      <c r="E10" s="544"/>
      <c r="F10" s="553"/>
      <c r="G10" s="553"/>
      <c r="H10" s="545"/>
      <c r="I10" s="526"/>
      <c r="J10" s="526"/>
      <c r="K10" s="526"/>
      <c r="L10" s="526"/>
      <c r="M10" s="526"/>
      <c r="N10" s="526"/>
      <c r="O10" s="526"/>
      <c r="P10" s="526"/>
      <c r="Q10" s="526"/>
      <c r="R10" s="526"/>
      <c r="S10" s="526"/>
      <c r="T10" s="526"/>
      <c r="U10" s="526"/>
      <c r="V10" s="640"/>
      <c r="W10" s="641"/>
      <c r="X10" s="641"/>
      <c r="Y10" s="642"/>
      <c r="Z10" s="16"/>
      <c r="AA10" s="16"/>
      <c r="AB10" s="61"/>
      <c r="AC10" s="3" t="s">
        <v>164</v>
      </c>
      <c r="AD10" s="3">
        <f>Q11/3600</f>
        <v>0</v>
      </c>
      <c r="BN10" s="24"/>
    </row>
    <row r="11" spans="2:66" customFormat="1" ht="17.25" customHeight="1" thickBot="1">
      <c r="B11" s="16"/>
      <c r="C11" s="544"/>
      <c r="D11" s="545"/>
      <c r="E11" s="649">
        <f>AD8+AD9+AD10+AD11</f>
        <v>18.808333333333334</v>
      </c>
      <c r="F11" s="650"/>
      <c r="G11" s="650"/>
      <c r="H11" s="651"/>
      <c r="I11" s="456" t="s">
        <v>466</v>
      </c>
      <c r="J11" s="456"/>
      <c r="K11" s="456"/>
      <c r="L11" s="635">
        <v>0</v>
      </c>
      <c r="M11" s="635"/>
      <c r="N11" s="635"/>
      <c r="O11" s="635"/>
      <c r="P11" s="635"/>
      <c r="Q11" s="635">
        <v>0</v>
      </c>
      <c r="R11" s="635"/>
      <c r="S11" s="635"/>
      <c r="T11" s="635"/>
      <c r="U11" s="636"/>
      <c r="V11" s="634" t="s">
        <v>121</v>
      </c>
      <c r="W11" s="634"/>
      <c r="X11" s="634"/>
      <c r="Y11" s="634"/>
      <c r="Z11" s="16"/>
      <c r="AA11" s="16"/>
      <c r="AB11" s="61"/>
      <c r="AC11" s="3" t="s">
        <v>29</v>
      </c>
      <c r="AD11" s="3" cm="1">
        <f t="array" ref="AD11">heureConvert2Decimal(V11) / 60</f>
        <v>0</v>
      </c>
      <c r="BN11" s="24"/>
    </row>
    <row r="12" spans="2:66" customFormat="1" ht="17.25" customHeight="1" thickTop="1" thickBot="1">
      <c r="B12" s="16"/>
      <c r="E12" s="643" t="str" cm="1">
        <f t="array" ref="E12">heureDecimal2Txt(E11)</f>
        <v>18:48:30.00(18.8083)</v>
      </c>
      <c r="F12" s="644"/>
      <c r="G12" s="644"/>
      <c r="H12" s="645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customFormat="1" ht="17.25" customHeight="1" thickTop="1" thickBot="1">
      <c r="B13" s="16"/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6"/>
      <c r="AA13" s="16"/>
      <c r="AB13" s="61"/>
      <c r="BN13" s="24"/>
    </row>
    <row r="14" spans="2:66" customFormat="1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  <c r="BN14" s="24"/>
    </row>
    <row r="15" spans="2:66" customFormat="1" ht="18" customHeight="1" thickBot="1">
      <c r="B15" s="16"/>
      <c r="C15" s="568" t="s">
        <v>19</v>
      </c>
      <c r="D15" s="568"/>
      <c r="E15" s="568"/>
      <c r="F15" s="568"/>
      <c r="G15" s="568"/>
      <c r="H15" s="568"/>
      <c r="I15" s="568"/>
      <c r="J15" s="620">
        <f>M15</f>
        <v>5.28</v>
      </c>
      <c r="K15" s="621"/>
      <c r="L15" s="622"/>
      <c r="M15" s="528">
        <f>16*0.33</f>
        <v>5.28</v>
      </c>
      <c r="N15" s="528"/>
      <c r="O15" s="528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6"/>
      <c r="AA15" s="16"/>
      <c r="AB15" s="61"/>
      <c r="BN15" s="24"/>
    </row>
    <row r="16" spans="2:66" customFormat="1" ht="18" customHeight="1" thickTop="1" thickBot="1">
      <c r="B16" s="14"/>
      <c r="C16" s="1343" t="s">
        <v>20</v>
      </c>
      <c r="D16" s="1344"/>
      <c r="E16" s="1344"/>
      <c r="F16" s="1344"/>
      <c r="G16" s="1344"/>
      <c r="H16" s="1344"/>
      <c r="I16" s="1345"/>
      <c r="J16" s="440" cm="1">
        <f t="array" ref="J16">angleConvert2Decimal(M16)</f>
        <v>0</v>
      </c>
      <c r="K16" s="441"/>
      <c r="L16" s="441"/>
      <c r="M16" s="527" t="s">
        <v>469</v>
      </c>
      <c r="N16" s="528"/>
      <c r="O16" s="528"/>
      <c r="P16" s="416" t="str" cm="1">
        <f t="array" ref="P16">angleDecimal2Txt(J16)</f>
        <v>+00°00.00 (+00.0000) [+00°00'00.00]</v>
      </c>
      <c r="Q16" s="416"/>
      <c r="R16" s="416"/>
      <c r="S16" s="416"/>
      <c r="T16" s="416"/>
      <c r="U16" s="416"/>
      <c r="V16" s="416"/>
      <c r="W16" s="416"/>
      <c r="X16" s="416"/>
      <c r="Y16" s="14"/>
      <c r="Z16" s="16"/>
      <c r="AA16" s="16"/>
      <c r="AB16" s="61"/>
      <c r="BN16" s="24"/>
    </row>
    <row r="17" spans="1:67" customFormat="1" ht="18" customHeight="1" thickTop="1" thickBot="1">
      <c r="B17" s="16"/>
      <c r="C17" s="492" t="s">
        <v>26</v>
      </c>
      <c r="D17" s="492"/>
      <c r="E17" s="492"/>
      <c r="F17" s="492"/>
      <c r="G17" s="492"/>
      <c r="H17" s="492"/>
      <c r="I17" s="492"/>
      <c r="J17" s="1346" cm="1">
        <f t="array" ref="J17">angleConvert2Decimal(M17)</f>
        <v>28.916666666666668</v>
      </c>
      <c r="K17" s="1347"/>
      <c r="L17" s="1347"/>
      <c r="M17" s="1348" t="s">
        <v>468</v>
      </c>
      <c r="N17" s="1349"/>
      <c r="O17" s="1350"/>
      <c r="P17" s="416" t="str" cm="1">
        <f t="array" ref="P17">angleDecimal2Txt(J17)</f>
        <v>+28°55.00 (+28.9166) [+28°55'00.00]</v>
      </c>
      <c r="Q17" s="416"/>
      <c r="R17" s="416"/>
      <c r="S17" s="416"/>
      <c r="T17" s="416"/>
      <c r="U17" s="416"/>
      <c r="V17" s="416"/>
      <c r="W17" s="416"/>
      <c r="X17" s="416"/>
      <c r="Y17" s="14"/>
      <c r="Z17" s="16"/>
      <c r="AA17" s="16"/>
      <c r="AB17" s="61"/>
      <c r="BN17" s="24"/>
    </row>
    <row r="18" spans="1:67" customFormat="1" ht="18" customHeight="1" thickTop="1">
      <c r="B18" s="16"/>
      <c r="C18" s="568" t="s">
        <v>30</v>
      </c>
      <c r="D18" s="568"/>
      <c r="E18" s="568"/>
      <c r="F18" s="568"/>
      <c r="G18" s="568"/>
      <c r="H18" s="568"/>
      <c r="I18" s="568"/>
      <c r="J18" s="463" t="str">
        <f>M18</f>
        <v>Polaire</v>
      </c>
      <c r="K18" s="464"/>
      <c r="L18" s="465"/>
      <c r="M18" s="1182" t="s">
        <v>153</v>
      </c>
      <c r="N18" s="1183"/>
      <c r="O18" s="118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6"/>
      <c r="AA18" s="16"/>
      <c r="AB18" s="61"/>
      <c r="AG18" s="16"/>
      <c r="AH18" s="16"/>
      <c r="BN18" s="24"/>
    </row>
    <row r="19" spans="1:67" customFormat="1" ht="18" customHeight="1">
      <c r="B19" s="16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6"/>
      <c r="AA19" s="16"/>
      <c r="AB19" s="61"/>
      <c r="AG19" s="16"/>
      <c r="AH19" s="16"/>
      <c r="BN19" s="24"/>
    </row>
    <row r="20" spans="1:67" customFormat="1" ht="17.25" customHeight="1" thickBot="1">
      <c r="B20" s="16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6"/>
      <c r="AA20" s="16"/>
      <c r="AB20" s="61"/>
      <c r="BN20" s="24"/>
    </row>
    <row r="21" spans="1:67" customFormat="1" ht="17.25" customHeight="1" thickBot="1">
      <c r="B21" s="25" t="s">
        <v>17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62"/>
      <c r="BN21" s="24"/>
    </row>
    <row r="22" spans="1:67" s="16" customFormat="1" ht="17.25" customHeight="1" thickTop="1" thickBot="1">
      <c r="A22" s="14" t="s">
        <v>130</v>
      </c>
      <c r="C22" s="598" t="s">
        <v>7</v>
      </c>
      <c r="D22" s="598"/>
      <c r="E22" s="598"/>
      <c r="F22" s="598"/>
      <c r="G22" s="573">
        <f>AD23</f>
        <v>29.083333333333332</v>
      </c>
      <c r="H22" s="574"/>
      <c r="I22" s="574"/>
      <c r="J22" s="455" t="s">
        <v>3</v>
      </c>
      <c r="K22" s="558" t="s">
        <v>196</v>
      </c>
      <c r="L22" s="455"/>
      <c r="M22" s="455"/>
      <c r="N22" s="455"/>
      <c r="O22" s="455"/>
      <c r="P22" s="493" t="str" cm="1">
        <f t="array" ref="P22">angleDecimal2Txt(G22)</f>
        <v>+29°05.00 (+29.0833) [+29°05'00.00]</v>
      </c>
      <c r="Q22" s="493"/>
      <c r="R22" s="493"/>
      <c r="S22" s="493"/>
      <c r="T22" s="493"/>
      <c r="U22" s="493"/>
      <c r="V22" s="493"/>
      <c r="W22" s="493"/>
      <c r="X22" s="493"/>
      <c r="Y22" s="493"/>
      <c r="AB22" s="61"/>
      <c r="AC22" s="3" t="s">
        <v>168</v>
      </c>
      <c r="AD22" s="3">
        <f>VLOOKUP(J22,Outils!$C$9:$E$10,3)</f>
        <v>1</v>
      </c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4"/>
    </row>
    <row r="23" spans="1:67" s="16" customFormat="1" ht="17.25" customHeight="1" thickTop="1" thickBot="1">
      <c r="A23" s="14" t="s">
        <v>138</v>
      </c>
      <c r="C23" s="598"/>
      <c r="D23" s="598"/>
      <c r="E23" s="598"/>
      <c r="F23" s="598"/>
      <c r="G23" s="574"/>
      <c r="H23" s="574"/>
      <c r="I23" s="574"/>
      <c r="J23" s="455"/>
      <c r="K23" s="455"/>
      <c r="L23" s="455"/>
      <c r="M23" s="455"/>
      <c r="N23" s="455"/>
      <c r="O23" s="455"/>
      <c r="P23" s="493"/>
      <c r="Q23" s="493"/>
      <c r="R23" s="493"/>
      <c r="S23" s="493"/>
      <c r="T23" s="493"/>
      <c r="U23" s="493"/>
      <c r="V23" s="493"/>
      <c r="W23" s="493"/>
      <c r="X23" s="493"/>
      <c r="Y23" s="493"/>
      <c r="AB23" s="61"/>
      <c r="AC23" s="3" t="s">
        <v>169</v>
      </c>
      <c r="AD23" s="3" cm="1">
        <f t="array" ref="AD23">angleConvert2Decimal(K22)*AD22</f>
        <v>29.083333333333332</v>
      </c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24"/>
    </row>
    <row r="24" spans="1:67" s="16" customFormat="1" ht="17.25" customHeight="1" thickTop="1" thickBot="1">
      <c r="C24" s="710" t="s">
        <v>8</v>
      </c>
      <c r="D24" s="710"/>
      <c r="E24" s="710"/>
      <c r="F24" s="710"/>
      <c r="G24" s="573">
        <f>AD25</f>
        <v>-12.5</v>
      </c>
      <c r="H24" s="574"/>
      <c r="I24" s="574"/>
      <c r="J24" s="455" t="s">
        <v>6</v>
      </c>
      <c r="K24" s="558" t="s">
        <v>467</v>
      </c>
      <c r="L24" s="455"/>
      <c r="M24" s="455"/>
      <c r="N24" s="455"/>
      <c r="O24" s="455"/>
      <c r="P24" s="493" t="str" cm="1">
        <f t="array" ref="P24">angleDecimal2Txt(G24)</f>
        <v>-12°30.00 (-12.5000) [-12°30'00.00]</v>
      </c>
      <c r="Q24" s="493"/>
      <c r="R24" s="493"/>
      <c r="S24" s="493"/>
      <c r="T24" s="493"/>
      <c r="U24" s="493"/>
      <c r="V24" s="493"/>
      <c r="W24" s="493"/>
      <c r="X24" s="493"/>
      <c r="Y24" s="493"/>
      <c r="Z24" s="14"/>
      <c r="AB24" s="61"/>
      <c r="AC24" s="3" t="s">
        <v>170</v>
      </c>
      <c r="AD24" s="3">
        <f>VLOOKUP(J24,Outils!$D$9:$E$10,2)</f>
        <v>-1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31"/>
    </row>
    <row r="25" spans="1:67" s="16" customFormat="1" ht="17.25" customHeight="1" thickTop="1" thickBot="1">
      <c r="C25" s="710"/>
      <c r="D25" s="710"/>
      <c r="E25" s="710"/>
      <c r="F25" s="710"/>
      <c r="G25" s="574"/>
      <c r="H25" s="574"/>
      <c r="I25" s="574"/>
      <c r="J25" s="455"/>
      <c r="K25" s="455"/>
      <c r="L25" s="455"/>
      <c r="M25" s="455"/>
      <c r="N25" s="455"/>
      <c r="O25" s="455"/>
      <c r="P25" s="493"/>
      <c r="Q25" s="493"/>
      <c r="R25" s="493"/>
      <c r="S25" s="493"/>
      <c r="T25" s="493"/>
      <c r="U25" s="493"/>
      <c r="V25" s="493"/>
      <c r="W25" s="493"/>
      <c r="X25" s="493"/>
      <c r="Y25" s="493"/>
      <c r="Z25" s="14"/>
      <c r="AB25" s="61"/>
      <c r="AC25" s="3" t="s">
        <v>171</v>
      </c>
      <c r="AD25" s="3" cm="1">
        <f t="array" ref="AD25">angleConvert2Decimal(K24)*AD24</f>
        <v>-12.5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31"/>
    </row>
    <row r="26" spans="1:67" s="16" customFormat="1" ht="17.25" customHeight="1" thickTop="1" thickBot="1">
      <c r="A26"/>
      <c r="B26"/>
      <c r="C26"/>
      <c r="D26" s="14"/>
      <c r="E26" s="14"/>
      <c r="F26" s="14"/>
      <c r="G26" s="14"/>
      <c r="H26" s="14"/>
      <c r="AB26" s="61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31"/>
    </row>
    <row r="27" spans="1:67" s="16" customFormat="1" ht="17.25" customHeight="1" thickBot="1">
      <c r="B27" s="25" t="s">
        <v>195</v>
      </c>
      <c r="C27" s="26"/>
      <c r="D27" s="26"/>
      <c r="E27" s="26"/>
      <c r="F27" s="498">
        <f>N28</f>
        <v>89.385000000000005</v>
      </c>
      <c r="G27" s="498"/>
      <c r="H27" s="498"/>
      <c r="I27" s="75"/>
      <c r="J27" s="1372" t="str" cm="1">
        <f t="array" ref="J27">angleDecimal2Txt(F27)</f>
        <v>+89°23.10 (+89.3850) [+89°23'06.00]</v>
      </c>
      <c r="K27" s="1372"/>
      <c r="L27" s="1372"/>
      <c r="M27" s="1372"/>
      <c r="N27" s="1372"/>
      <c r="O27" s="1372"/>
      <c r="P27" s="1372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64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24"/>
    </row>
    <row r="28" spans="1:67" s="33" customFormat="1" ht="17.25" customHeight="1" thickTop="1">
      <c r="C28" s="1334" t="s">
        <v>449</v>
      </c>
      <c r="D28" s="1334"/>
      <c r="E28" s="1334"/>
      <c r="F28" s="1334"/>
      <c r="G28" s="1334"/>
      <c r="H28" s="1335"/>
      <c r="I28" s="455" t="s">
        <v>3</v>
      </c>
      <c r="J28" s="597" t="s">
        <v>470</v>
      </c>
      <c r="K28" s="597"/>
      <c r="L28" s="597"/>
      <c r="M28" s="597"/>
      <c r="N28" s="1336">
        <f>AD29</f>
        <v>89.385000000000005</v>
      </c>
      <c r="O28" s="1336"/>
      <c r="P28" s="1336"/>
      <c r="Q28" s="1337" t="str" cm="1">
        <f t="array" ref="Q28">angleDecimal2Txt(N28)</f>
        <v>+89°23.10 (+89.3850) [+89°23'06.00]</v>
      </c>
      <c r="R28" s="1337"/>
      <c r="S28" s="1337"/>
      <c r="T28" s="1337"/>
      <c r="U28" s="1338"/>
      <c r="AB28" s="65"/>
      <c r="AC28" s="3" t="s">
        <v>194</v>
      </c>
      <c r="AD28" s="3">
        <f>VLOOKUP(I28,Outils!$C$9:$E$10,3)</f>
        <v>1</v>
      </c>
      <c r="AE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</row>
    <row r="29" spans="1:67" s="16" customFormat="1" ht="17.25" customHeight="1" thickBot="1">
      <c r="C29" s="14"/>
      <c r="D29" s="14"/>
      <c r="E29" s="14"/>
      <c r="F29" s="14"/>
      <c r="G29" s="14"/>
      <c r="H29" s="14"/>
      <c r="I29" s="455"/>
      <c r="J29" s="597"/>
      <c r="K29" s="597"/>
      <c r="L29" s="597"/>
      <c r="M29" s="597"/>
      <c r="N29" s="1336"/>
      <c r="O29" s="1336"/>
      <c r="P29" s="1336"/>
      <c r="Q29" s="1339"/>
      <c r="R29" s="1339"/>
      <c r="S29" s="1339"/>
      <c r="T29" s="1339"/>
      <c r="U29" s="1340"/>
      <c r="AB29" s="61"/>
      <c r="AC29" s="3" t="s">
        <v>169</v>
      </c>
      <c r="AD29" s="3" cm="1">
        <f t="array" ref="AD29">angleConvert2Decimal(J28)*AD28</f>
        <v>89.385000000000005</v>
      </c>
      <c r="AE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4"/>
    </row>
    <row r="30" spans="1:67" customFormat="1" ht="17.25" customHeight="1" thickTop="1">
      <c r="A30" s="16"/>
      <c r="B30" s="16"/>
      <c r="C30" s="59"/>
      <c r="D30" s="59"/>
      <c r="E30" s="59"/>
      <c r="F30" s="59"/>
      <c r="G30" s="59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4"/>
      <c r="T30" s="14"/>
      <c r="U30" s="14"/>
      <c r="V30" s="14"/>
      <c r="W30" s="14"/>
      <c r="X30" s="14"/>
      <c r="Y30" s="16"/>
      <c r="Z30" s="16"/>
      <c r="AA30" s="16"/>
      <c r="AB30" s="61"/>
      <c r="BN30" s="24"/>
      <c r="BO30" s="16"/>
    </row>
    <row r="31" spans="1:67" customFormat="1" ht="17.25" customHeight="1" thickBot="1">
      <c r="A31" s="16"/>
      <c r="B31" s="16"/>
      <c r="C31" s="59"/>
      <c r="D31" s="59"/>
      <c r="E31" s="59"/>
      <c r="F31" s="59"/>
      <c r="G31" s="59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4"/>
      <c r="T31" s="14"/>
      <c r="U31" s="14"/>
      <c r="V31" s="14"/>
      <c r="W31" s="14"/>
      <c r="X31" s="14"/>
      <c r="Y31" s="16"/>
      <c r="Z31" s="16"/>
      <c r="AA31" s="16"/>
      <c r="AB31" s="61"/>
      <c r="BN31" s="24"/>
      <c r="BO31" s="16"/>
    </row>
    <row r="32" spans="1:67" s="14" customFormat="1" ht="17.25" customHeight="1" thickBot="1">
      <c r="A32" s="16"/>
      <c r="B32" s="25" t="s">
        <v>447</v>
      </c>
      <c r="C32" s="26"/>
      <c r="D32" s="26"/>
      <c r="E32" s="26"/>
      <c r="F32" s="498">
        <f>N33</f>
        <v>311.43</v>
      </c>
      <c r="G32" s="498"/>
      <c r="H32" s="498"/>
      <c r="I32" s="75"/>
      <c r="J32" s="1341" t="s">
        <v>55</v>
      </c>
      <c r="K32" s="1341"/>
      <c r="L32" s="1341"/>
      <c r="M32" s="1342" t="str">
        <f>J18</f>
        <v>Polaire</v>
      </c>
      <c r="N32" s="1342"/>
      <c r="O32" s="1342"/>
      <c r="P32" s="75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64"/>
      <c r="AC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31"/>
    </row>
    <row r="33" spans="1:67" s="16" customFormat="1" ht="17.25" customHeight="1" thickTop="1" thickBot="1">
      <c r="C33" s="1334" t="s">
        <v>448</v>
      </c>
      <c r="D33" s="1334"/>
      <c r="E33" s="1334"/>
      <c r="F33" s="1334"/>
      <c r="G33" s="1334"/>
      <c r="H33" s="1335"/>
      <c r="I33" s="597" t="s">
        <v>471</v>
      </c>
      <c r="J33" s="597"/>
      <c r="K33" s="597"/>
      <c r="L33" s="597"/>
      <c r="M33" s="597"/>
      <c r="N33" s="1336" cm="1">
        <f t="array" ref="N33">angleConvert2Decimal(I33)</f>
        <v>311.43</v>
      </c>
      <c r="O33" s="1336"/>
      <c r="P33" s="1336"/>
      <c r="Q33" s="818" t="str" cm="1">
        <f t="array" ref="Q33">angleDecimal2Txt(N33)</f>
        <v>+311°25.80 (+311.4300) [+311°25'48.00]</v>
      </c>
      <c r="R33" s="494"/>
      <c r="S33" s="494"/>
      <c r="T33" s="494"/>
      <c r="U33" s="494"/>
      <c r="AB33" s="61"/>
      <c r="AC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4"/>
    </row>
    <row r="34" spans="1:67" s="16" customFormat="1" ht="17.25" customHeight="1" thickTop="1" thickBot="1">
      <c r="A34" s="14"/>
      <c r="C34" s="14"/>
      <c r="D34" s="14"/>
      <c r="E34" s="14"/>
      <c r="F34" s="14"/>
      <c r="G34" s="14"/>
      <c r="H34" s="14"/>
      <c r="I34" s="597"/>
      <c r="J34" s="597"/>
      <c r="K34" s="597"/>
      <c r="L34" s="597"/>
      <c r="M34" s="597"/>
      <c r="N34" s="1336"/>
      <c r="O34" s="1336"/>
      <c r="P34" s="1336"/>
      <c r="Q34" s="1189"/>
      <c r="R34" s="494"/>
      <c r="S34" s="494"/>
      <c r="T34" s="494"/>
      <c r="U34" s="494"/>
      <c r="AB34" s="66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 s="24"/>
    </row>
    <row r="35" spans="1:67" s="16" customFormat="1" ht="17.25" customHeight="1" thickTop="1" thickBot="1">
      <c r="A35" s="14"/>
      <c r="C35" s="14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AB35" s="66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4"/>
    </row>
    <row r="36" spans="1:67" customFormat="1" ht="17.25" customHeight="1" thickBot="1">
      <c r="A36" s="33"/>
      <c r="B36" s="25" t="s">
        <v>446</v>
      </c>
      <c r="C36" s="26"/>
      <c r="D36" s="26"/>
      <c r="E36" s="26"/>
      <c r="F36" s="498">
        <f>IF(G37=AD37,F41,F50)</f>
        <v>311.64066666666668</v>
      </c>
      <c r="G36" s="498"/>
      <c r="H36" s="498"/>
      <c r="I36" s="26"/>
      <c r="J36" s="26"/>
      <c r="K36" s="26"/>
      <c r="L36" s="550">
        <f>F36+360</f>
        <v>671.64066666666668</v>
      </c>
      <c r="M36" s="550"/>
      <c r="N36" s="26" t="s">
        <v>28</v>
      </c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64"/>
      <c r="BN36" s="24"/>
      <c r="BO36" s="16"/>
    </row>
    <row r="37" spans="1:67" customFormat="1" ht="17.25" customHeight="1">
      <c r="A37" s="16"/>
      <c r="B37" s="33"/>
      <c r="C37" s="476" t="s">
        <v>35</v>
      </c>
      <c r="D37" s="476"/>
      <c r="E37" s="476"/>
      <c r="F37" s="1363"/>
      <c r="G37" s="1364" t="s">
        <v>10</v>
      </c>
      <c r="H37" s="595"/>
      <c r="I37" s="596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65"/>
      <c r="AC37" s="664" t="s">
        <v>36</v>
      </c>
      <c r="AD37" s="68" t="s">
        <v>10</v>
      </c>
      <c r="BN37" s="24"/>
      <c r="BO37" s="16"/>
    </row>
    <row r="38" spans="1:67" customFormat="1" ht="17.25" customHeight="1" outlineLevel="1">
      <c r="A38" s="16"/>
      <c r="B38" s="16"/>
      <c r="C38" s="34" t="s">
        <v>10</v>
      </c>
      <c r="D38" s="34"/>
      <c r="E38" s="35"/>
      <c r="F38" s="35"/>
      <c r="G38" s="14"/>
      <c r="H38" s="14"/>
      <c r="I38" s="14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61"/>
      <c r="AC38" s="664"/>
      <c r="AD38" s="68" t="s">
        <v>14</v>
      </c>
      <c r="BN38" s="24"/>
      <c r="BO38" s="16"/>
    </row>
    <row r="39" spans="1:67" customFormat="1" ht="17.25" customHeight="1" outlineLevel="1">
      <c r="A39" s="16"/>
      <c r="B39" s="16"/>
      <c r="C39" s="59"/>
      <c r="D39" s="59"/>
      <c r="E39" s="59"/>
      <c r="F39" s="540" t="s">
        <v>9</v>
      </c>
      <c r="G39" s="552"/>
      <c r="H39" s="541"/>
      <c r="I39" s="540" t="s">
        <v>12</v>
      </c>
      <c r="J39" s="552"/>
      <c r="K39" s="552"/>
      <c r="L39" s="541"/>
      <c r="M39" s="448" t="s">
        <v>13</v>
      </c>
      <c r="N39" s="449"/>
      <c r="O39" s="450"/>
      <c r="P39" s="531" t="s">
        <v>15</v>
      </c>
      <c r="Q39" s="532"/>
      <c r="R39" s="532"/>
      <c r="S39" s="532"/>
      <c r="T39" s="533"/>
      <c r="U39" s="14"/>
      <c r="V39" s="16"/>
      <c r="W39" s="16"/>
      <c r="X39" s="16"/>
      <c r="Y39" s="16"/>
      <c r="Z39" s="16"/>
      <c r="AA39" s="16"/>
      <c r="AB39" s="61"/>
      <c r="AD39" s="71" t="s">
        <v>73</v>
      </c>
      <c r="AE39" s="3" t="s">
        <v>180</v>
      </c>
      <c r="BN39" s="24"/>
      <c r="BO39" s="16"/>
    </row>
    <row r="40" spans="1:67" customFormat="1" ht="17.25" customHeight="1" outlineLevel="1" thickBot="1">
      <c r="A40" s="16"/>
      <c r="B40" s="16"/>
      <c r="C40" s="59"/>
      <c r="D40" s="59"/>
      <c r="E40" s="59"/>
      <c r="F40" s="544"/>
      <c r="G40" s="553"/>
      <c r="H40" s="545"/>
      <c r="I40" s="544"/>
      <c r="J40" s="553"/>
      <c r="K40" s="553"/>
      <c r="L40" s="545"/>
      <c r="M40" s="451"/>
      <c r="N40" s="452"/>
      <c r="O40" s="453"/>
      <c r="P40" s="534"/>
      <c r="Q40" s="535"/>
      <c r="R40" s="535"/>
      <c r="S40" s="535"/>
      <c r="T40" s="536"/>
      <c r="U40" s="14"/>
      <c r="V40" s="16"/>
      <c r="W40" s="16"/>
      <c r="X40" s="16"/>
      <c r="Y40" s="16"/>
      <c r="AA40" s="16"/>
      <c r="AB40" s="61"/>
      <c r="AC40" s="3" t="s">
        <v>172</v>
      </c>
      <c r="AD40" s="3">
        <f>VLOOKUP(P41,Outils!$D$9:$E$10,2)</f>
        <v>1</v>
      </c>
      <c r="AE40" s="3" cm="1">
        <f t="array" ref="AE40">AD40*angleConvert2Decimal(Q41)</f>
        <v>299.48333333333335</v>
      </c>
      <c r="BN40" s="24"/>
      <c r="BO40" s="16"/>
    </row>
    <row r="41" spans="1:67" customFormat="1" ht="17.25" customHeight="1" outlineLevel="1" thickTop="1" thickBot="1">
      <c r="A41" s="16"/>
      <c r="B41" s="16"/>
      <c r="C41" s="59"/>
      <c r="D41" s="59"/>
      <c r="E41" s="16"/>
      <c r="F41" s="1352">
        <f>IF(G37=AD38,"---",AD45)</f>
        <v>311.64066666666668</v>
      </c>
      <c r="G41" s="1352"/>
      <c r="H41" s="1352"/>
      <c r="I41" s="1353">
        <f>E11</f>
        <v>18.808333333333334</v>
      </c>
      <c r="J41" s="1353"/>
      <c r="K41" s="1353"/>
      <c r="L41" s="1353"/>
      <c r="M41" s="1354">
        <v>18</v>
      </c>
      <c r="N41" s="443"/>
      <c r="O41" s="666"/>
      <c r="P41" s="1355" t="s">
        <v>5</v>
      </c>
      <c r="Q41" s="1356" t="s">
        <v>472</v>
      </c>
      <c r="R41" s="480"/>
      <c r="S41" s="480"/>
      <c r="T41" s="1357"/>
      <c r="U41" s="493" t="str" cm="1">
        <f t="array" ref="U41">angleDecimal2Txt(AE40)</f>
        <v>+299°29.00 (+299.4833) [+299°29'00.00]</v>
      </c>
      <c r="V41" s="494"/>
      <c r="W41" s="494"/>
      <c r="X41" s="494"/>
      <c r="Y41" s="494"/>
      <c r="AA41" s="16"/>
      <c r="AB41" s="61"/>
      <c r="AC41" s="3" t="s">
        <v>173</v>
      </c>
      <c r="AD41" s="3">
        <f>VLOOKUP(P43,Outils!$D$9:$E$10,2)</f>
        <v>1</v>
      </c>
      <c r="AE41" s="3" cm="1">
        <f t="array" ref="AE41">AD41*angleConvert2Decimal(Q43)</f>
        <v>314.52333333333331</v>
      </c>
      <c r="BN41" s="24"/>
      <c r="BO41" s="16"/>
    </row>
    <row r="42" spans="1:67" customFormat="1" ht="17.25" customHeight="1" outlineLevel="1" thickTop="1" thickBot="1">
      <c r="A42" s="16"/>
      <c r="B42" s="16"/>
      <c r="C42" s="59"/>
      <c r="D42" s="59"/>
      <c r="E42" s="59"/>
      <c r="F42" s="573"/>
      <c r="G42" s="573"/>
      <c r="H42" s="573"/>
      <c r="I42" s="1353"/>
      <c r="J42" s="1353"/>
      <c r="K42" s="1353"/>
      <c r="L42" s="1353"/>
      <c r="M42" s="901"/>
      <c r="N42" s="445"/>
      <c r="O42" s="667"/>
      <c r="P42" s="1355"/>
      <c r="Q42" s="1358"/>
      <c r="R42" s="483"/>
      <c r="S42" s="483"/>
      <c r="T42" s="1359"/>
      <c r="U42" s="494"/>
      <c r="V42" s="494"/>
      <c r="W42" s="494"/>
      <c r="X42" s="494"/>
      <c r="Y42" s="494"/>
      <c r="AA42" s="16"/>
      <c r="AB42" s="61"/>
      <c r="AC42" s="3" t="s">
        <v>38</v>
      </c>
      <c r="AD42" s="5">
        <f>AE41-AE40</f>
        <v>15.039999999999964</v>
      </c>
      <c r="BN42" s="24"/>
      <c r="BO42" s="16"/>
    </row>
    <row r="43" spans="1:67" customFormat="1" ht="17.25" customHeight="1" outlineLevel="1" thickTop="1" thickBot="1">
      <c r="A43" s="16"/>
      <c r="B43" s="16"/>
      <c r="C43" s="59"/>
      <c r="D43" s="59"/>
      <c r="E43" s="59"/>
      <c r="F43" s="573"/>
      <c r="G43" s="573"/>
      <c r="H43" s="573"/>
      <c r="I43" s="1353"/>
      <c r="J43" s="1353"/>
      <c r="K43" s="1353"/>
      <c r="L43" s="1353"/>
      <c r="M43" s="1360">
        <v>19</v>
      </c>
      <c r="N43" s="679"/>
      <c r="O43" s="1361"/>
      <c r="P43" s="1355" t="s">
        <v>5</v>
      </c>
      <c r="Q43" s="899" t="s">
        <v>473</v>
      </c>
      <c r="R43" s="570"/>
      <c r="S43" s="570"/>
      <c r="T43" s="1362"/>
      <c r="U43" s="493" t="str" cm="1">
        <f t="array" ref="U43">angleDecimal2Txt((AE41))</f>
        <v>+314°31.39 (+314.5233) [+314°31'24.00]</v>
      </c>
      <c r="V43" s="494"/>
      <c r="W43" s="494"/>
      <c r="X43" s="494"/>
      <c r="Y43" s="494"/>
      <c r="AA43" s="16"/>
      <c r="AB43" s="61"/>
      <c r="AC43" s="3" t="s">
        <v>174</v>
      </c>
      <c r="AD43" s="5">
        <f>M43-M41</f>
        <v>1</v>
      </c>
      <c r="AE43" s="16"/>
      <c r="BN43" s="24"/>
      <c r="BO43" s="16"/>
    </row>
    <row r="44" spans="1:67" customFormat="1" ht="17.25" customHeight="1" outlineLevel="1" thickTop="1" thickBot="1">
      <c r="A44" s="16"/>
      <c r="B44" s="16"/>
      <c r="C44" s="59"/>
      <c r="D44" s="59"/>
      <c r="E44" s="59"/>
      <c r="F44" s="573"/>
      <c r="G44" s="573"/>
      <c r="H44" s="573"/>
      <c r="I44" s="1353"/>
      <c r="J44" s="1353"/>
      <c r="K44" s="1353"/>
      <c r="L44" s="1353"/>
      <c r="M44" s="901"/>
      <c r="N44" s="445"/>
      <c r="O44" s="667"/>
      <c r="P44" s="1355"/>
      <c r="Q44" s="1358"/>
      <c r="R44" s="483"/>
      <c r="S44" s="483"/>
      <c r="T44" s="1359"/>
      <c r="U44" s="494"/>
      <c r="V44" s="494"/>
      <c r="W44" s="494"/>
      <c r="X44" s="494"/>
      <c r="Y44" s="494"/>
      <c r="AA44" s="16"/>
      <c r="AB44" s="61"/>
      <c r="AC44" s="3" t="s">
        <v>39</v>
      </c>
      <c r="AD44" s="5">
        <f>I41-M41</f>
        <v>0.80833333333333357</v>
      </c>
      <c r="BN44" s="24"/>
      <c r="BO44" s="16"/>
    </row>
    <row r="45" spans="1:67" customFormat="1" ht="17.25" customHeight="1" outlineLevel="1" thickTop="1" thickBot="1">
      <c r="A45" s="16"/>
      <c r="B45" s="16"/>
      <c r="C45" s="59"/>
      <c r="D45" s="59"/>
      <c r="E45" s="59"/>
      <c r="F45" s="751" t="str" cm="1">
        <f t="array" ref="F45">angleDecimal2Txt(F41)</f>
        <v>+311°38.44 (+311.6406) [+311°38'26.40]</v>
      </c>
      <c r="G45" s="752"/>
      <c r="H45" s="752"/>
      <c r="I45" s="752"/>
      <c r="J45" s="752"/>
      <c r="K45" s="438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AA45" s="14"/>
      <c r="AB45" s="61"/>
      <c r="AC45" s="3" t="s">
        <v>37</v>
      </c>
      <c r="AD45" s="3">
        <f>AE40+(AD42/AD43)*AD44</f>
        <v>311.64066666666668</v>
      </c>
      <c r="BN45" s="24"/>
      <c r="BO45" s="16"/>
    </row>
    <row r="46" spans="1:67" customFormat="1" ht="17.25" customHeight="1" thickTop="1">
      <c r="A46" s="16"/>
      <c r="B46" s="16"/>
      <c r="C46" s="59"/>
      <c r="D46" s="59"/>
      <c r="E46" s="59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AA46" s="14"/>
      <c r="AB46" s="61"/>
      <c r="AC46" s="3"/>
      <c r="AD46" s="3"/>
      <c r="BN46" s="24"/>
      <c r="BO46" s="16"/>
    </row>
    <row r="47" spans="1:67" customFormat="1" ht="17.25" customHeight="1" outlineLevel="1">
      <c r="A47" s="16"/>
      <c r="B47" s="16"/>
      <c r="C47" s="34" t="s">
        <v>14</v>
      </c>
      <c r="D47" s="34"/>
      <c r="E47" s="35"/>
      <c r="F47" s="35"/>
      <c r="G47" s="14"/>
      <c r="H47" s="14"/>
      <c r="I47" s="14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AA47" s="14"/>
      <c r="AB47" s="61"/>
      <c r="BN47" s="24"/>
      <c r="BO47" s="16"/>
    </row>
    <row r="48" spans="1:67" customFormat="1" ht="17.25" customHeight="1" outlineLevel="1">
      <c r="A48" s="16"/>
      <c r="B48" s="16"/>
      <c r="C48" s="14"/>
      <c r="D48" s="14"/>
      <c r="E48" s="14"/>
      <c r="F48" s="540" t="s">
        <v>9</v>
      </c>
      <c r="G48" s="552"/>
      <c r="H48" s="541"/>
      <c r="I48" s="540" t="s">
        <v>12</v>
      </c>
      <c r="J48" s="552"/>
      <c r="K48" s="552"/>
      <c r="L48" s="541"/>
      <c r="M48" s="448" t="s">
        <v>13</v>
      </c>
      <c r="N48" s="449"/>
      <c r="O48" s="450"/>
      <c r="P48" s="531" t="s">
        <v>16</v>
      </c>
      <c r="Q48" s="532"/>
      <c r="R48" s="532"/>
      <c r="S48" s="532"/>
      <c r="T48" s="533"/>
      <c r="U48" s="531" t="s">
        <v>94</v>
      </c>
      <c r="V48" s="532"/>
      <c r="W48" s="532"/>
      <c r="X48" s="532"/>
      <c r="Y48" s="533"/>
      <c r="Z48" s="16"/>
      <c r="AA48" s="14"/>
      <c r="AB48" s="61"/>
      <c r="AC48" s="3" t="s">
        <v>175</v>
      </c>
      <c r="AD48" s="3">
        <f>VLOOKUP(P50,Outils!$D$9:$E$10,2)</f>
        <v>1</v>
      </c>
      <c r="BN48" s="24"/>
      <c r="BO48" s="16"/>
    </row>
    <row r="49" spans="1:67" customFormat="1" ht="17.25" customHeight="1" outlineLevel="1" collapsed="1">
      <c r="A49" s="16"/>
      <c r="B49" s="16"/>
      <c r="C49" s="59"/>
      <c r="D49" s="59"/>
      <c r="E49" s="59"/>
      <c r="F49" s="544"/>
      <c r="G49" s="553"/>
      <c r="H49" s="545"/>
      <c r="I49" s="544"/>
      <c r="J49" s="553"/>
      <c r="K49" s="553"/>
      <c r="L49" s="545"/>
      <c r="M49" s="451"/>
      <c r="N49" s="452"/>
      <c r="O49" s="453"/>
      <c r="P49" s="534"/>
      <c r="Q49" s="535"/>
      <c r="R49" s="535"/>
      <c r="S49" s="535"/>
      <c r="T49" s="536"/>
      <c r="U49" s="534"/>
      <c r="V49" s="535"/>
      <c r="W49" s="535"/>
      <c r="X49" s="535"/>
      <c r="Y49" s="536"/>
      <c r="Z49" s="14"/>
      <c r="AA49" s="14"/>
      <c r="AB49" s="61"/>
      <c r="AC49" s="3" t="s">
        <v>176</v>
      </c>
      <c r="AD49" s="3" cm="1">
        <f t="array" ref="AD49">angleConvert2Decimal(Q50)*AD48</f>
        <v>311.63333333333333</v>
      </c>
      <c r="BN49" s="24"/>
      <c r="BO49" s="16"/>
    </row>
    <row r="50" spans="1:67" customFormat="1" ht="17.25" customHeight="1" outlineLevel="1">
      <c r="A50" s="16"/>
      <c r="B50" s="16"/>
      <c r="C50" s="59"/>
      <c r="D50" s="59"/>
      <c r="E50" s="16"/>
      <c r="F50" s="1352" t="str">
        <f>IF(G37=AD38,AD52,"---")</f>
        <v>---</v>
      </c>
      <c r="G50" s="1352"/>
      <c r="H50" s="1352"/>
      <c r="I50" s="1353">
        <f>E11</f>
        <v>18.808333333333334</v>
      </c>
      <c r="J50" s="1353"/>
      <c r="K50" s="1353"/>
      <c r="L50" s="1353"/>
      <c r="M50" s="1354">
        <v>18.808299999999999</v>
      </c>
      <c r="N50" s="443"/>
      <c r="O50" s="666"/>
      <c r="P50" s="1355" t="s">
        <v>5</v>
      </c>
      <c r="Q50" s="1356" t="s">
        <v>197</v>
      </c>
      <c r="R50" s="480"/>
      <c r="S50" s="480"/>
      <c r="T50" s="481"/>
      <c r="U50" s="455" t="s">
        <v>6</v>
      </c>
      <c r="V50" s="1356" t="s">
        <v>109</v>
      </c>
      <c r="W50" s="480"/>
      <c r="X50" s="480"/>
      <c r="Y50" s="481"/>
      <c r="Z50" s="14"/>
      <c r="AA50" s="16"/>
      <c r="AB50" s="61"/>
      <c r="AC50" s="3" t="s">
        <v>177</v>
      </c>
      <c r="AD50" s="3">
        <f>VLOOKUP(U50,Outils!$D$9:$E$10,2)</f>
        <v>-1</v>
      </c>
      <c r="BN50" s="24"/>
      <c r="BO50" s="16"/>
    </row>
    <row r="51" spans="1:67" customFormat="1" ht="17.25" customHeight="1" outlineLevel="1" thickBot="1">
      <c r="A51" s="16"/>
      <c r="B51" s="16"/>
      <c r="C51" s="59"/>
      <c r="D51" s="59"/>
      <c r="E51" s="59"/>
      <c r="F51" s="573"/>
      <c r="G51" s="573"/>
      <c r="H51" s="573"/>
      <c r="I51" s="1353"/>
      <c r="J51" s="1353"/>
      <c r="K51" s="1353"/>
      <c r="L51" s="1353"/>
      <c r="M51" s="901"/>
      <c r="N51" s="445"/>
      <c r="O51" s="667"/>
      <c r="P51" s="1355"/>
      <c r="Q51" s="1365"/>
      <c r="R51" s="668"/>
      <c r="S51" s="668"/>
      <c r="T51" s="1366"/>
      <c r="U51" s="455"/>
      <c r="V51" s="1365"/>
      <c r="W51" s="668"/>
      <c r="X51" s="668"/>
      <c r="Y51" s="1366"/>
      <c r="Z51" s="14"/>
      <c r="AA51" s="16"/>
      <c r="AB51" s="61"/>
      <c r="AC51" s="3" t="s">
        <v>178</v>
      </c>
      <c r="AD51" s="3" cm="1">
        <f t="array" ref="AD51">angleConvert2Decimal(V50)*AD50</f>
        <v>-15.002000000000001</v>
      </c>
      <c r="BN51" s="24"/>
      <c r="BO51" s="16"/>
    </row>
    <row r="52" spans="1:67" customFormat="1" ht="17.25" customHeight="1" outlineLevel="1" thickTop="1" thickBot="1">
      <c r="A52" s="16"/>
      <c r="B52" s="16"/>
      <c r="C52" s="59"/>
      <c r="D52" s="59"/>
      <c r="E52" s="59"/>
      <c r="F52" s="416" t="e" cm="1">
        <f t="array" ref="F52">angleDecimal2Txt(F50)</f>
        <v>#VALUE!</v>
      </c>
      <c r="G52" s="416"/>
      <c r="H52" s="416"/>
      <c r="I52" s="416"/>
      <c r="J52" s="416"/>
      <c r="K52" s="416"/>
      <c r="L52" s="16"/>
      <c r="M52" s="16"/>
      <c r="N52" s="16"/>
      <c r="O52" s="16"/>
      <c r="P52" s="416" t="str" cm="1">
        <f t="array" ref="P52">angleDecimal2Txt(AD49)</f>
        <v>+311°38.00 (+311.6333) [+311°38'00.00]</v>
      </c>
      <c r="Q52" s="416"/>
      <c r="R52" s="416"/>
      <c r="S52" s="416"/>
      <c r="T52" s="416"/>
      <c r="U52" s="416" t="str" cm="1">
        <f t="array" ref="U52">angleDecimal2Txt(AD51)</f>
        <v>-15°00.12 (-15.0020) [-15°00'07.20]</v>
      </c>
      <c r="V52" s="671"/>
      <c r="W52" s="671"/>
      <c r="X52" s="671"/>
      <c r="Y52" s="671"/>
      <c r="Z52" s="16"/>
      <c r="AA52" s="16"/>
      <c r="AB52" s="61"/>
      <c r="AC52" s="3" t="s">
        <v>179</v>
      </c>
      <c r="AD52" s="3">
        <f>AD49+AD51*(I50-M50)</f>
        <v>311.63283326666664</v>
      </c>
      <c r="BN52" s="24"/>
      <c r="BO52" s="16"/>
    </row>
    <row r="53" spans="1:67" customFormat="1" ht="17.25" customHeight="1" thickTop="1" thickBot="1">
      <c r="A53" s="16"/>
      <c r="B53" s="16"/>
      <c r="C53" s="59"/>
      <c r="D53" s="59"/>
      <c r="E53" s="59"/>
      <c r="F53" s="59"/>
      <c r="G53" s="59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4"/>
      <c r="T53" s="14"/>
      <c r="U53" s="14"/>
      <c r="V53" s="14"/>
      <c r="W53" s="14"/>
      <c r="X53" s="14"/>
      <c r="Y53" s="16"/>
      <c r="Z53" s="16"/>
      <c r="AA53" s="16"/>
      <c r="AB53" s="61"/>
      <c r="BN53" s="24"/>
      <c r="BO53" s="16"/>
    </row>
    <row r="54" spans="1:67" s="14" customFormat="1" ht="17.25" customHeight="1" thickBot="1">
      <c r="A54" s="16"/>
      <c r="B54" s="25" t="s">
        <v>454</v>
      </c>
      <c r="C54" s="26"/>
      <c r="D54" s="26"/>
      <c r="E54" s="26"/>
      <c r="F54" s="498">
        <f>I55</f>
        <v>263.07066666666674</v>
      </c>
      <c r="G54" s="498"/>
      <c r="H54" s="498"/>
      <c r="I54" s="26"/>
      <c r="J54" s="683" t="s">
        <v>55</v>
      </c>
      <c r="K54" s="683"/>
      <c r="L54" s="683"/>
      <c r="M54" s="447">
        <f>J13</f>
        <v>0</v>
      </c>
      <c r="N54" s="447"/>
      <c r="O54" s="447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6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 s="31"/>
    </row>
    <row r="55" spans="1:67" s="16" customFormat="1" ht="17.25" customHeight="1" thickBot="1">
      <c r="C55" s="1334" t="s">
        <v>451</v>
      </c>
      <c r="D55" s="1334"/>
      <c r="E55" s="1334"/>
      <c r="F55" s="1334"/>
      <c r="G55" s="1334"/>
      <c r="H55" s="1367"/>
      <c r="I55" s="1368">
        <f>AD56</f>
        <v>263.07066666666674</v>
      </c>
      <c r="J55" s="812"/>
      <c r="K55" s="812"/>
      <c r="L55" s="813"/>
      <c r="M55" s="36" t="s">
        <v>45</v>
      </c>
      <c r="N55" s="471">
        <f>AD55</f>
        <v>623.07066666666674</v>
      </c>
      <c r="O55" s="471"/>
      <c r="P55" s="471"/>
      <c r="Q55" s="471"/>
      <c r="AB55" s="61"/>
      <c r="AC55" s="3" t="s">
        <v>455</v>
      </c>
      <c r="AD55" s="5">
        <f>F32+F36</f>
        <v>623.07066666666674</v>
      </c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 s="24"/>
    </row>
    <row r="56" spans="1:67" s="16" customFormat="1" ht="17.25" customHeight="1" thickTop="1" thickBot="1">
      <c r="A56" s="14"/>
      <c r="C56" s="14"/>
      <c r="D56" s="14"/>
      <c r="E56" s="14"/>
      <c r="F56" s="14"/>
      <c r="G56" s="14"/>
      <c r="H56" s="14"/>
      <c r="I56" s="671" t="str" cm="1">
        <f t="array" ref="I56">angleDecimal2Txt(I55)</f>
        <v>+263°04.24 (+263.0706) [+263°04'14.40]</v>
      </c>
      <c r="J56" s="671"/>
      <c r="K56" s="671"/>
      <c r="L56" s="671"/>
      <c r="M56" s="671"/>
      <c r="N56" s="671"/>
      <c r="AB56" s="66"/>
      <c r="AC56" s="3" t="s">
        <v>182</v>
      </c>
      <c r="AD56" s="5">
        <f>IF(AD55&gt;360,AD55-360,IF(AD55&lt;0,360+AD55,AD55))</f>
        <v>263.07066666666674</v>
      </c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 s="24"/>
    </row>
    <row r="57" spans="1:67" customFormat="1" ht="17.25" customHeight="1" thickTop="1">
      <c r="A57" s="16"/>
      <c r="B57" s="16"/>
      <c r="C57" s="59"/>
      <c r="D57" s="59"/>
      <c r="E57" s="59"/>
      <c r="F57" s="59"/>
      <c r="G57" s="59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4"/>
      <c r="T57" s="14"/>
      <c r="U57" s="14"/>
      <c r="V57" s="14"/>
      <c r="W57" s="14"/>
      <c r="X57" s="16"/>
      <c r="Y57" s="16"/>
      <c r="Z57" s="16"/>
      <c r="AA57" s="16"/>
      <c r="AB57" s="61"/>
      <c r="BN57" s="24"/>
      <c r="BO57" s="16"/>
    </row>
    <row r="58" spans="1:67" customFormat="1" ht="17.25" customHeight="1" thickBot="1">
      <c r="A58" s="16"/>
      <c r="B58" s="16"/>
      <c r="C58" s="59"/>
      <c r="D58" s="59"/>
      <c r="E58" s="59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6"/>
      <c r="AB58" s="61"/>
      <c r="AI58" s="11"/>
      <c r="BN58" s="24"/>
      <c r="BO58" s="16"/>
    </row>
    <row r="59" spans="1:67" s="14" customFormat="1" ht="17.25" customHeight="1" thickBot="1">
      <c r="A59" s="16"/>
      <c r="B59" s="25" t="s">
        <v>450</v>
      </c>
      <c r="C59" s="26"/>
      <c r="D59" s="26"/>
      <c r="E59" s="26"/>
      <c r="F59" s="498">
        <f>I60</f>
        <v>250.57066666666674</v>
      </c>
      <c r="G59" s="498"/>
      <c r="H59" s="498"/>
      <c r="I59" s="26"/>
      <c r="J59" s="683" t="s">
        <v>55</v>
      </c>
      <c r="K59" s="683"/>
      <c r="L59" s="683"/>
      <c r="M59" s="447" t="str">
        <f>J18</f>
        <v>Polaire</v>
      </c>
      <c r="N59" s="447"/>
      <c r="O59" s="447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4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31"/>
    </row>
    <row r="60" spans="1:67" s="16" customFormat="1" ht="17.25" customHeight="1" thickBot="1">
      <c r="C60" s="1334" t="s">
        <v>451</v>
      </c>
      <c r="D60" s="1334"/>
      <c r="E60" s="1334"/>
      <c r="F60" s="1334"/>
      <c r="G60" s="1334"/>
      <c r="H60" s="1367"/>
      <c r="I60" s="1368">
        <f>AD61</f>
        <v>250.57066666666674</v>
      </c>
      <c r="J60" s="812"/>
      <c r="K60" s="812"/>
      <c r="L60" s="813"/>
      <c r="M60" s="36" t="s">
        <v>45</v>
      </c>
      <c r="N60" s="471">
        <f>AD60</f>
        <v>250.57066666666674</v>
      </c>
      <c r="O60" s="471"/>
      <c r="P60" s="471"/>
      <c r="Q60" s="471"/>
      <c r="AB60" s="61"/>
      <c r="AC60" s="3" t="s">
        <v>456</v>
      </c>
      <c r="AD60" s="5">
        <f>F54+G24</f>
        <v>250.57066666666674</v>
      </c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24"/>
    </row>
    <row r="61" spans="1:67" s="16" customFormat="1" ht="17.25" customHeight="1" thickTop="1" thickBot="1">
      <c r="A61" s="14"/>
      <c r="C61" s="14"/>
      <c r="D61" s="14"/>
      <c r="E61" s="14"/>
      <c r="F61" s="14"/>
      <c r="G61" s="14"/>
      <c r="H61" s="14"/>
      <c r="I61" s="671" t="str" cm="1">
        <f t="array" ref="I61">angleDecimal2Txt(I60)</f>
        <v>+250°34.24 (+250.5706) [+250°34'14.40]</v>
      </c>
      <c r="J61" s="671"/>
      <c r="K61" s="671"/>
      <c r="L61" s="671"/>
      <c r="M61" s="671"/>
      <c r="N61" s="671"/>
      <c r="AB61" s="66"/>
      <c r="AC61" s="3" t="s">
        <v>182</v>
      </c>
      <c r="AD61" s="5">
        <f>IF(AD60&gt;360,AD60-360,IF(AD60&lt;0,360+AD60,AD60))</f>
        <v>250.57066666666674</v>
      </c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24"/>
    </row>
    <row r="62" spans="1:67" s="16" customFormat="1" ht="17.25" customHeight="1" thickTop="1" thickBot="1">
      <c r="B62" s="14"/>
      <c r="AA62" s="14"/>
      <c r="AB62" s="61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24"/>
    </row>
    <row r="63" spans="1:67" s="16" customFormat="1" ht="17.25" customHeight="1" thickTop="1" thickBot="1">
      <c r="B63" s="25" t="s">
        <v>23</v>
      </c>
      <c r="C63" s="26"/>
      <c r="D63" s="653" t="s">
        <v>72</v>
      </c>
      <c r="E63" s="654"/>
      <c r="F63" s="498">
        <f>IF(G64=AD64,O101,O93)</f>
        <v>28.819379568060796</v>
      </c>
      <c r="G63" s="498"/>
      <c r="H63" s="498"/>
      <c r="I63" s="26"/>
      <c r="J63" s="684" t="str" cm="1">
        <f t="array" ref="J63">angleDecimal2Txt(F63)</f>
        <v>+28°49.16 (+28.8193) [+28°49'09.76]</v>
      </c>
      <c r="K63" s="603"/>
      <c r="L63" s="603"/>
      <c r="M63" s="603"/>
      <c r="N63" s="604"/>
      <c r="O63" s="26"/>
      <c r="P63" s="653"/>
      <c r="Q63" s="653"/>
      <c r="R63" s="26"/>
      <c r="S63" s="60"/>
      <c r="T63" s="26" t="s">
        <v>95</v>
      </c>
      <c r="U63" s="26"/>
      <c r="V63" s="674">
        <f>-O80+O75+O84</f>
        <v>-2.9960824388447736E-2</v>
      </c>
      <c r="W63" s="675"/>
      <c r="X63" s="676"/>
      <c r="Y63" s="82" t="str" cm="1">
        <f t="array" ref="Y63">angleDecimal2Txt(V63)</f>
        <v>-00°01.79 (-00.0299) [-00°01'47.85]</v>
      </c>
      <c r="Z63" s="82"/>
      <c r="AA63" s="82"/>
      <c r="AB63" s="83"/>
      <c r="AC63"/>
      <c r="AD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24"/>
    </row>
    <row r="64" spans="1:67" s="16" customFormat="1" ht="17.25" customHeight="1">
      <c r="C64" s="476" t="s">
        <v>35</v>
      </c>
      <c r="D64" s="476"/>
      <c r="E64" s="476"/>
      <c r="F64" s="476"/>
      <c r="G64" s="555" t="s">
        <v>51</v>
      </c>
      <c r="H64" s="555"/>
      <c r="I64" s="555"/>
      <c r="P64" s="16" t="s">
        <v>69</v>
      </c>
      <c r="V64" s="14"/>
      <c r="W64" s="14"/>
      <c r="X64" s="14"/>
      <c r="Y64" s="14"/>
      <c r="Z64" s="14"/>
      <c r="AB64" s="61"/>
      <c r="AC64" s="664" t="s">
        <v>36</v>
      </c>
      <c r="AD64" s="68" t="s">
        <v>50</v>
      </c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24"/>
    </row>
    <row r="65" spans="1:67" s="16" customFormat="1" ht="17.25" customHeight="1" outlineLevel="1" thickBot="1">
      <c r="C65" s="33"/>
      <c r="D65" s="33"/>
      <c r="E65" s="33"/>
      <c r="F65" s="726" t="s">
        <v>62</v>
      </c>
      <c r="G65" s="726"/>
      <c r="H65" s="757"/>
      <c r="I65" s="757"/>
      <c r="J65" s="673">
        <f>IF(G64=AD64,"---",O93)</f>
        <v>28.819379568060796</v>
      </c>
      <c r="K65" s="673"/>
      <c r="L65" s="673"/>
      <c r="V65" s="14"/>
      <c r="W65" s="14"/>
      <c r="X65" s="14"/>
      <c r="Y65" s="14"/>
      <c r="Z65" s="14"/>
      <c r="AB65" s="61"/>
      <c r="AC65" s="664"/>
      <c r="AD65" s="68" t="s">
        <v>51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67" s="16" customFormat="1" ht="17.25" customHeight="1" outlineLevel="1" thickTop="1" thickBot="1">
      <c r="H66" s="1193" t="s">
        <v>47</v>
      </c>
      <c r="I66" s="1193"/>
      <c r="J66" s="1193"/>
      <c r="K66" s="1193"/>
      <c r="L66" s="1193"/>
      <c r="M66" s="1193"/>
      <c r="N66" s="1193"/>
      <c r="O66" s="469">
        <f>J17</f>
        <v>28.916666666666668</v>
      </c>
      <c r="P66" s="469"/>
      <c r="Q66" s="469"/>
      <c r="R66" s="469"/>
      <c r="S66" s="16" t="s">
        <v>54</v>
      </c>
      <c r="U66" s="416" t="str" cm="1">
        <f t="array" ref="U66">angleDecimal2Txt(O66)</f>
        <v>+28°55.00 (+28.9166) [+28°55'00.00]</v>
      </c>
      <c r="V66" s="416"/>
      <c r="W66" s="416"/>
      <c r="X66" s="416"/>
      <c r="Y66" s="416"/>
      <c r="Z66" s="416"/>
      <c r="AB66" s="61"/>
      <c r="AC66" s="3" t="s">
        <v>59</v>
      </c>
      <c r="AD66" s="5">
        <f>O67</f>
        <v>0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67" s="16" customFormat="1" ht="17.25" customHeight="1" outlineLevel="1" thickTop="1" thickBot="1">
      <c r="H67" s="1193" t="s">
        <v>24</v>
      </c>
      <c r="I67" s="1193"/>
      <c r="J67" s="1193"/>
      <c r="K67" s="1193"/>
      <c r="L67" s="1193"/>
      <c r="M67" s="1193"/>
      <c r="N67" s="1193"/>
      <c r="O67" s="469">
        <f>J16</f>
        <v>0</v>
      </c>
      <c r="P67" s="469"/>
      <c r="Q67" s="469"/>
      <c r="R67" s="469"/>
      <c r="S67" s="16" t="s">
        <v>54</v>
      </c>
      <c r="U67" s="416" t="str" cm="1">
        <f t="array" ref="U67">angleDecimal2Txt(O67)</f>
        <v>+00°00.00 (+00.0000) [+00°00'00.00]</v>
      </c>
      <c r="V67" s="416"/>
      <c r="W67" s="416"/>
      <c r="X67" s="416"/>
      <c r="Y67" s="416"/>
      <c r="Z67" s="416"/>
      <c r="AB67" s="61"/>
      <c r="AC67" s="3" t="s">
        <v>46</v>
      </c>
      <c r="AD67" s="3">
        <f>J15</f>
        <v>5.28</v>
      </c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67" s="16" customFormat="1" ht="17.25" customHeight="1" outlineLevel="1" thickTop="1" thickBot="1">
      <c r="C68" s="59"/>
      <c r="D68" s="59"/>
      <c r="E68" s="59"/>
      <c r="F68" s="59"/>
      <c r="H68" s="1191" t="s">
        <v>68</v>
      </c>
      <c r="I68" s="1191"/>
      <c r="J68" s="1191"/>
      <c r="K68" s="1191"/>
      <c r="L68" s="1191"/>
      <c r="M68" s="1191"/>
      <c r="N68" s="1191"/>
      <c r="O68" s="602">
        <f>AD68</f>
        <v>6.7326274217425694E-2</v>
      </c>
      <c r="P68" s="602"/>
      <c r="Q68" s="602"/>
      <c r="R68" s="602"/>
      <c r="S68" s="16" t="s">
        <v>54</v>
      </c>
      <c r="U68" s="416" t="str" cm="1">
        <f t="array" ref="U68">angleDecimal2Txt(O68)</f>
        <v>+00°04.03 (+00.0673) [+00°04'02.37]</v>
      </c>
      <c r="V68" s="416"/>
      <c r="W68" s="416"/>
      <c r="X68" s="416"/>
      <c r="Y68" s="416"/>
      <c r="Z68" s="416"/>
      <c r="AB68" s="61"/>
      <c r="AC68" s="72" t="s">
        <v>67</v>
      </c>
      <c r="AD68" s="3">
        <f>0.0293 * SQRT(AD67)</f>
        <v>6.7326274217425694E-2</v>
      </c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67" s="16" customFormat="1" ht="17.25" customHeight="1" outlineLevel="1" thickTop="1" thickBot="1">
      <c r="C69" s="59"/>
      <c r="D69" s="59"/>
      <c r="E69" s="59"/>
      <c r="F69" s="59"/>
      <c r="G69" s="59"/>
      <c r="K69" s="14"/>
      <c r="L69" s="14"/>
      <c r="M69" s="865" t="s">
        <v>113</v>
      </c>
      <c r="N69" s="865"/>
      <c r="O69" s="865"/>
      <c r="P69" s="865"/>
      <c r="Q69" s="14"/>
      <c r="R69" s="14"/>
      <c r="U69" s="14"/>
      <c r="V69" s="14"/>
      <c r="W69" s="14"/>
      <c r="X69" s="14"/>
      <c r="Y69" s="14"/>
      <c r="Z69" s="14"/>
      <c r="AB69" s="61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1:67" s="16" customFormat="1" ht="17.25" customHeight="1" outlineLevel="1" thickTop="1" thickBot="1">
      <c r="C70" s="59"/>
      <c r="D70" s="59"/>
      <c r="E70" s="59"/>
      <c r="F70" s="59"/>
      <c r="H70" s="1192" t="s">
        <v>438</v>
      </c>
      <c r="I70" s="1192"/>
      <c r="J70" s="1192"/>
      <c r="K70" s="1192"/>
      <c r="L70" s="1192"/>
      <c r="M70" s="1192"/>
      <c r="N70" s="1192"/>
      <c r="O70" s="472">
        <f>O66-O67-O68</f>
        <v>28.849340392449243</v>
      </c>
      <c r="P70" s="473"/>
      <c r="Q70" s="16" t="s">
        <v>54</v>
      </c>
      <c r="R70" s="689">
        <f>O70*Outils!$F$4</f>
        <v>0.50351597687683236</v>
      </c>
      <c r="S70" s="689"/>
      <c r="T70" s="37" t="s">
        <v>64</v>
      </c>
      <c r="U70" s="416" t="str" cm="1">
        <f t="array" ref="U70">angleDecimal2Txt(O70)</f>
        <v>+28°50.96 (+28.8493) [+28°50'57.62]</v>
      </c>
      <c r="V70" s="416"/>
      <c r="W70" s="416"/>
      <c r="X70" s="416"/>
      <c r="Y70" s="416"/>
      <c r="Z70" s="416"/>
      <c r="AB70" s="61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1:67" s="16" customFormat="1" ht="17.25" customHeight="1" outlineLevel="1" thickTop="1"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U71" s="14"/>
      <c r="V71" s="14"/>
      <c r="W71" s="14"/>
      <c r="X71" s="14"/>
      <c r="Y71" s="14"/>
      <c r="Z71" s="14"/>
      <c r="AB71" s="6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1:67" s="16" customFormat="1" ht="17.25" customHeight="1" outlineLevel="1">
      <c r="C72" s="59"/>
      <c r="D72" s="59"/>
      <c r="E72" s="59"/>
      <c r="F72" s="59"/>
      <c r="H72" s="14"/>
      <c r="I72" s="14"/>
      <c r="J72" s="14"/>
      <c r="K72" s="14"/>
      <c r="L72" s="14"/>
      <c r="M72" s="1194" t="s">
        <v>61</v>
      </c>
      <c r="N72" s="1194"/>
      <c r="O72" s="1194"/>
      <c r="P72" s="1194"/>
      <c r="Q72" s="14"/>
      <c r="R72" s="14"/>
      <c r="U72" s="14"/>
      <c r="V72" s="14"/>
      <c r="W72" s="14"/>
      <c r="X72" s="14"/>
      <c r="Y72" s="14"/>
      <c r="Z72" s="14"/>
      <c r="AB72" s="61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1:67" s="16" customFormat="1" ht="17.25" customHeight="1" outlineLevel="1" thickBot="1">
      <c r="M73" s="1371" t="s">
        <v>139</v>
      </c>
      <c r="N73" s="1371"/>
      <c r="O73" s="1194"/>
      <c r="P73" s="1194"/>
      <c r="AB73" s="61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1:67" s="16" customFormat="1" ht="17.25" customHeight="1" outlineLevel="1" thickTop="1" thickBot="1">
      <c r="A74" s="14"/>
      <c r="B74" s="14"/>
      <c r="C74" s="14"/>
      <c r="D74" s="14"/>
      <c r="E74" s="14"/>
      <c r="H74" s="602" t="s">
        <v>52</v>
      </c>
      <c r="I74" s="602"/>
      <c r="J74" s="602"/>
      <c r="K74" s="602"/>
      <c r="L74" s="602"/>
      <c r="M74" s="602"/>
      <c r="N74" s="602"/>
      <c r="O74" s="474">
        <v>0</v>
      </c>
      <c r="P74" s="475"/>
      <c r="Q74" s="475"/>
      <c r="R74" s="475"/>
      <c r="S74" s="16" t="s">
        <v>54</v>
      </c>
      <c r="U74" s="416" t="str" cm="1">
        <f t="array" ref="U74">angleDecimal2Txt(O74)</f>
        <v>+00°00.00 (+00.0000) [+00°00'00.00]</v>
      </c>
      <c r="V74" s="416"/>
      <c r="W74" s="416"/>
      <c r="X74" s="416"/>
      <c r="Y74" s="416"/>
      <c r="Z74" s="416"/>
      <c r="AB74" s="61"/>
      <c r="AC74" s="3" t="s">
        <v>183</v>
      </c>
      <c r="AD74" s="3">
        <f>O74*COS(R70)</f>
        <v>0</v>
      </c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1:67" customFormat="1" ht="17.25" customHeight="1" outlineLevel="1" thickTop="1" thickBot="1">
      <c r="A75" s="14"/>
      <c r="B75" s="14"/>
      <c r="C75" s="14"/>
      <c r="D75" s="14"/>
      <c r="E75" s="14"/>
      <c r="F75" s="16"/>
      <c r="G75" s="16"/>
      <c r="H75" s="663" t="s">
        <v>140</v>
      </c>
      <c r="I75" s="461"/>
      <c r="J75" s="461"/>
      <c r="K75" s="461"/>
      <c r="L75" s="461"/>
      <c r="M75" s="461"/>
      <c r="N75" s="462"/>
      <c r="O75" s="440">
        <f>AD74</f>
        <v>0</v>
      </c>
      <c r="P75" s="440"/>
      <c r="Q75" s="440"/>
      <c r="R75" s="440"/>
      <c r="S75" s="16" t="s">
        <v>54</v>
      </c>
      <c r="T75" s="16"/>
      <c r="U75" s="416" t="str" cm="1">
        <f t="array" ref="U75">angleDecimal2Txt(O75)</f>
        <v>+00°00.00 (+00.0000) [+00°00'00.00]</v>
      </c>
      <c r="V75" s="416"/>
      <c r="W75" s="416"/>
      <c r="X75" s="416"/>
      <c r="Y75" s="416"/>
      <c r="Z75" s="416"/>
      <c r="AA75" s="16"/>
      <c r="AB75" s="61"/>
      <c r="BN75" s="24"/>
      <c r="BO75" s="16"/>
    </row>
    <row r="76" spans="1:67" customFormat="1" ht="17.25" customHeight="1" outlineLevel="1" thickTop="1">
      <c r="A76" s="14"/>
      <c r="B76" s="14"/>
      <c r="C76" s="14"/>
      <c r="D76" s="14"/>
      <c r="E76" s="14"/>
      <c r="F76" s="16"/>
      <c r="G76" s="16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6"/>
      <c r="AB76" s="61"/>
      <c r="BN76" s="24"/>
      <c r="BO76" s="16"/>
    </row>
    <row r="77" spans="1:67" customFormat="1" ht="17.25" customHeight="1" outlineLevel="1">
      <c r="A77" s="14"/>
      <c r="B77" s="14"/>
      <c r="C77" s="14"/>
      <c r="D77" s="14"/>
      <c r="E77" s="59"/>
      <c r="F77" s="16"/>
      <c r="G77" s="16"/>
      <c r="H77" s="14"/>
      <c r="I77" s="14"/>
      <c r="J77" s="14"/>
      <c r="K77" s="14"/>
      <c r="L77" s="14"/>
      <c r="M77" s="14"/>
      <c r="N77" s="14"/>
      <c r="O77" s="14"/>
      <c r="P77" s="16"/>
      <c r="Q77" s="16"/>
      <c r="R77" s="16"/>
      <c r="S77" s="510" t="s">
        <v>126</v>
      </c>
      <c r="T77" s="511"/>
      <c r="U77" s="512"/>
      <c r="V77" s="16"/>
      <c r="W77" s="16"/>
      <c r="X77" s="16"/>
      <c r="Y77" s="14"/>
      <c r="Z77" s="14"/>
      <c r="AA77" s="16"/>
      <c r="AB77" s="61"/>
      <c r="AC77" s="3" t="s">
        <v>49</v>
      </c>
      <c r="AD77" s="3" t="s">
        <v>185</v>
      </c>
      <c r="BN77" s="24"/>
      <c r="BO77" s="16"/>
    </row>
    <row r="78" spans="1:67" customFormat="1" ht="17.25" customHeight="1" outlineLevel="1">
      <c r="A78" s="14"/>
      <c r="B78" s="14"/>
      <c r="C78" s="14"/>
      <c r="D78" s="14"/>
      <c r="E78" s="59"/>
      <c r="F78" s="16"/>
      <c r="G78" s="16"/>
      <c r="H78" s="602" t="s">
        <v>65</v>
      </c>
      <c r="I78" s="602"/>
      <c r="J78" s="602"/>
      <c r="K78" s="602"/>
      <c r="L78" s="602"/>
      <c r="M78" s="602"/>
      <c r="N78" s="602"/>
      <c r="O78" s="661">
        <f>S78</f>
        <v>10</v>
      </c>
      <c r="P78" s="662"/>
      <c r="Q78" s="662"/>
      <c r="R78" s="662"/>
      <c r="S78" s="655">
        <v>10</v>
      </c>
      <c r="T78" s="656"/>
      <c r="U78" s="657"/>
      <c r="V78" s="16"/>
      <c r="W78" s="16"/>
      <c r="X78" s="16"/>
      <c r="Y78" s="14"/>
      <c r="Z78" s="14"/>
      <c r="AA78" s="16"/>
      <c r="AB78" s="61"/>
      <c r="AC78" s="3" t="s">
        <v>186</v>
      </c>
      <c r="AD78" s="3">
        <f>1/TAN((O70 + 7.31 / (O70 + 4.4)) *Outils!$F$4)</f>
        <v>1.7989207854166993</v>
      </c>
      <c r="BN78" s="24"/>
      <c r="BO78" s="16"/>
    </row>
    <row r="79" spans="1:67" customFormat="1" ht="17.25" customHeight="1" outlineLevel="1" thickBot="1">
      <c r="A79" s="14"/>
      <c r="B79" s="14"/>
      <c r="C79" s="14"/>
      <c r="D79" s="14"/>
      <c r="E79" s="14"/>
      <c r="F79" s="16"/>
      <c r="G79" s="16"/>
      <c r="H79" s="602" t="s">
        <v>66</v>
      </c>
      <c r="I79" s="602"/>
      <c r="J79" s="602"/>
      <c r="K79" s="602"/>
      <c r="L79" s="602"/>
      <c r="M79" s="602"/>
      <c r="N79" s="602"/>
      <c r="O79" s="661">
        <f>S79</f>
        <v>1010</v>
      </c>
      <c r="P79" s="662"/>
      <c r="Q79" s="662"/>
      <c r="R79" s="662"/>
      <c r="S79" s="655">
        <v>1010</v>
      </c>
      <c r="T79" s="656"/>
      <c r="U79" s="657"/>
      <c r="V79" s="16"/>
      <c r="W79" s="16"/>
      <c r="X79" s="16"/>
      <c r="Y79" s="14"/>
      <c r="Z79" s="14"/>
      <c r="AA79" s="16"/>
      <c r="AB79" s="61"/>
      <c r="AC79" s="3" t="s">
        <v>187</v>
      </c>
      <c r="AD79" s="3">
        <f>AD78/60</f>
        <v>2.9982013090278321E-2</v>
      </c>
      <c r="BN79" s="24"/>
      <c r="BO79" s="16"/>
    </row>
    <row r="80" spans="1:67" customFormat="1" ht="17.25" customHeight="1" outlineLevel="1" thickTop="1" thickBot="1">
      <c r="A80" s="14"/>
      <c r="B80" s="14"/>
      <c r="C80" s="14"/>
      <c r="D80" s="14"/>
      <c r="E80" s="14"/>
      <c r="F80" s="16"/>
      <c r="G80" s="16"/>
      <c r="H80" s="663" t="s">
        <v>141</v>
      </c>
      <c r="I80" s="461"/>
      <c r="J80" s="461"/>
      <c r="K80" s="461"/>
      <c r="L80" s="461"/>
      <c r="M80" s="461"/>
      <c r="N80" s="462"/>
      <c r="O80" s="440">
        <f>AD81</f>
        <v>2.9960824388447736E-2</v>
      </c>
      <c r="P80" s="440"/>
      <c r="Q80" s="440"/>
      <c r="R80" s="440"/>
      <c r="S80" s="16" t="s">
        <v>54</v>
      </c>
      <c r="T80" s="16"/>
      <c r="U80" s="416" t="str" cm="1">
        <f t="array" ref="U80">angleDecimal2Txt(O80)</f>
        <v>+00°01.79 (+00.0299) [+00°01'47.85]</v>
      </c>
      <c r="V80" s="416"/>
      <c r="W80" s="416"/>
      <c r="X80" s="416"/>
      <c r="Y80" s="416"/>
      <c r="Z80" s="416"/>
      <c r="AA80" s="16"/>
      <c r="AB80" s="61"/>
      <c r="AC80" s="3" t="s">
        <v>96</v>
      </c>
      <c r="AD80" s="3">
        <f xml:space="preserve"> 0.28 * O79 / (273 + O78)</f>
        <v>0.99929328621908131</v>
      </c>
      <c r="BN80" s="24"/>
      <c r="BO80" s="16"/>
    </row>
    <row r="81" spans="1:67" customFormat="1" ht="17.25" customHeight="1" outlineLevel="1" thickTop="1">
      <c r="A81" s="14"/>
      <c r="B81" s="14"/>
      <c r="C81" s="14"/>
      <c r="D81" s="14"/>
      <c r="E81" s="14"/>
      <c r="F81" s="16"/>
      <c r="G81" s="16"/>
      <c r="H81" s="14"/>
      <c r="I81" s="14"/>
      <c r="J81" s="14"/>
      <c r="K81" s="14"/>
      <c r="L81" s="14"/>
      <c r="M81" s="14"/>
      <c r="N81" s="14"/>
      <c r="O81" s="14"/>
      <c r="P81" s="16"/>
      <c r="Q81" s="16"/>
      <c r="R81" s="16"/>
      <c r="S81" s="16"/>
      <c r="T81" s="16"/>
      <c r="U81" s="16"/>
      <c r="V81" s="16"/>
      <c r="W81" s="16"/>
      <c r="X81" s="16"/>
      <c r="Y81" s="14"/>
      <c r="Z81" s="14"/>
      <c r="AA81" s="16"/>
      <c r="AB81" s="61"/>
      <c r="AC81" s="3" t="s">
        <v>184</v>
      </c>
      <c r="AD81" s="3">
        <f>AD80*AD79</f>
        <v>2.9960824388447736E-2</v>
      </c>
      <c r="BN81" s="24"/>
      <c r="BO81" s="16"/>
    </row>
    <row r="82" spans="1:67" customFormat="1" ht="17.25" customHeight="1" outlineLevel="1">
      <c r="A82" s="14"/>
      <c r="B82" s="14"/>
      <c r="C82" s="14"/>
      <c r="D82" s="14"/>
      <c r="E82" s="14"/>
      <c r="F82" s="16"/>
      <c r="G82" s="16"/>
      <c r="H82" s="602" t="s">
        <v>100</v>
      </c>
      <c r="I82" s="602"/>
      <c r="J82" s="602"/>
      <c r="K82" s="602"/>
      <c r="L82" s="602"/>
      <c r="M82" s="602"/>
      <c r="N82" s="602"/>
      <c r="O82" s="692">
        <v>0</v>
      </c>
      <c r="P82" s="692"/>
      <c r="Q82" s="692"/>
      <c r="R82" s="692"/>
      <c r="S82" s="16"/>
      <c r="T82" s="16"/>
      <c r="U82" s="16"/>
      <c r="V82" s="16"/>
      <c r="W82" s="16"/>
      <c r="X82" s="16"/>
      <c r="Y82" s="16"/>
      <c r="Z82" s="16"/>
      <c r="AA82" s="16"/>
      <c r="AB82" s="61"/>
      <c r="BN82" s="24"/>
      <c r="BO82" s="16"/>
    </row>
    <row r="83" spans="1:67" customFormat="1" ht="17.25" customHeight="1" outlineLevel="1" thickBot="1">
      <c r="A83" s="16"/>
      <c r="B83" s="14"/>
      <c r="C83" s="14"/>
      <c r="D83" s="14"/>
      <c r="E83" s="59"/>
      <c r="F83" s="59"/>
      <c r="G83" s="59"/>
      <c r="H83" s="602" t="s">
        <v>70</v>
      </c>
      <c r="I83" s="602"/>
      <c r="J83" s="602"/>
      <c r="K83" s="602"/>
      <c r="L83" s="602"/>
      <c r="M83" s="602"/>
      <c r="N83" s="602"/>
      <c r="O83" s="692">
        <f>J19</f>
        <v>0</v>
      </c>
      <c r="P83" s="692"/>
      <c r="Q83" s="692"/>
      <c r="R83" s="692"/>
      <c r="S83" s="16"/>
      <c r="T83" s="16"/>
      <c r="U83" s="16"/>
      <c r="V83" s="16"/>
      <c r="W83" s="16"/>
      <c r="X83" s="16"/>
      <c r="Y83" s="16"/>
      <c r="Z83" s="16"/>
      <c r="AA83" s="16"/>
      <c r="AB83" s="61"/>
      <c r="AC83" s="3" t="s">
        <v>30</v>
      </c>
      <c r="AD83" s="413" t="str">
        <f>J18</f>
        <v>Polaire</v>
      </c>
      <c r="AE83" s="413"/>
      <c r="BN83" s="24"/>
      <c r="BO83" s="16"/>
    </row>
    <row r="84" spans="1:67" customFormat="1" ht="17.25" customHeight="1" outlineLevel="1" thickTop="1" thickBot="1">
      <c r="A84" s="16"/>
      <c r="B84" s="16"/>
      <c r="C84" s="59"/>
      <c r="D84" s="59"/>
      <c r="E84" s="59"/>
      <c r="F84" s="59"/>
      <c r="G84" s="59"/>
      <c r="H84" s="1198" t="s">
        <v>71</v>
      </c>
      <c r="I84" s="1199"/>
      <c r="J84" s="1199"/>
      <c r="K84" s="1199"/>
      <c r="L84" s="1199"/>
      <c r="M84" s="1199"/>
      <c r="N84" s="1200"/>
      <c r="O84" s="471">
        <f>AD87</f>
        <v>0</v>
      </c>
      <c r="P84" s="471"/>
      <c r="Q84" s="471"/>
      <c r="R84" s="471"/>
      <c r="S84" s="16" t="s">
        <v>54</v>
      </c>
      <c r="T84" s="16"/>
      <c r="U84" s="416" t="str" cm="1">
        <f t="array" ref="U84">angleDecimal2Txt(O84)</f>
        <v>+00°00.00 (+00.0000) [+00°00'00.00]</v>
      </c>
      <c r="V84" s="416"/>
      <c r="W84" s="416"/>
      <c r="X84" s="416"/>
      <c r="Y84" s="416"/>
      <c r="Z84" s="416"/>
      <c r="AA84" s="16"/>
      <c r="AB84" s="61"/>
      <c r="AC84" s="3" t="s">
        <v>190</v>
      </c>
      <c r="AD84" s="413">
        <f>O83</f>
        <v>0</v>
      </c>
      <c r="AE84" s="413"/>
      <c r="BN84" s="24"/>
      <c r="BO84" s="16"/>
    </row>
    <row r="85" spans="1:67" customFormat="1" ht="17.25" customHeight="1" outlineLevel="1" thickTop="1">
      <c r="A85" s="16"/>
      <c r="B85" s="16"/>
      <c r="C85" s="59"/>
      <c r="D85" s="59"/>
      <c r="E85" s="59"/>
      <c r="F85" s="59"/>
      <c r="G85" s="59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6"/>
      <c r="AB85" s="61"/>
      <c r="AC85" s="3" t="s">
        <v>191</v>
      </c>
      <c r="AD85" s="652">
        <v>0</v>
      </c>
      <c r="AE85" s="652"/>
      <c r="BN85" s="24"/>
      <c r="BO85" s="16"/>
    </row>
    <row r="86" spans="1:67" customFormat="1" ht="17.25" customHeight="1" outlineLevel="1">
      <c r="A86" s="16"/>
      <c r="B86" s="16"/>
      <c r="C86" s="59"/>
      <c r="D86" s="59"/>
      <c r="E86" s="59"/>
      <c r="F86" s="59"/>
      <c r="G86" s="740" t="s">
        <v>107</v>
      </c>
      <c r="H86" s="741"/>
      <c r="I86" s="741"/>
      <c r="J86" s="741"/>
      <c r="K86" s="741"/>
      <c r="L86" s="741"/>
      <c r="M86" s="741"/>
      <c r="N86" s="741"/>
      <c r="O86" s="741"/>
      <c r="P86" s="741"/>
      <c r="Q86" s="741"/>
      <c r="R86" s="741"/>
      <c r="S86" s="742"/>
      <c r="T86" s="14"/>
      <c r="U86" s="14"/>
      <c r="V86" s="14"/>
      <c r="W86" s="14"/>
      <c r="X86" s="14"/>
      <c r="Y86" s="14"/>
      <c r="Z86" s="14"/>
      <c r="AA86" s="16"/>
      <c r="AB86" s="61"/>
      <c r="AC86" s="3" t="s">
        <v>100</v>
      </c>
      <c r="AD86" s="3">
        <v>0</v>
      </c>
      <c r="AE86" s="3" cm="1">
        <f t="array" ref="AE86">angleConvert2Decimal(AD86)</f>
        <v>0</v>
      </c>
      <c r="BN86" s="24"/>
      <c r="BO86" s="16"/>
    </row>
    <row r="87" spans="1:67" customFormat="1" ht="17.25" customHeight="1" outlineLevel="1">
      <c r="A87" s="16"/>
      <c r="B87" s="16"/>
      <c r="C87" s="59"/>
      <c r="D87" s="59"/>
      <c r="E87" s="59"/>
      <c r="F87" s="59"/>
      <c r="G87" s="693" t="s">
        <v>115</v>
      </c>
      <c r="H87" s="694"/>
      <c r="I87" s="737" t="s">
        <v>110</v>
      </c>
      <c r="J87" s="738"/>
      <c r="K87" s="738"/>
      <c r="L87" s="738"/>
      <c r="M87" s="738"/>
      <c r="N87" s="739"/>
      <c r="O87" s="743">
        <f>(O75-O80-O68+O82/2) * 60</f>
        <v>-5.8372259163524056</v>
      </c>
      <c r="P87" s="735"/>
      <c r="Q87" s="735"/>
      <c r="R87" s="735"/>
      <c r="S87" s="690" t="s">
        <v>108</v>
      </c>
      <c r="T87" s="14"/>
      <c r="U87" s="14"/>
      <c r="V87" s="14"/>
      <c r="W87" s="14"/>
      <c r="X87" s="14"/>
      <c r="Y87" s="14"/>
      <c r="Z87" s="14"/>
      <c r="AA87" s="16"/>
      <c r="AB87" s="61"/>
      <c r="AC87" s="3" t="s">
        <v>191</v>
      </c>
      <c r="AD87" s="652">
        <f>AE86*AD85</f>
        <v>0</v>
      </c>
      <c r="AE87" s="652"/>
      <c r="BN87" s="24"/>
      <c r="BO87" s="16"/>
    </row>
    <row r="88" spans="1:67" customFormat="1" ht="17.25" customHeight="1" outlineLevel="1">
      <c r="A88" s="16"/>
      <c r="B88" s="16"/>
      <c r="C88" s="59"/>
      <c r="D88" s="59"/>
      <c r="E88" s="59"/>
      <c r="F88" s="59"/>
      <c r="G88" s="695"/>
      <c r="H88" s="696"/>
      <c r="I88" s="1195" t="s">
        <v>114</v>
      </c>
      <c r="J88" s="1196"/>
      <c r="K88" s="1196"/>
      <c r="L88" s="1196"/>
      <c r="M88" s="1196"/>
      <c r="N88" s="1197"/>
      <c r="O88" s="744"/>
      <c r="P88" s="736"/>
      <c r="Q88" s="736"/>
      <c r="R88" s="736"/>
      <c r="S88" s="691"/>
      <c r="T88" s="14"/>
      <c r="U88" s="14"/>
      <c r="V88" s="14"/>
      <c r="W88" s="14"/>
      <c r="X88" s="14"/>
      <c r="Y88" s="14"/>
      <c r="Z88" s="14"/>
      <c r="AA88" s="16"/>
      <c r="AB88" s="61"/>
      <c r="BN88" s="24"/>
      <c r="BO88" s="16"/>
    </row>
    <row r="89" spans="1:67" customFormat="1" ht="17.25" customHeight="1" outlineLevel="1">
      <c r="A89" s="16"/>
      <c r="B89" s="16"/>
      <c r="C89" s="59"/>
      <c r="D89" s="59"/>
      <c r="E89" s="59"/>
      <c r="F89" s="59"/>
      <c r="G89" s="59"/>
      <c r="H89" s="14"/>
      <c r="I89" s="737" t="s">
        <v>111</v>
      </c>
      <c r="J89" s="738"/>
      <c r="K89" s="738"/>
      <c r="L89" s="738"/>
      <c r="M89" s="738"/>
      <c r="N89" s="739"/>
      <c r="O89" s="735">
        <f>(O75-O80+O82/2)*60</f>
        <v>-1.7976494633068643</v>
      </c>
      <c r="P89" s="735"/>
      <c r="Q89" s="735"/>
      <c r="R89" s="735"/>
      <c r="S89" s="690" t="s">
        <v>108</v>
      </c>
      <c r="T89" s="14"/>
      <c r="U89" s="14"/>
      <c r="V89" s="14"/>
      <c r="W89" s="14"/>
      <c r="X89" s="14"/>
      <c r="Y89" s="14"/>
      <c r="Z89" s="14"/>
      <c r="AA89" s="16"/>
      <c r="AB89" s="61"/>
      <c r="BN89" s="24"/>
      <c r="BO89" s="16"/>
    </row>
    <row r="90" spans="1:67" customFormat="1" ht="17.25" customHeight="1" outlineLevel="1">
      <c r="A90" s="16"/>
      <c r="B90" s="16"/>
      <c r="C90" s="59"/>
      <c r="D90" s="59"/>
      <c r="E90" s="59"/>
      <c r="F90" s="59"/>
      <c r="G90" s="59"/>
      <c r="H90" s="14"/>
      <c r="I90" s="748" t="s">
        <v>112</v>
      </c>
      <c r="J90" s="749"/>
      <c r="K90" s="749"/>
      <c r="L90" s="749"/>
      <c r="M90" s="749"/>
      <c r="N90" s="750"/>
      <c r="O90" s="736"/>
      <c r="P90" s="736"/>
      <c r="Q90" s="736"/>
      <c r="R90" s="736"/>
      <c r="S90" s="691"/>
      <c r="T90" s="14"/>
      <c r="U90" s="14"/>
      <c r="V90" s="14"/>
      <c r="W90" s="14"/>
      <c r="X90" s="14"/>
      <c r="Y90" s="14"/>
      <c r="Z90" s="14"/>
      <c r="AA90" s="16"/>
      <c r="AB90" s="61"/>
      <c r="BN90" s="24"/>
      <c r="BO90" s="16"/>
    </row>
    <row r="91" spans="1:67" customFormat="1" ht="17.25" customHeight="1" outlineLevel="1">
      <c r="A91" s="16"/>
      <c r="B91" s="16"/>
      <c r="C91" s="59"/>
      <c r="D91" s="59"/>
      <c r="E91" s="59"/>
      <c r="F91" s="59"/>
      <c r="G91" s="59"/>
      <c r="H91" s="14"/>
      <c r="I91" s="1201" t="s">
        <v>71</v>
      </c>
      <c r="J91" s="1201"/>
      <c r="K91" s="1201"/>
      <c r="L91" s="1201"/>
      <c r="M91" s="1201"/>
      <c r="N91" s="1201"/>
      <c r="O91" s="727">
        <f>O84*60</f>
        <v>0</v>
      </c>
      <c r="P91" s="728"/>
      <c r="Q91" s="728"/>
      <c r="R91" s="728"/>
      <c r="S91" s="73" t="s">
        <v>108</v>
      </c>
      <c r="T91" s="14"/>
      <c r="U91" s="14"/>
      <c r="V91" s="14"/>
      <c r="W91" s="14"/>
      <c r="X91" s="14"/>
      <c r="Y91" s="14"/>
      <c r="Z91" s="14"/>
      <c r="AA91" s="16"/>
      <c r="AB91" s="61"/>
      <c r="BN91" s="24"/>
      <c r="BO91" s="16"/>
    </row>
    <row r="92" spans="1:67" customFormat="1" ht="17.25" customHeight="1" outlineLevel="1" thickBot="1">
      <c r="A92" s="16"/>
      <c r="B92" s="16"/>
      <c r="C92" s="59"/>
      <c r="D92" s="59"/>
      <c r="E92" s="59"/>
      <c r="F92" s="59"/>
      <c r="G92" s="59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6"/>
      <c r="T92" s="16"/>
      <c r="U92" s="16"/>
      <c r="V92" s="16"/>
      <c r="W92" s="16"/>
      <c r="X92" s="16"/>
      <c r="Y92" s="16"/>
      <c r="Z92" s="16"/>
      <c r="AA92" s="16"/>
      <c r="AB92" s="61"/>
      <c r="BN92" s="24"/>
      <c r="BO92" s="16"/>
    </row>
    <row r="93" spans="1:67" customFormat="1" ht="17.25" customHeight="1" outlineLevel="1" thickTop="1" thickBot="1">
      <c r="A93" s="16"/>
      <c r="B93" s="16"/>
      <c r="C93" s="59"/>
      <c r="D93" s="59"/>
      <c r="E93" s="59"/>
      <c r="F93" s="59"/>
      <c r="G93" s="59"/>
      <c r="H93" s="745" t="s">
        <v>142</v>
      </c>
      <c r="I93" s="746"/>
      <c r="J93" s="746"/>
      <c r="K93" s="746"/>
      <c r="L93" s="746"/>
      <c r="M93" s="746"/>
      <c r="N93" s="747"/>
      <c r="O93" s="473">
        <f>O70-O80+O75+O84</f>
        <v>28.819379568060796</v>
      </c>
      <c r="P93" s="440"/>
      <c r="Q93" s="440"/>
      <c r="R93" s="440"/>
      <c r="S93" s="16" t="s">
        <v>54</v>
      </c>
      <c r="T93" s="16"/>
      <c r="U93" s="416" t="str" cm="1">
        <f t="array" ref="U93">angleDecimal2Txt(O93)</f>
        <v>+28°49.16 (+28.8193) [+28°49'09.76]</v>
      </c>
      <c r="V93" s="416"/>
      <c r="W93" s="416"/>
      <c r="X93" s="416"/>
      <c r="Y93" s="416"/>
      <c r="Z93" s="416"/>
      <c r="AA93" s="16"/>
      <c r="AB93" s="61"/>
      <c r="BN93" s="24"/>
      <c r="BO93" s="16"/>
    </row>
    <row r="94" spans="1:67" customFormat="1" ht="17.25" customHeight="1" outlineLevel="1" thickTop="1">
      <c r="A94" s="16"/>
      <c r="B94" s="16"/>
      <c r="C94" s="59"/>
      <c r="D94" s="59"/>
      <c r="E94" s="59"/>
      <c r="F94" s="59"/>
      <c r="G94" s="59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61"/>
      <c r="BN94" s="24"/>
      <c r="BO94" s="16"/>
    </row>
    <row r="95" spans="1:67" customFormat="1" ht="17.25" customHeight="1" outlineLevel="1">
      <c r="A95" s="16"/>
      <c r="B95" s="16"/>
      <c r="C95" s="59"/>
      <c r="D95" s="59"/>
      <c r="E95" s="59"/>
      <c r="F95" s="726" t="s">
        <v>63</v>
      </c>
      <c r="G95" s="726"/>
      <c r="H95" s="726"/>
      <c r="I95" s="726"/>
      <c r="J95" s="440" t="str">
        <f>IF(G64=AD64,O101,"---")</f>
        <v>---</v>
      </c>
      <c r="K95" s="440"/>
      <c r="L95" s="440"/>
      <c r="M95" s="16"/>
      <c r="N95" s="16"/>
      <c r="O95" s="16"/>
      <c r="P95" s="16"/>
      <c r="Q95" s="16"/>
      <c r="R95" s="38" t="s">
        <v>82</v>
      </c>
      <c r="S95" s="16" t="s">
        <v>33</v>
      </c>
      <c r="T95" s="16"/>
      <c r="U95" s="16"/>
      <c r="V95" s="16"/>
      <c r="W95" s="16"/>
      <c r="X95" s="16"/>
      <c r="Y95" s="16"/>
      <c r="Z95" s="16"/>
      <c r="AA95" s="16"/>
      <c r="AB95" s="61"/>
      <c r="BN95" s="24"/>
      <c r="BO95" s="16"/>
    </row>
    <row r="96" spans="1:67" customFormat="1" ht="17.25" customHeight="1" outlineLevel="1">
      <c r="A96" s="16"/>
      <c r="B96" s="16"/>
      <c r="C96" s="59"/>
      <c r="D96" s="59"/>
      <c r="E96" s="59"/>
      <c r="F96" s="59"/>
      <c r="G96" s="59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39" t="s">
        <v>78</v>
      </c>
      <c r="S96" s="16" t="s">
        <v>80</v>
      </c>
      <c r="T96" s="16"/>
      <c r="U96" s="16"/>
      <c r="V96" s="16"/>
      <c r="W96" s="16"/>
      <c r="X96" s="16"/>
      <c r="Y96" s="16"/>
      <c r="Z96" s="16"/>
      <c r="AA96" s="16"/>
      <c r="AB96" s="61"/>
      <c r="BN96" s="24"/>
      <c r="BO96" s="16"/>
    </row>
    <row r="97" spans="1:67" customFormat="1" ht="17.25" customHeight="1" outlineLevel="1">
      <c r="A97" s="16"/>
      <c r="B97" s="16"/>
      <c r="C97" s="59"/>
      <c r="D97" s="59"/>
      <c r="E97" s="59"/>
      <c r="F97" s="59"/>
      <c r="G97" s="59"/>
      <c r="H97" s="16" t="s">
        <v>72</v>
      </c>
      <c r="I97" s="40" t="s">
        <v>74</v>
      </c>
      <c r="J97" s="16" t="s">
        <v>60</v>
      </c>
      <c r="K97" s="40" t="s">
        <v>75</v>
      </c>
      <c r="L97" s="16" t="s">
        <v>59</v>
      </c>
      <c r="M97" s="16"/>
      <c r="N97" s="40" t="s">
        <v>76</v>
      </c>
      <c r="O97" s="16"/>
      <c r="P97" s="16"/>
      <c r="Q97" s="40" t="s">
        <v>77</v>
      </c>
      <c r="R97" s="41" t="s">
        <v>79</v>
      </c>
      <c r="S97" s="16" t="s">
        <v>81</v>
      </c>
      <c r="T97" s="16"/>
      <c r="U97" s="16"/>
      <c r="AB97" s="61"/>
      <c r="BN97" s="24"/>
      <c r="BO97" s="16"/>
    </row>
    <row r="98" spans="1:67" customFormat="1" ht="17.25" customHeight="1" outlineLevel="1" thickBot="1">
      <c r="A98" s="16"/>
      <c r="B98" s="16"/>
      <c r="C98" s="59"/>
      <c r="D98" s="59"/>
      <c r="E98" s="59"/>
      <c r="F98" s="59"/>
      <c r="G98" s="59"/>
      <c r="H98" s="16"/>
      <c r="I98" s="40"/>
      <c r="J98" s="42">
        <f>O66</f>
        <v>28.916666666666668</v>
      </c>
      <c r="K98" s="40" t="s">
        <v>75</v>
      </c>
      <c r="L98" s="43">
        <f>O67</f>
        <v>0</v>
      </c>
      <c r="M98" s="16"/>
      <c r="N98" s="1369" t="s">
        <v>146</v>
      </c>
      <c r="O98" s="1369"/>
      <c r="P98" s="1369"/>
      <c r="Q98" s="40" t="s">
        <v>77</v>
      </c>
      <c r="R98" s="44">
        <v>0</v>
      </c>
      <c r="S98" s="16"/>
      <c r="T98" s="16"/>
      <c r="U98" s="16"/>
      <c r="AB98" s="61"/>
      <c r="BN98" s="24"/>
      <c r="BO98" s="16"/>
    </row>
    <row r="99" spans="1:67" customFormat="1" ht="17.25" customHeight="1" outlineLevel="1" thickTop="1" thickBot="1">
      <c r="A99" s="16"/>
      <c r="B99" s="16"/>
      <c r="C99" s="59"/>
      <c r="D99" s="59"/>
      <c r="E99" s="59"/>
      <c r="F99" s="59"/>
      <c r="G99" s="59"/>
      <c r="H99" s="16"/>
      <c r="I99" s="40"/>
      <c r="K99" s="40"/>
      <c r="L99" s="74" cm="1">
        <f t="array" ref="L99">angleConvert2Decimal(L98)</f>
        <v>0</v>
      </c>
      <c r="N99" s="1370" cm="1">
        <f t="array" ref="N99">angleConvert2Decimal(N98)</f>
        <v>0.17166666666666669</v>
      </c>
      <c r="O99" s="1370"/>
      <c r="P99" s="1370"/>
      <c r="Q99" s="11"/>
      <c r="R99" s="74" cm="1">
        <f t="array" ref="R99">angleConvert2Decimal(R98)</f>
        <v>0</v>
      </c>
      <c r="T99" s="7" t="s">
        <v>103</v>
      </c>
      <c r="U99" s="7"/>
      <c r="V99" s="7">
        <f>R99+N99</f>
        <v>0.17166666666666669</v>
      </c>
      <c r="W99" s="751" t="str" cm="1">
        <f t="array" ref="W99">angleDecimal2Txt(V99)</f>
        <v>+00°10.30 (+00.1716) [+00°10'18.00]</v>
      </c>
      <c r="X99" s="752"/>
      <c r="Y99" s="752"/>
      <c r="Z99" s="752"/>
      <c r="AA99" s="438"/>
      <c r="AB99" s="61"/>
      <c r="BN99" s="24"/>
      <c r="BO99" s="16"/>
    </row>
    <row r="100" spans="1:67" customFormat="1" ht="17.25" customHeight="1" outlineLevel="1" thickTop="1" thickBot="1">
      <c r="A100" s="16"/>
      <c r="B100" s="16"/>
      <c r="C100" s="59"/>
      <c r="D100" s="59"/>
      <c r="E100" s="59"/>
      <c r="F100" s="59"/>
      <c r="G100" s="59"/>
      <c r="H100" s="16"/>
      <c r="I100" s="40"/>
      <c r="J100" s="16"/>
      <c r="K100" s="40"/>
      <c r="L100" s="16"/>
      <c r="M100" s="16"/>
      <c r="N100" s="40"/>
      <c r="O100" s="16"/>
      <c r="P100" s="16"/>
      <c r="Q100" s="40"/>
      <c r="R100" s="45"/>
      <c r="S100" s="16"/>
      <c r="T100" s="16"/>
      <c r="U100" s="16"/>
      <c r="V100" s="16"/>
      <c r="W100" s="16"/>
      <c r="X100" s="16"/>
      <c r="Y100" s="16"/>
      <c r="Z100" s="16"/>
      <c r="AA100" s="16"/>
      <c r="AB100" s="61"/>
      <c r="BN100" s="24"/>
      <c r="BO100" s="16"/>
    </row>
    <row r="101" spans="1:67" customFormat="1" ht="17.25" customHeight="1" outlineLevel="1" thickTop="1" thickBot="1">
      <c r="A101" s="16"/>
      <c r="B101" s="16"/>
      <c r="C101" s="59"/>
      <c r="D101" s="59"/>
      <c r="E101" s="59"/>
      <c r="F101" s="59"/>
      <c r="G101" s="59"/>
      <c r="H101" s="745" t="s">
        <v>145</v>
      </c>
      <c r="I101" s="746"/>
      <c r="J101" s="746"/>
      <c r="K101" s="746"/>
      <c r="L101" s="746"/>
      <c r="M101" s="746"/>
      <c r="N101" s="747"/>
      <c r="O101" s="473">
        <f>J98-L99+N99+R99</f>
        <v>29.088333333333335</v>
      </c>
      <c r="P101" s="440"/>
      <c r="Q101" s="440"/>
      <c r="R101" s="440"/>
      <c r="S101" s="16" t="s">
        <v>54</v>
      </c>
      <c r="T101" s="16"/>
      <c r="U101" s="416" t="str" cm="1">
        <f t="array" ref="U101">angleDecimal2Txt(O101)</f>
        <v>+29°05.29 (+29.0883) [+29°05'18.00]</v>
      </c>
      <c r="V101" s="416"/>
      <c r="W101" s="416"/>
      <c r="X101" s="416"/>
      <c r="Y101" s="416"/>
      <c r="Z101" s="416"/>
      <c r="AA101" s="16"/>
      <c r="AB101" s="61"/>
      <c r="BN101" s="24"/>
      <c r="BO101" s="16"/>
    </row>
    <row r="102" spans="1:67" customFormat="1" ht="17.25" customHeight="1" thickTop="1" thickBot="1">
      <c r="A102" s="16"/>
      <c r="B102" s="16"/>
      <c r="C102" s="59"/>
      <c r="D102" s="46"/>
      <c r="E102" s="59"/>
      <c r="F102" s="59"/>
      <c r="G102" s="59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61"/>
      <c r="BN102" s="24"/>
      <c r="BO102" s="16"/>
    </row>
    <row r="103" spans="1:67" s="16" customFormat="1" ht="17.25" customHeight="1" thickBot="1">
      <c r="B103" s="25" t="s">
        <v>44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79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Z103"/>
      <c r="BA103"/>
      <c r="BB103"/>
      <c r="BC103"/>
      <c r="BD103"/>
      <c r="BE103"/>
      <c r="BF103"/>
      <c r="BG103"/>
    </row>
    <row r="104" spans="1:67" s="16" customFormat="1" ht="17.25" customHeight="1">
      <c r="D104" s="1321" t="s">
        <v>154</v>
      </c>
      <c r="E104" s="1322"/>
      <c r="F104" s="1322"/>
      <c r="G104" s="1322"/>
      <c r="H104" s="1330">
        <f>90-P105</f>
        <v>0.61499999999999488</v>
      </c>
      <c r="I104" s="1330"/>
      <c r="J104" s="1330"/>
      <c r="K104" s="1330"/>
      <c r="L104" s="1330"/>
      <c r="N104" s="1333" t="s">
        <v>155</v>
      </c>
      <c r="O104" s="1333"/>
      <c r="P104" s="1333"/>
      <c r="Q104" s="1333"/>
      <c r="R104" s="1333"/>
      <c r="S104" s="1333"/>
      <c r="T104" s="1333"/>
      <c r="U104" s="1333"/>
      <c r="V104" s="1333"/>
      <c r="W104" s="1333"/>
      <c r="AA104"/>
      <c r="AB104" s="83"/>
      <c r="AC104"/>
      <c r="AD104"/>
      <c r="AE104"/>
      <c r="AF104"/>
      <c r="AL104" s="77"/>
      <c r="AZ104"/>
      <c r="BA104"/>
      <c r="BB104"/>
      <c r="BC104"/>
      <c r="BD104"/>
      <c r="BE104"/>
      <c r="BF104"/>
      <c r="BG104"/>
    </row>
    <row r="105" spans="1:67" s="16" customFormat="1" ht="17.25" customHeight="1" thickBot="1">
      <c r="C105" s="84"/>
      <c r="D105" s="1323"/>
      <c r="E105" s="1324"/>
      <c r="F105" s="1324"/>
      <c r="G105" s="1324"/>
      <c r="H105" s="1330"/>
      <c r="I105" s="1330"/>
      <c r="J105" s="1330"/>
      <c r="K105" s="1330"/>
      <c r="L105" s="1330"/>
      <c r="M105" s="48" t="s">
        <v>116</v>
      </c>
      <c r="N105" s="1320" t="s">
        <v>84</v>
      </c>
      <c r="O105" s="1320"/>
      <c r="P105" s="1320">
        <f>F27</f>
        <v>89.385000000000005</v>
      </c>
      <c r="Q105" s="1320"/>
      <c r="R105" s="1320"/>
      <c r="S105" s="78" t="s">
        <v>54</v>
      </c>
      <c r="T105" s="1320">
        <f>P105*Outils!$F$4</f>
        <v>1.5600625518951317</v>
      </c>
      <c r="U105" s="1320"/>
      <c r="V105" s="1320"/>
      <c r="W105" s="78" t="s">
        <v>64</v>
      </c>
      <c r="AA105"/>
      <c r="AB105" s="83"/>
      <c r="AC105"/>
      <c r="AD105"/>
      <c r="AE105"/>
      <c r="AF105"/>
      <c r="AL105" s="77"/>
      <c r="AZ105"/>
      <c r="BA105"/>
      <c r="BB105"/>
      <c r="BC105"/>
      <c r="BD105"/>
      <c r="BE105"/>
      <c r="BF105"/>
      <c r="BG105"/>
    </row>
    <row r="106" spans="1:67" s="16" customFormat="1" ht="17.25" customHeight="1" thickTop="1" thickBot="1">
      <c r="C106" s="84"/>
      <c r="D106" s="1325"/>
      <c r="E106" s="1326"/>
      <c r="F106" s="1326"/>
      <c r="G106" s="1326"/>
      <c r="H106" s="1331" t="str" cm="1">
        <f t="array" ref="H106">angleDecimal2Txt(H104)</f>
        <v>+00°36.89 (+00.6149) [+00°36'53.99]</v>
      </c>
      <c r="I106" s="1331"/>
      <c r="J106" s="1331"/>
      <c r="K106" s="1331"/>
      <c r="L106" s="1331"/>
      <c r="N106" s="1329"/>
      <c r="O106" s="1329"/>
      <c r="P106" s="1329"/>
      <c r="Q106" s="1329"/>
      <c r="R106" s="1329"/>
      <c r="S106" s="84"/>
      <c r="T106" s="1329"/>
      <c r="U106" s="1329"/>
      <c r="V106" s="1329"/>
      <c r="W106" s="84"/>
      <c r="AA106"/>
      <c r="AB106" s="83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67" s="16" customFormat="1" ht="17.25" customHeight="1" thickTop="1">
      <c r="N107" s="1328"/>
      <c r="O107" s="1329"/>
      <c r="P107" s="1329"/>
      <c r="Q107" s="1329"/>
      <c r="R107" s="1329"/>
      <c r="S107" s="1329"/>
      <c r="T107" s="1329"/>
      <c r="U107" s="1329"/>
      <c r="V107" s="1329"/>
      <c r="W107" s="1329"/>
      <c r="X107" s="1329"/>
      <c r="Y107" s="1329"/>
      <c r="Z107" s="1329"/>
      <c r="AA107"/>
      <c r="AB107" s="83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67" s="16" customFormat="1" ht="17.25" customHeight="1">
      <c r="D108" s="1321" t="s">
        <v>156</v>
      </c>
      <c r="E108" s="1322"/>
      <c r="F108" s="1322"/>
      <c r="G108" s="1322"/>
      <c r="H108" s="1330">
        <f>-H104*COS(T109)</f>
        <v>0.20457604995500583</v>
      </c>
      <c r="I108" s="1330"/>
      <c r="J108" s="1330"/>
      <c r="K108" s="1330"/>
      <c r="L108" s="1330"/>
      <c r="N108" s="1332" t="s">
        <v>159</v>
      </c>
      <c r="O108" s="1333"/>
      <c r="P108" s="1333"/>
      <c r="Q108" s="1333"/>
      <c r="R108" s="1333"/>
      <c r="S108" s="1333"/>
      <c r="T108" s="1333"/>
      <c r="U108" s="1333"/>
      <c r="V108" s="1333"/>
      <c r="W108" s="1333"/>
      <c r="X108" s="84"/>
      <c r="Y108" s="84"/>
      <c r="Z108" s="84"/>
      <c r="AA108"/>
      <c r="AB108" s="83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67" s="16" customFormat="1" ht="17.25" customHeight="1" thickBot="1">
      <c r="C109" s="84"/>
      <c r="D109" s="1323"/>
      <c r="E109" s="1324"/>
      <c r="F109" s="1324"/>
      <c r="G109" s="1324"/>
      <c r="H109" s="1330"/>
      <c r="I109" s="1330"/>
      <c r="J109" s="1330"/>
      <c r="K109" s="1330"/>
      <c r="L109" s="1330"/>
      <c r="M109" s="48" t="s">
        <v>116</v>
      </c>
      <c r="N109" s="1320" t="s">
        <v>43</v>
      </c>
      <c r="O109" s="1320"/>
      <c r="P109" s="1320">
        <f>F59</f>
        <v>250.57066666666674</v>
      </c>
      <c r="Q109" s="1320"/>
      <c r="R109" s="1320"/>
      <c r="S109" s="78" t="s">
        <v>54</v>
      </c>
      <c r="T109" s="1320">
        <f>P109*Outils!$F$4</f>
        <v>4.3732831422505392</v>
      </c>
      <c r="U109" s="1320"/>
      <c r="V109" s="1320"/>
      <c r="W109" s="78" t="s">
        <v>64</v>
      </c>
      <c r="X109" s="84"/>
      <c r="Y109" s="84"/>
      <c r="Z109" s="84"/>
      <c r="AA109"/>
      <c r="AB109" s="83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67" s="16" customFormat="1" ht="17.25" customHeight="1" thickTop="1" thickBot="1">
      <c r="C110" s="84"/>
      <c r="D110" s="1325"/>
      <c r="E110" s="1326"/>
      <c r="F110" s="1326"/>
      <c r="G110" s="1326"/>
      <c r="H110" s="1319" t="str" cm="1">
        <f t="array" ref="H110">angleDecimal2Txt(H108)</f>
        <v>+00°12.27 (+00.2045) [+00°12'16.47]</v>
      </c>
      <c r="I110" s="1319"/>
      <c r="J110" s="1319"/>
      <c r="K110" s="1319"/>
      <c r="L110" s="1319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" t="s">
        <v>445</v>
      </c>
      <c r="Z110" s="84"/>
      <c r="AA110"/>
      <c r="AB110" s="83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67" s="16" customFormat="1" ht="17.25" customHeight="1" thickTop="1">
      <c r="C111" s="84"/>
      <c r="AA111"/>
      <c r="AB111" s="83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67" s="16" customFormat="1" ht="17.25" customHeight="1">
      <c r="D112" s="1327" t="s">
        <v>157</v>
      </c>
      <c r="E112" s="1322"/>
      <c r="F112" s="1322"/>
      <c r="G112" s="1322"/>
      <c r="H112" s="1330">
        <f>F63+H108</f>
        <v>29.023955618015801</v>
      </c>
      <c r="I112" s="1330"/>
      <c r="J112" s="1330"/>
      <c r="K112" s="1330"/>
      <c r="L112" s="1330"/>
      <c r="N112" s="1333" t="s">
        <v>161</v>
      </c>
      <c r="O112" s="1333"/>
      <c r="P112" s="1333"/>
      <c r="Q112" s="1333"/>
      <c r="R112" s="1333"/>
      <c r="S112" s="1333"/>
      <c r="T112" s="1333"/>
      <c r="U112" s="1333"/>
      <c r="V112" s="1333"/>
      <c r="W112" s="1333"/>
      <c r="X112" s="84"/>
      <c r="Y112" s="84"/>
      <c r="AA112"/>
      <c r="AB112" s="83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s="16" customFormat="1" ht="17.25" customHeight="1" thickBot="1">
      <c r="C113" s="84"/>
      <c r="D113" s="1323"/>
      <c r="E113" s="1324"/>
      <c r="F113" s="1324"/>
      <c r="G113" s="1324"/>
      <c r="H113" s="1330"/>
      <c r="I113" s="1330"/>
      <c r="J113" s="1330"/>
      <c r="K113" s="1330"/>
      <c r="L113" s="1330"/>
      <c r="M113" s="48" t="s">
        <v>116</v>
      </c>
      <c r="N113" s="1320" t="s">
        <v>101</v>
      </c>
      <c r="O113" s="1320"/>
      <c r="P113" s="1320">
        <f>F63</f>
        <v>28.819379568060796</v>
      </c>
      <c r="Q113" s="1320"/>
      <c r="R113" s="1320"/>
      <c r="S113" s="78" t="s">
        <v>54</v>
      </c>
      <c r="T113" s="1320">
        <f>P113*Outils!$F$4</f>
        <v>0.5029930618446421</v>
      </c>
      <c r="U113" s="1320"/>
      <c r="V113" s="1320"/>
      <c r="W113" s="78" t="s">
        <v>64</v>
      </c>
      <c r="X113" s="1329"/>
      <c r="Y113" s="1329"/>
      <c r="AA113"/>
      <c r="AB113" s="8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s="16" customFormat="1" ht="17.25" customHeight="1" thickTop="1" thickBot="1">
      <c r="C114" s="84"/>
      <c r="D114" s="1325"/>
      <c r="E114" s="1326"/>
      <c r="F114" s="1326"/>
      <c r="G114" s="1326"/>
      <c r="H114" s="1331" t="str" cm="1">
        <f t="array" ref="H114">angleDecimal2Txt(H112)</f>
        <v>+29°01.43 (+29.0239) [+29°01'26.24]</v>
      </c>
      <c r="I114" s="1331"/>
      <c r="J114" s="1331"/>
      <c r="K114" s="1331"/>
      <c r="L114" s="1331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AA114"/>
      <c r="AB114" s="8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s="16" customFormat="1" ht="17.25" customHeight="1" thickTop="1">
      <c r="C115" s="84"/>
      <c r="S115" s="84"/>
      <c r="T115" s="84"/>
      <c r="U115" s="84"/>
      <c r="V115" s="84"/>
      <c r="W115" s="84"/>
      <c r="X115" s="84"/>
      <c r="AA115"/>
      <c r="AB115" s="83"/>
      <c r="AC115" t="s">
        <v>198</v>
      </c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s="16" customFormat="1" ht="17.25" customHeight="1">
      <c r="D116" s="1327" t="s">
        <v>158</v>
      </c>
      <c r="E116" s="1322"/>
      <c r="F116" s="1322"/>
      <c r="G116" s="1322"/>
      <c r="H116" s="892">
        <f>AF120</f>
        <v>0.66327315444081658</v>
      </c>
      <c r="I116" s="892"/>
      <c r="J116" s="892"/>
      <c r="K116" s="892"/>
      <c r="L116" s="892"/>
      <c r="N116" s="1332" t="s">
        <v>160</v>
      </c>
      <c r="O116" s="1333"/>
      <c r="P116" s="1333"/>
      <c r="Q116" s="1333"/>
      <c r="R116" s="1333"/>
      <c r="S116" s="1333"/>
      <c r="T116" s="1333"/>
      <c r="U116" s="1333"/>
      <c r="V116" s="1333"/>
      <c r="W116" s="1333"/>
      <c r="X116" s="84"/>
      <c r="AA116"/>
      <c r="AB116" s="83"/>
      <c r="AC116" s="40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s="16" customFormat="1" ht="17.25" customHeight="1" thickBot="1">
      <c r="D117" s="1323"/>
      <c r="E117" s="1324"/>
      <c r="F117" s="1324"/>
      <c r="G117" s="1324"/>
      <c r="H117" s="892"/>
      <c r="I117" s="892"/>
      <c r="J117" s="892"/>
      <c r="K117" s="892"/>
      <c r="L117" s="892"/>
      <c r="M117" s="48" t="s">
        <v>116</v>
      </c>
      <c r="N117" s="1320" t="s">
        <v>43</v>
      </c>
      <c r="O117" s="1320"/>
      <c r="P117" s="1320">
        <f>F59</f>
        <v>250.57066666666674</v>
      </c>
      <c r="Q117" s="1320"/>
      <c r="R117" s="1320"/>
      <c r="S117" s="78" t="s">
        <v>54</v>
      </c>
      <c r="T117" s="1320">
        <f>P117*Outils!$F$4</f>
        <v>4.3732831422505392</v>
      </c>
      <c r="U117" s="1320"/>
      <c r="V117" s="1320"/>
      <c r="W117" s="78" t="s">
        <v>64</v>
      </c>
      <c r="X117" s="84"/>
      <c r="AA117"/>
      <c r="AB117" s="83"/>
      <c r="AC117" s="11" t="s">
        <v>441</v>
      </c>
      <c r="AD117">
        <f>-1*H104</f>
        <v>-0.61499999999999488</v>
      </c>
      <c r="AE117" t="s">
        <v>54</v>
      </c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s="16" customFormat="1" ht="17.25" customHeight="1" thickTop="1" thickBot="1">
      <c r="D118" s="1325"/>
      <c r="E118" s="1326"/>
      <c r="F118" s="1326"/>
      <c r="G118" s="1326"/>
      <c r="H118" s="1319" t="str" cm="1">
        <f t="array" ref="H118">angleDecimal2Txt(H116)</f>
        <v>+00°39.79 (+00.6632) [+00°39'47.78]</v>
      </c>
      <c r="I118" s="1319"/>
      <c r="J118" s="1319"/>
      <c r="K118" s="1319"/>
      <c r="L118" s="1319"/>
      <c r="N118" s="1320" t="s">
        <v>41</v>
      </c>
      <c r="O118" s="1320"/>
      <c r="P118" s="1320">
        <f>H112</f>
        <v>29.023955618015801</v>
      </c>
      <c r="Q118" s="1320"/>
      <c r="R118" s="1320"/>
      <c r="S118" s="78" t="s">
        <v>54</v>
      </c>
      <c r="T118" s="1320">
        <f>P118*Outils!$F$4</f>
        <v>0.50656358748708141</v>
      </c>
      <c r="U118" s="1320"/>
      <c r="V118" s="1320"/>
      <c r="W118" s="78" t="s">
        <v>64</v>
      </c>
      <c r="AA118"/>
      <c r="AB118" s="83"/>
      <c r="AC118" t="s">
        <v>442</v>
      </c>
      <c r="AD118">
        <f>SIN(T117)</f>
        <v>-0.94305248005101083</v>
      </c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s="16" customFormat="1" ht="17.25" customHeight="1" thickTop="1"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/>
      <c r="AB119" s="83"/>
      <c r="AC119" t="s">
        <v>443</v>
      </c>
      <c r="AD119">
        <f>COS(T118)</f>
        <v>0.87441692965898243</v>
      </c>
      <c r="AE119"/>
      <c r="AF119"/>
      <c r="AL119" s="77"/>
      <c r="AZ119"/>
      <c r="BA119"/>
      <c r="BB119"/>
      <c r="BC119"/>
      <c r="BD119"/>
      <c r="BE119"/>
      <c r="BF119"/>
      <c r="BG119"/>
    </row>
    <row r="120" spans="1:59" s="16" customFormat="1" ht="17.25" customHeight="1">
      <c r="A120"/>
      <c r="B120"/>
      <c r="C120"/>
      <c r="D120"/>
      <c r="E120" s="84"/>
      <c r="F120" s="59"/>
      <c r="G120" s="84"/>
      <c r="H120" s="84"/>
      <c r="I120" s="84"/>
      <c r="J120" s="84"/>
      <c r="K120" s="84"/>
      <c r="L120" s="84"/>
      <c r="M120" s="1329"/>
      <c r="N120" s="1329"/>
      <c r="O120" s="84"/>
      <c r="P120" s="1329"/>
      <c r="Q120" s="1329"/>
      <c r="R120" s="1329"/>
      <c r="S120" s="1329"/>
      <c r="T120" s="1329"/>
      <c r="U120" s="1329"/>
      <c r="V120" s="84"/>
      <c r="W120" s="1329"/>
      <c r="X120" s="1329"/>
      <c r="Y120" s="1329"/>
      <c r="Z120" s="84"/>
      <c r="AA120"/>
      <c r="AB120" s="83"/>
      <c r="AC120" s="11" t="s">
        <v>444</v>
      </c>
      <c r="AD120">
        <f>AD117*AD118/AD119</f>
        <v>0.66327315444081658</v>
      </c>
      <c r="AE120" t="s">
        <v>54</v>
      </c>
      <c r="AF120">
        <f>IF(AD120&lt;0,360+AD120,IF(AD120&gt;360,AD120-360,AD120))</f>
        <v>0.66327315444081658</v>
      </c>
      <c r="AG120" s="16" t="s">
        <v>54</v>
      </c>
      <c r="AL120" s="77"/>
      <c r="AZ120"/>
      <c r="BA120"/>
      <c r="BB120"/>
      <c r="BC120"/>
      <c r="BD120"/>
      <c r="BE120"/>
      <c r="BF120"/>
      <c r="BG120"/>
    </row>
    <row r="121" spans="1:59" s="16" customFormat="1" ht="17.25" customHeight="1">
      <c r="A121"/>
      <c r="B121"/>
      <c r="C121"/>
      <c r="D121"/>
      <c r="E121" s="59"/>
      <c r="F121" s="59"/>
      <c r="G121" s="84"/>
      <c r="H121" s="1329"/>
      <c r="I121" s="1329"/>
      <c r="J121" s="84"/>
      <c r="K121" s="1329"/>
      <c r="L121" s="1329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/>
      <c r="AB121" s="83"/>
      <c r="AD121"/>
      <c r="AE121"/>
      <c r="AF121"/>
      <c r="AL121" s="77"/>
      <c r="AZ121"/>
      <c r="BA121"/>
      <c r="BB121"/>
      <c r="BC121"/>
      <c r="BD121"/>
      <c r="BE121"/>
      <c r="BF121"/>
      <c r="BG121"/>
    </row>
    <row r="122" spans="1:59" s="16" customFormat="1" ht="17.25" customHeight="1">
      <c r="A122"/>
      <c r="B122"/>
      <c r="C122"/>
      <c r="D122"/>
      <c r="H122" s="1329"/>
      <c r="I122" s="1329"/>
      <c r="J122" s="84"/>
      <c r="K122" s="1329"/>
      <c r="L122" s="1329"/>
      <c r="M122" s="84"/>
      <c r="N122" s="1329"/>
      <c r="O122" s="1329"/>
      <c r="P122" s="1329"/>
      <c r="Q122" s="1329"/>
      <c r="R122" s="1329"/>
      <c r="S122" s="1329"/>
      <c r="T122" s="1329"/>
      <c r="U122" s="84"/>
      <c r="V122" s="84"/>
      <c r="W122" s="84"/>
      <c r="X122" s="84"/>
      <c r="Y122" s="84"/>
      <c r="Z122" s="84"/>
      <c r="AA122"/>
      <c r="AB122" s="83"/>
      <c r="AC122"/>
      <c r="AD122"/>
      <c r="AE122"/>
      <c r="AF122"/>
      <c r="AL122" s="77"/>
      <c r="AZ122"/>
      <c r="BA122"/>
      <c r="BB122"/>
      <c r="BC122"/>
      <c r="BD122"/>
      <c r="BE122"/>
      <c r="BF122"/>
      <c r="BG122"/>
    </row>
    <row r="123" spans="1:59" s="16" customFormat="1" ht="17.25" customHeight="1">
      <c r="C123" s="59"/>
      <c r="H123" s="1329"/>
      <c r="I123" s="1329"/>
      <c r="J123" s="1329"/>
      <c r="K123" s="1329"/>
      <c r="L123" s="1329"/>
      <c r="M123" s="84"/>
      <c r="N123" s="84"/>
      <c r="O123" s="84"/>
      <c r="P123" s="84"/>
      <c r="Q123" s="84"/>
      <c r="R123" s="84"/>
      <c r="S123" s="1329"/>
      <c r="T123" s="1329"/>
      <c r="U123" s="1329"/>
      <c r="V123" s="1329"/>
      <c r="W123" s="1329"/>
      <c r="X123" s="1329"/>
      <c r="Y123" s="84"/>
      <c r="Z123" s="84"/>
      <c r="AA123"/>
      <c r="AB123" s="83"/>
      <c r="AC123"/>
      <c r="AD123"/>
      <c r="AE123"/>
      <c r="AF123"/>
      <c r="AL123" s="77"/>
    </row>
    <row r="124" spans="1:59" s="16" customFormat="1" ht="17.25" customHeight="1" thickBot="1">
      <c r="C124" s="59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/>
      <c r="AB124" s="83"/>
      <c r="AC124"/>
      <c r="AD124"/>
      <c r="AE124"/>
      <c r="AF124"/>
      <c r="AL124" s="77"/>
    </row>
    <row r="125" spans="1:59" customFormat="1" ht="15.75" thickBot="1">
      <c r="B125" s="109" t="s">
        <v>542</v>
      </c>
      <c r="C125" s="110"/>
      <c r="D125" s="110"/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1"/>
    </row>
    <row r="126" spans="1:59" customFormat="1" ht="15">
      <c r="K126" s="92"/>
      <c r="L126" s="92"/>
    </row>
    <row r="127" spans="1:59" customFormat="1" ht="15">
      <c r="B127" s="705" t="s">
        <v>1</v>
      </c>
      <c r="C127" s="705"/>
      <c r="D127" s="705" t="str">
        <f>E7</f>
        <v>20/10/2029</v>
      </c>
      <c r="E127" s="705"/>
      <c r="F127" s="705"/>
      <c r="G127" s="705"/>
      <c r="H127" s="234" t="s">
        <v>2</v>
      </c>
      <c r="I127" s="705" t="str">
        <f>G7</f>
        <v>18:48:30.00(18.8083)</v>
      </c>
      <c r="J127" s="705"/>
      <c r="K127" s="705"/>
      <c r="L127" s="705"/>
    </row>
    <row r="128" spans="1:59" customFormat="1" ht="15">
      <c r="B128" s="706" t="s">
        <v>30</v>
      </c>
      <c r="C128" s="706"/>
      <c r="D128" s="994" t="s">
        <v>437</v>
      </c>
      <c r="E128" s="994"/>
      <c r="F128" s="994"/>
      <c r="G128" s="994"/>
      <c r="H128" s="228"/>
      <c r="I128" s="228"/>
      <c r="J128" s="228"/>
      <c r="K128" s="228"/>
      <c r="L128" s="228"/>
      <c r="AA128" s="225"/>
    </row>
    <row r="129" spans="2:65" customFormat="1" ht="15">
      <c r="B129" s="224"/>
      <c r="C129" s="224"/>
      <c r="D129" s="227"/>
      <c r="E129" s="224"/>
      <c r="AA129" s="225"/>
    </row>
    <row r="130" spans="2:65" s="92" customFormat="1" ht="17.25" customHeight="1" thickBot="1">
      <c r="B130" s="231" t="s">
        <v>401</v>
      </c>
      <c r="C130" s="231"/>
      <c r="D130" s="231"/>
      <c r="E130" s="231"/>
      <c r="F130" s="230"/>
      <c r="G130" s="230"/>
      <c r="H130" s="229"/>
      <c r="I130" s="229"/>
      <c r="J130" s="229"/>
      <c r="K130" s="229"/>
      <c r="L130" s="229"/>
      <c r="M130" s="229"/>
      <c r="N130" s="229"/>
      <c r="O130" s="229"/>
      <c r="P130" s="229"/>
      <c r="Q130" s="229"/>
      <c r="AB130" s="61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2:65" s="92" customFormat="1" ht="17.25" customHeight="1" thickTop="1">
      <c r="C131" s="759" t="s">
        <v>402</v>
      </c>
      <c r="D131" s="759"/>
      <c r="E131" s="759" t="str" cm="1">
        <f t="array" ref="E131">angleDecimal2Txt(angleConvert2Decimal(M17))</f>
        <v>+28°55.00 (+28.9166) [+28°55'00.00]</v>
      </c>
      <c r="F131" s="759"/>
      <c r="G131" s="759"/>
      <c r="H131" s="759"/>
      <c r="I131" s="759"/>
      <c r="AB131" s="6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</row>
    <row r="132" spans="2:65" s="92" customFormat="1" ht="17.25" customHeight="1">
      <c r="C132" s="753" t="s">
        <v>403</v>
      </c>
      <c r="D132" s="753"/>
      <c r="E132" s="814" t="str" cm="1">
        <f t="array" ref="E132">angleDecimal2Txt(angleConvert2Decimal(M16))</f>
        <v>+00°00.00 (+00.0000) [+00°00'00.00]</v>
      </c>
      <c r="F132" s="814"/>
      <c r="G132" s="814"/>
      <c r="H132" s="814"/>
      <c r="I132" s="814"/>
      <c r="AB132" s="61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</row>
    <row r="133" spans="2:65" s="92" customFormat="1" ht="17.25" customHeight="1">
      <c r="C133" s="705" t="s">
        <v>404</v>
      </c>
      <c r="D133" s="705"/>
      <c r="E133" s="815" t="str">
        <f>CONCATENATE(M15, " m")</f>
        <v>5,28 m</v>
      </c>
      <c r="F133" s="815"/>
      <c r="G133" s="815"/>
      <c r="H133" s="815"/>
      <c r="I133" s="815"/>
      <c r="AB133" s="61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</row>
    <row r="134" spans="2:65" s="92" customFormat="1" ht="17.25" customHeight="1">
      <c r="E134" s="754" t="str" cm="1">
        <f t="array" ref="E134">angleDecimal2Txt(O70)</f>
        <v>+28°50.96 (+28.8493) [+28°50'57.62]</v>
      </c>
      <c r="F134" s="754"/>
      <c r="G134" s="754"/>
      <c r="H134" s="754"/>
      <c r="I134" s="754"/>
      <c r="J134" s="754" t="s">
        <v>406</v>
      </c>
      <c r="K134" s="754"/>
      <c r="L134" s="754"/>
      <c r="AB134" s="61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</row>
    <row r="135" spans="2:65" s="92" customFormat="1" ht="17.25" customHeight="1">
      <c r="E135" s="232"/>
      <c r="F135" s="766" t="s">
        <v>404</v>
      </c>
      <c r="G135" s="768"/>
      <c r="H135" s="755" t="str" cm="1">
        <f t="array" ref="H135">angleDecimal2Txt(O68)</f>
        <v>+00°04.03 (+00.0673) [+00°04'02.37]</v>
      </c>
      <c r="I135" s="755"/>
      <c r="J135" s="755"/>
      <c r="K135" s="755"/>
      <c r="L135" s="755"/>
      <c r="AB135" s="61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</row>
    <row r="136" spans="2:65" s="92" customFormat="1" ht="17.25" customHeight="1">
      <c r="F136" s="766" t="s">
        <v>411</v>
      </c>
      <c r="G136" s="768"/>
      <c r="H136" s="995" t="str" cm="1">
        <f t="array" ref="H136">angleDecimal2Txt(O80)</f>
        <v>+00°01.79 (+00.0299) [+00°01'47.85]</v>
      </c>
      <c r="I136" s="996"/>
      <c r="J136" s="996"/>
      <c r="K136" s="996"/>
      <c r="L136" s="1203"/>
      <c r="AB136" s="61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</row>
    <row r="137" spans="2:65" s="92" customFormat="1" ht="17.25" customHeight="1">
      <c r="D137" s="226"/>
      <c r="E137" s="754" t="str" cm="1">
        <f t="array" ref="E137">angleDecimal2Txt(F63)</f>
        <v>+28°49.16 (+28.8193) [+28°49'09.76]</v>
      </c>
      <c r="F137" s="754"/>
      <c r="G137" s="754"/>
      <c r="H137" s="754"/>
      <c r="I137" s="754"/>
      <c r="J137" s="754" t="s">
        <v>405</v>
      </c>
      <c r="K137" s="754"/>
      <c r="L137" s="754"/>
      <c r="AB137" s="61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</row>
    <row r="138" spans="2:65" s="92" customFormat="1" ht="17.25" customHeight="1">
      <c r="D138" s="226"/>
      <c r="F138" s="756" t="str" cm="1">
        <f t="array" ref="F138">angleDecimal2Txt(O75-O80-O68)</f>
        <v>-00°05.83 (-00.0972) [-00°05'50.23]</v>
      </c>
      <c r="G138" s="756"/>
      <c r="H138" s="756"/>
      <c r="I138" s="756"/>
      <c r="J138" s="756"/>
      <c r="K138" s="756" t="s">
        <v>413</v>
      </c>
      <c r="L138" s="756"/>
      <c r="M138" s="756"/>
      <c r="N138" s="797" t="s">
        <v>428</v>
      </c>
      <c r="O138" s="797"/>
      <c r="P138" s="797"/>
      <c r="AB138" s="61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</row>
    <row r="139" spans="2:65" s="92" customFormat="1" ht="17.25" customHeight="1">
      <c r="D139" s="226"/>
      <c r="F139" s="756" t="str" cm="1">
        <f t="array" ref="F139">angleDecimal2Txt(O75-O80-O68+O84)</f>
        <v>-00°05.83 (-00.0972) [-00°05'50.23]</v>
      </c>
      <c r="G139" s="756"/>
      <c r="H139" s="756"/>
      <c r="I139" s="756"/>
      <c r="J139" s="756"/>
      <c r="K139" s="756" t="s">
        <v>409</v>
      </c>
      <c r="L139" s="756"/>
      <c r="M139" s="756"/>
      <c r="N139" s="797"/>
      <c r="O139" s="797"/>
      <c r="P139" s="797"/>
      <c r="AB139" s="61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</row>
    <row r="140" spans="2:65" s="92" customFormat="1" ht="17.25" customHeight="1">
      <c r="D140" s="226"/>
      <c r="F140" s="756" t="str" cm="1">
        <f t="array" ref="F140">angleDecimal2Txt(O75-O80+O84)</f>
        <v>-00°01.79 (-00.0299) [-00°01'47.85]</v>
      </c>
      <c r="G140" s="756"/>
      <c r="H140" s="756"/>
      <c r="I140" s="756"/>
      <c r="J140" s="756"/>
      <c r="K140" s="756" t="s">
        <v>410</v>
      </c>
      <c r="L140" s="756"/>
      <c r="M140" s="756"/>
      <c r="N140" s="797"/>
      <c r="O140" s="797"/>
      <c r="P140" s="797"/>
      <c r="AB140" s="61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</row>
    <row r="141" spans="2:65" s="92" customFormat="1" ht="17.25" customHeight="1">
      <c r="AB141" s="6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</row>
    <row r="142" spans="2:65" s="92" customFormat="1" ht="17.25" customHeight="1">
      <c r="C142" s="226"/>
      <c r="AB142" s="61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</row>
    <row r="143" spans="2:65" s="92" customFormat="1" ht="17.25" customHeight="1" thickBot="1">
      <c r="B143" s="229" t="s">
        <v>62</v>
      </c>
      <c r="C143" s="230"/>
      <c r="D143" s="230"/>
      <c r="E143" s="230"/>
      <c r="F143" s="230"/>
      <c r="G143" s="230"/>
      <c r="H143" s="229"/>
      <c r="I143" s="229"/>
      <c r="J143" s="229"/>
      <c r="K143" s="229"/>
      <c r="L143" s="229"/>
      <c r="M143" s="229"/>
      <c r="N143" s="229"/>
      <c r="O143" s="229"/>
      <c r="P143" s="229"/>
      <c r="Q143" s="229"/>
      <c r="AB143" s="61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</row>
    <row r="144" spans="2:65" s="92" customFormat="1" ht="17.25" customHeight="1" thickTop="1">
      <c r="C144" s="819" t="s">
        <v>414</v>
      </c>
      <c r="D144" s="819"/>
      <c r="E144" s="819" t="str" cm="1">
        <f t="array" ref="E144">latitudeDecimal2Txt(G22)</f>
        <v>N 29°05.00 (N 29.0833) [N 29°05'00.00]</v>
      </c>
      <c r="F144" s="819"/>
      <c r="G144" s="819"/>
      <c r="H144" s="819"/>
      <c r="I144" s="819"/>
      <c r="J144" s="819"/>
      <c r="AB144" s="61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</row>
    <row r="145" spans="3:65" s="92" customFormat="1" ht="17.25" customHeight="1">
      <c r="C145" s="758" t="s">
        <v>415</v>
      </c>
      <c r="D145" s="758"/>
      <c r="E145" s="758" t="str" cm="1">
        <f t="array" ref="E145">longitudeDecimal2Txt(G24)</f>
        <v>W 12°30.00 (W 12.5000) [W 12°30'00.00]</v>
      </c>
      <c r="F145" s="758"/>
      <c r="G145" s="758"/>
      <c r="H145" s="758"/>
      <c r="I145" s="758"/>
      <c r="J145" s="758"/>
      <c r="AB145" s="61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</row>
    <row r="146" spans="3:65" s="92" customFormat="1" ht="17.25" customHeight="1">
      <c r="F146" s="1376" t="s">
        <v>439</v>
      </c>
      <c r="G146" s="1378" t="str">
        <f>CONCATENATE(" -",G37)</f>
        <v xml:space="preserve"> -Par interval</v>
      </c>
      <c r="H146" s="756">
        <f>IF(G37=AD37,M41,CONCATENATE("T0:",M50))</f>
        <v>18</v>
      </c>
      <c r="I146" s="756"/>
      <c r="J146" s="756"/>
      <c r="K146" s="756" t="str" cm="1">
        <f t="array" ref="K146">IF(G37=AD37,angleDecimal2Txt(AE40,0),CONCATENATE("Pos. à T0:",angleDecimal2Txt(AD49,0)))</f>
        <v>+299°29.00</v>
      </c>
      <c r="L146" s="756"/>
      <c r="M146" s="756"/>
      <c r="AB146" s="61"/>
      <c r="AC146" s="240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</row>
    <row r="147" spans="3:65" s="92" customFormat="1" ht="17.25" customHeight="1">
      <c r="F147" s="1377"/>
      <c r="G147" s="1379"/>
      <c r="H147" s="756" cm="1">
        <f t="array" ref="H147">IF(G37=AD37,M43,CONCATENATE("V:",angleDecimal2Txt(AD51,0)))</f>
        <v>19</v>
      </c>
      <c r="I147" s="756"/>
      <c r="J147" s="756"/>
      <c r="K147" s="756" t="str" cm="1">
        <f t="array" ref="K147">IF(G37=AD37,angleDecimal2Txt(AE41,0),CONCATENATE("dt:",TEXT((I50-M50),"0.000")," h"))</f>
        <v>+314°31.39</v>
      </c>
      <c r="L147" s="756"/>
      <c r="M147" s="756"/>
      <c r="AB147" s="61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3:65" s="92" customFormat="1" ht="17.25" customHeight="1">
      <c r="C148" s="806" t="s">
        <v>440</v>
      </c>
      <c r="D148" s="806"/>
      <c r="E148" s="806" t="str" cm="1">
        <f t="array" ref="E148">angleDecimal2Txt(F36,0)</f>
        <v>+311°38.44</v>
      </c>
      <c r="F148" s="806"/>
      <c r="G148" s="806"/>
      <c r="H148" s="806"/>
      <c r="I148" s="806"/>
      <c r="J148" s="806"/>
      <c r="AB148" s="61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</row>
    <row r="149" spans="3:65" s="92" customFormat="1" ht="17.25" customHeight="1">
      <c r="C149" s="1236" t="s">
        <v>464</v>
      </c>
      <c r="D149" s="1239"/>
      <c r="E149" s="806" t="str" cm="1">
        <f t="array" ref="E149">angleDecimal2Txt(F32,0)</f>
        <v>+311°25.80</v>
      </c>
      <c r="F149" s="806"/>
      <c r="G149" s="806"/>
      <c r="H149" s="806"/>
      <c r="I149" s="806"/>
      <c r="J149" s="806"/>
      <c r="AB149" s="61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</row>
    <row r="150" spans="3:65" s="92" customFormat="1" ht="17.25" customHeight="1">
      <c r="C150" s="1236" t="s">
        <v>453</v>
      </c>
      <c r="D150" s="1239"/>
      <c r="E150" s="806" t="str" cm="1">
        <f t="array" ref="E150">angleDecimal2Txt(F54,0)</f>
        <v>+263°04.24</v>
      </c>
      <c r="F150" s="806"/>
      <c r="G150" s="806"/>
      <c r="H150" s="806"/>
      <c r="I150" s="806"/>
      <c r="J150" s="806"/>
      <c r="AB150" s="61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</row>
    <row r="151" spans="3:65" s="92" customFormat="1" ht="17.25" customHeight="1">
      <c r="C151" s="806" t="s">
        <v>452</v>
      </c>
      <c r="D151" s="806"/>
      <c r="E151" s="806" t="str" cm="1">
        <f t="array" ref="E151">angleDecimal2Txt(F59,0)</f>
        <v>+250°34.24</v>
      </c>
      <c r="F151" s="806"/>
      <c r="G151" s="806"/>
      <c r="H151" s="806"/>
      <c r="I151" s="806"/>
      <c r="J151" s="806"/>
      <c r="AB151" s="6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</row>
    <row r="152" spans="3:65" s="92" customFormat="1" ht="17.25" customHeight="1">
      <c r="C152" s="806" t="s">
        <v>9</v>
      </c>
      <c r="D152" s="806"/>
      <c r="E152" s="806" t="str" cm="1">
        <f t="array" ref="E152">angleDecimal2Txt(F27,0)</f>
        <v>+89°23.10</v>
      </c>
      <c r="F152" s="806"/>
      <c r="G152" s="806"/>
      <c r="H152" s="806"/>
      <c r="I152" s="806"/>
      <c r="J152" s="806"/>
      <c r="AB152" s="61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</row>
    <row r="153" spans="3:65" s="92" customFormat="1" ht="17.25" customHeight="1">
      <c r="F153" s="1373" t="s">
        <v>457</v>
      </c>
      <c r="G153" s="1373"/>
      <c r="H153" s="1373"/>
      <c r="I153" s="1373"/>
      <c r="J153" s="1373"/>
      <c r="K153" s="1373"/>
      <c r="L153" s="1373"/>
      <c r="M153" s="1373"/>
      <c r="AB153" s="61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</row>
    <row r="154" spans="3:65" s="92" customFormat="1" ht="17.25" customHeight="1">
      <c r="F154" s="756" t="s">
        <v>458</v>
      </c>
      <c r="G154" s="756"/>
      <c r="H154" s="756"/>
      <c r="I154" s="756" t="str" cm="1">
        <f t="array" ref="I154">angleDecimal2Txt(H104,0)</f>
        <v>+00°36.89</v>
      </c>
      <c r="J154" s="756"/>
      <c r="K154" s="756"/>
      <c r="L154" s="756"/>
      <c r="M154" s="756"/>
      <c r="AB154" s="61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</row>
    <row r="155" spans="3:65" s="92" customFormat="1" ht="17.25" customHeight="1">
      <c r="F155" s="756" t="s">
        <v>459</v>
      </c>
      <c r="G155" s="756"/>
      <c r="H155" s="756"/>
      <c r="I155" s="756" t="str" cm="1">
        <f t="array" ref="I155">angleDecimal2Txt(H108)</f>
        <v>+00°12.27 (+00.2045) [+00°12'16.47]</v>
      </c>
      <c r="J155" s="756"/>
      <c r="K155" s="756"/>
      <c r="L155" s="756"/>
      <c r="M155" s="756"/>
      <c r="AB155" s="61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</row>
    <row r="156" spans="3:65" s="92" customFormat="1" ht="17.25" customHeight="1">
      <c r="F156" s="1373" t="s">
        <v>461</v>
      </c>
      <c r="G156" s="1373"/>
      <c r="H156" s="1373"/>
      <c r="I156" s="1373"/>
      <c r="J156" s="1373"/>
      <c r="K156" s="1373"/>
      <c r="L156" s="1373"/>
      <c r="M156" s="1373"/>
      <c r="AB156" s="61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</row>
    <row r="157" spans="3:65" s="92" customFormat="1" ht="17.25" customHeight="1">
      <c r="F157" s="1373" t="s">
        <v>460</v>
      </c>
      <c r="G157" s="1373"/>
      <c r="H157" s="1373"/>
      <c r="I157" s="1373"/>
      <c r="J157" s="1373"/>
      <c r="K157" s="1373"/>
      <c r="L157" s="1373"/>
      <c r="M157" s="1373"/>
      <c r="AB157" s="61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</row>
    <row r="158" spans="3:65" s="92" customFormat="1" ht="17.25" customHeight="1">
      <c r="C158" s="775" t="s">
        <v>41</v>
      </c>
      <c r="D158" s="775"/>
      <c r="E158" s="775" t="str" cm="1">
        <f t="array" ref="E158">latitudeDecimal2Txt(H112)</f>
        <v>N 29°01.43 (N 29.0239) [N 29°01'26.24]</v>
      </c>
      <c r="F158" s="1137"/>
      <c r="G158" s="1137"/>
      <c r="H158" s="1137"/>
      <c r="I158" s="1137"/>
      <c r="J158" s="1137"/>
      <c r="AB158" s="61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</row>
    <row r="159" spans="3:65" s="92" customFormat="1" ht="17.25" customHeight="1">
      <c r="C159" s="1374" t="s">
        <v>463</v>
      </c>
      <c r="D159" s="1375"/>
      <c r="E159" s="849" t="str" cm="1">
        <f t="array" ref="E159">angleDecimal2Txt(H116,0)</f>
        <v>+00°39.79</v>
      </c>
      <c r="F159" s="850"/>
      <c r="G159" s="850"/>
      <c r="H159" s="850"/>
      <c r="I159" s="850"/>
      <c r="J159" s="851"/>
      <c r="AB159" s="61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</row>
    <row r="160" spans="3:65" customFormat="1" ht="17.25" customHeight="1"/>
    <row r="161" spans="3:65" customFormat="1" ht="17.25" customHeight="1"/>
    <row r="162" spans="3:65" customFormat="1" ht="17.25" customHeight="1"/>
    <row r="163" spans="3:65" customFormat="1" ht="17.25" customHeight="1"/>
    <row r="164" spans="3:65" customFormat="1" ht="17.25" customHeight="1"/>
    <row r="165" spans="3:65" customFormat="1" ht="17.25" customHeight="1"/>
    <row r="166" spans="3:65" customFormat="1" ht="17.25" customHeight="1"/>
    <row r="167" spans="3:65" customFormat="1" ht="17.25" customHeight="1"/>
    <row r="168" spans="3:65" customFormat="1" ht="17.25" customHeight="1"/>
    <row r="169" spans="3:65" customFormat="1" ht="17.25" customHeight="1"/>
    <row r="170" spans="3:65" customFormat="1" ht="17.25" customHeight="1"/>
    <row r="171" spans="3:65" customFormat="1" ht="17.25" customHeight="1"/>
    <row r="172" spans="3:65" customFormat="1" ht="17.25" customHeight="1"/>
    <row r="173" spans="3:65" customFormat="1" ht="17.25" customHeight="1"/>
    <row r="174" spans="3:65" customFormat="1" ht="17.25" customHeight="1"/>
    <row r="175" spans="3:65" customFormat="1" ht="17.25" customHeight="1"/>
    <row r="176" spans="3:65" s="16" customFormat="1" ht="17.25" customHeight="1">
      <c r="C176" s="59"/>
      <c r="D176" s="59"/>
      <c r="E176" s="59"/>
      <c r="F176" s="59"/>
      <c r="AA176" s="23"/>
      <c r="AB176" s="80"/>
      <c r="AC176" s="22"/>
      <c r="AD176" s="24"/>
      <c r="AE176" s="24"/>
      <c r="AF176" s="24"/>
      <c r="AG176" s="24"/>
      <c r="AH176" s="24"/>
      <c r="AI176" s="24"/>
      <c r="AJ176" s="24"/>
      <c r="AK176" s="24"/>
      <c r="AL176" s="76"/>
      <c r="AM176" s="24"/>
      <c r="AN176" s="24"/>
      <c r="AO176" s="24"/>
      <c r="AP176" s="24"/>
      <c r="AQ176" s="24"/>
      <c r="AR176" s="24"/>
      <c r="AS176" s="24"/>
      <c r="AT176" s="24"/>
      <c r="AU176" s="24"/>
      <c r="AV176" s="24"/>
      <c r="AW176" s="24"/>
      <c r="AX176" s="24"/>
      <c r="AY176" s="24"/>
      <c r="AZ176" s="24"/>
      <c r="BA176" s="24"/>
      <c r="BB176" s="24"/>
      <c r="BC176" s="24"/>
      <c r="BD176" s="24"/>
      <c r="BE176" s="24"/>
      <c r="BF176" s="24"/>
      <c r="BG176" s="24"/>
      <c r="BH176" s="24"/>
      <c r="BI176" s="24"/>
      <c r="BJ176" s="24"/>
      <c r="BK176" s="24"/>
      <c r="BL176" s="24"/>
      <c r="BM176" s="24"/>
    </row>
    <row r="177" spans="3:65" s="16" customFormat="1" ht="17.25" customHeight="1">
      <c r="C177" s="59"/>
      <c r="D177" s="59"/>
      <c r="E177" s="59"/>
      <c r="F177" s="59"/>
      <c r="AA177" s="23"/>
      <c r="AB177" s="80"/>
      <c r="AC177" s="22"/>
      <c r="AD177" s="24"/>
      <c r="AE177" s="24"/>
      <c r="AF177" s="24"/>
      <c r="AG177" s="24"/>
      <c r="AH177" s="24"/>
      <c r="AI177" s="24"/>
      <c r="AJ177" s="24"/>
      <c r="AK177" s="24"/>
      <c r="AL177" s="76"/>
      <c r="AM177" s="24"/>
      <c r="AN177" s="24"/>
      <c r="AO177" s="24"/>
      <c r="AP177" s="24"/>
      <c r="AQ177" s="24"/>
      <c r="AR177" s="24"/>
      <c r="AS177" s="24"/>
      <c r="AT177" s="24"/>
      <c r="AU177" s="24"/>
      <c r="AV177" s="24"/>
      <c r="AW177" s="24"/>
      <c r="AX177" s="24"/>
      <c r="AY177" s="24"/>
      <c r="AZ177" s="24"/>
      <c r="BA177" s="24"/>
      <c r="BB177" s="24"/>
      <c r="BC177" s="24"/>
      <c r="BD177" s="24"/>
      <c r="BE177" s="24"/>
      <c r="BF177" s="24"/>
      <c r="BG177" s="24"/>
      <c r="BH177" s="24"/>
      <c r="BI177" s="24"/>
      <c r="BJ177" s="24"/>
      <c r="BK177" s="24"/>
      <c r="BL177" s="24"/>
      <c r="BM177" s="24"/>
    </row>
  </sheetData>
  <dataConsolidate/>
  <mergeCells count="287">
    <mergeCell ref="F54:H54"/>
    <mergeCell ref="J54:L54"/>
    <mergeCell ref="M54:O54"/>
    <mergeCell ref="C55:H55"/>
    <mergeCell ref="I55:L55"/>
    <mergeCell ref="N55:Q55"/>
    <mergeCell ref="I56:N56"/>
    <mergeCell ref="F154:H154"/>
    <mergeCell ref="I154:M154"/>
    <mergeCell ref="D128:G128"/>
    <mergeCell ref="H136:L136"/>
    <mergeCell ref="F136:G136"/>
    <mergeCell ref="C149:D149"/>
    <mergeCell ref="E149:J149"/>
    <mergeCell ref="E150:J150"/>
    <mergeCell ref="C150:D150"/>
    <mergeCell ref="F146:F147"/>
    <mergeCell ref="G146:G147"/>
    <mergeCell ref="C151:D151"/>
    <mergeCell ref="E151:J151"/>
    <mergeCell ref="C152:D152"/>
    <mergeCell ref="E152:J152"/>
    <mergeCell ref="C145:D145"/>
    <mergeCell ref="E145:J145"/>
    <mergeCell ref="F155:H155"/>
    <mergeCell ref="I155:M155"/>
    <mergeCell ref="F156:M156"/>
    <mergeCell ref="F157:M157"/>
    <mergeCell ref="C159:D159"/>
    <mergeCell ref="F153:M153"/>
    <mergeCell ref="C158:D158"/>
    <mergeCell ref="E158:J158"/>
    <mergeCell ref="E159:J159"/>
    <mergeCell ref="H146:J146"/>
    <mergeCell ref="K146:M146"/>
    <mergeCell ref="H147:J147"/>
    <mergeCell ref="K147:M147"/>
    <mergeCell ref="C148:D148"/>
    <mergeCell ref="E148:J148"/>
    <mergeCell ref="F138:J138"/>
    <mergeCell ref="K138:M138"/>
    <mergeCell ref="N138:P140"/>
    <mergeCell ref="F139:J139"/>
    <mergeCell ref="K139:M139"/>
    <mergeCell ref="F140:J140"/>
    <mergeCell ref="K140:M140"/>
    <mergeCell ref="C144:D144"/>
    <mergeCell ref="E144:J144"/>
    <mergeCell ref="E137:I137"/>
    <mergeCell ref="J137:L137"/>
    <mergeCell ref="C132:D132"/>
    <mergeCell ref="E132:I132"/>
    <mergeCell ref="C133:D133"/>
    <mergeCell ref="E133:I133"/>
    <mergeCell ref="E134:I134"/>
    <mergeCell ref="J134:L134"/>
    <mergeCell ref="F135:G135"/>
    <mergeCell ref="H135:L135"/>
    <mergeCell ref="B127:C127"/>
    <mergeCell ref="D127:G127"/>
    <mergeCell ref="I127:L127"/>
    <mergeCell ref="B128:C128"/>
    <mergeCell ref="C131:D131"/>
    <mergeCell ref="E131:I131"/>
    <mergeCell ref="H101:N101"/>
    <mergeCell ref="O101:R101"/>
    <mergeCell ref="U101:Z101"/>
    <mergeCell ref="H122:I122"/>
    <mergeCell ref="K122:L122"/>
    <mergeCell ref="N122:R122"/>
    <mergeCell ref="S122:T122"/>
    <mergeCell ref="H123:J123"/>
    <mergeCell ref="K123:L123"/>
    <mergeCell ref="S123:X123"/>
    <mergeCell ref="M120:N120"/>
    <mergeCell ref="P120:R120"/>
    <mergeCell ref="S120:U120"/>
    <mergeCell ref="W120:Y120"/>
    <mergeCell ref="H121:I121"/>
    <mergeCell ref="K121:L121"/>
    <mergeCell ref="D116:G118"/>
    <mergeCell ref="T113:V113"/>
    <mergeCell ref="E12:H12"/>
    <mergeCell ref="J27:P27"/>
    <mergeCell ref="J63:N63"/>
    <mergeCell ref="I91:N91"/>
    <mergeCell ref="O91:R91"/>
    <mergeCell ref="H93:N93"/>
    <mergeCell ref="O93:R93"/>
    <mergeCell ref="U93:Z93"/>
    <mergeCell ref="F95:I95"/>
    <mergeCell ref="J95:L95"/>
    <mergeCell ref="H67:N67"/>
    <mergeCell ref="O67:R67"/>
    <mergeCell ref="U67:Z67"/>
    <mergeCell ref="H68:N68"/>
    <mergeCell ref="O68:R68"/>
    <mergeCell ref="U68:Z68"/>
    <mergeCell ref="M69:P69"/>
    <mergeCell ref="H70:N70"/>
    <mergeCell ref="O70:P70"/>
    <mergeCell ref="R70:S70"/>
    <mergeCell ref="U70:Z70"/>
    <mergeCell ref="V63:X63"/>
    <mergeCell ref="C64:F64"/>
    <mergeCell ref="G64:I64"/>
    <mergeCell ref="N98:P98"/>
    <mergeCell ref="N99:P99"/>
    <mergeCell ref="W99:AA99"/>
    <mergeCell ref="H82:N82"/>
    <mergeCell ref="O82:R82"/>
    <mergeCell ref="H83:N83"/>
    <mergeCell ref="O83:R83"/>
    <mergeCell ref="M72:P72"/>
    <mergeCell ref="M73:P73"/>
    <mergeCell ref="H74:N74"/>
    <mergeCell ref="O74:R74"/>
    <mergeCell ref="U74:Z74"/>
    <mergeCell ref="H75:N75"/>
    <mergeCell ref="O75:R75"/>
    <mergeCell ref="U75:Z75"/>
    <mergeCell ref="S77:U77"/>
    <mergeCell ref="AD85:AE85"/>
    <mergeCell ref="G86:S86"/>
    <mergeCell ref="G87:H88"/>
    <mergeCell ref="I87:N87"/>
    <mergeCell ref="O87:R88"/>
    <mergeCell ref="S87:S88"/>
    <mergeCell ref="AD87:AE87"/>
    <mergeCell ref="I88:N88"/>
    <mergeCell ref="I89:N89"/>
    <mergeCell ref="O89:R90"/>
    <mergeCell ref="S89:S90"/>
    <mergeCell ref="I90:N90"/>
    <mergeCell ref="AD83:AE83"/>
    <mergeCell ref="H84:N84"/>
    <mergeCell ref="O84:R84"/>
    <mergeCell ref="U84:Z84"/>
    <mergeCell ref="AD84:AE84"/>
    <mergeCell ref="H78:N78"/>
    <mergeCell ref="O78:R78"/>
    <mergeCell ref="S78:U78"/>
    <mergeCell ref="H79:N79"/>
    <mergeCell ref="O79:R79"/>
    <mergeCell ref="S79:U79"/>
    <mergeCell ref="H80:N80"/>
    <mergeCell ref="O80:R80"/>
    <mergeCell ref="U80:Z80"/>
    <mergeCell ref="AC64:AC65"/>
    <mergeCell ref="F65:I65"/>
    <mergeCell ref="J65:L65"/>
    <mergeCell ref="H66:N66"/>
    <mergeCell ref="O66:R66"/>
    <mergeCell ref="U66:Z66"/>
    <mergeCell ref="F59:H59"/>
    <mergeCell ref="J59:L59"/>
    <mergeCell ref="M59:O59"/>
    <mergeCell ref="C60:H60"/>
    <mergeCell ref="I60:L60"/>
    <mergeCell ref="N60:Q60"/>
    <mergeCell ref="I61:N61"/>
    <mergeCell ref="D63:E63"/>
    <mergeCell ref="F63:H63"/>
    <mergeCell ref="P63:Q63"/>
    <mergeCell ref="F50:H51"/>
    <mergeCell ref="I50:L51"/>
    <mergeCell ref="M50:O51"/>
    <mergeCell ref="P50:P51"/>
    <mergeCell ref="Q50:T51"/>
    <mergeCell ref="U50:U51"/>
    <mergeCell ref="V50:Y51"/>
    <mergeCell ref="F52:K52"/>
    <mergeCell ref="P52:T52"/>
    <mergeCell ref="U52:Y52"/>
    <mergeCell ref="AC37:AC38"/>
    <mergeCell ref="P39:T40"/>
    <mergeCell ref="F41:H44"/>
    <mergeCell ref="I41:L44"/>
    <mergeCell ref="M41:O42"/>
    <mergeCell ref="P41:P42"/>
    <mergeCell ref="Q41:T42"/>
    <mergeCell ref="U41:Y42"/>
    <mergeCell ref="M43:O44"/>
    <mergeCell ref="P43:P44"/>
    <mergeCell ref="Q43:T44"/>
    <mergeCell ref="U43:Y44"/>
    <mergeCell ref="C37:F37"/>
    <mergeCell ref="G37:I37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C18:I18"/>
    <mergeCell ref="J18:L18"/>
    <mergeCell ref="M18:O18"/>
    <mergeCell ref="C22:F23"/>
    <mergeCell ref="G22:I23"/>
    <mergeCell ref="J22:J23"/>
    <mergeCell ref="K22:O23"/>
    <mergeCell ref="P22:Y23"/>
    <mergeCell ref="K24:O25"/>
    <mergeCell ref="P24:Y25"/>
    <mergeCell ref="F48:H49"/>
    <mergeCell ref="I48:L49"/>
    <mergeCell ref="M48:O49"/>
    <mergeCell ref="P48:T49"/>
    <mergeCell ref="Q28:U29"/>
    <mergeCell ref="F32:H32"/>
    <mergeCell ref="J32:L32"/>
    <mergeCell ref="M32:O32"/>
    <mergeCell ref="C33:H33"/>
    <mergeCell ref="I33:M34"/>
    <mergeCell ref="N33:P34"/>
    <mergeCell ref="Q33:U34"/>
    <mergeCell ref="F36:H36"/>
    <mergeCell ref="L36:M36"/>
    <mergeCell ref="U48:Y49"/>
    <mergeCell ref="H110:L110"/>
    <mergeCell ref="N106:O106"/>
    <mergeCell ref="P106:R106"/>
    <mergeCell ref="T106:V106"/>
    <mergeCell ref="H104:L105"/>
    <mergeCell ref="H116:L117"/>
    <mergeCell ref="P16:X16"/>
    <mergeCell ref="P17:X17"/>
    <mergeCell ref="F27:H27"/>
    <mergeCell ref="C28:H28"/>
    <mergeCell ref="I28:I29"/>
    <mergeCell ref="J28:M29"/>
    <mergeCell ref="N28:P29"/>
    <mergeCell ref="N109:O109"/>
    <mergeCell ref="P109:R109"/>
    <mergeCell ref="T109:V109"/>
    <mergeCell ref="N104:W104"/>
    <mergeCell ref="F39:H40"/>
    <mergeCell ref="I39:L40"/>
    <mergeCell ref="M39:O40"/>
    <mergeCell ref="C24:F25"/>
    <mergeCell ref="G24:I25"/>
    <mergeCell ref="J24:J25"/>
    <mergeCell ref="F45:K45"/>
    <mergeCell ref="H118:L118"/>
    <mergeCell ref="N117:O117"/>
    <mergeCell ref="P117:R117"/>
    <mergeCell ref="T117:V117"/>
    <mergeCell ref="N118:O118"/>
    <mergeCell ref="P118:R118"/>
    <mergeCell ref="T118:V118"/>
    <mergeCell ref="D104:G106"/>
    <mergeCell ref="D112:G114"/>
    <mergeCell ref="N107:Z107"/>
    <mergeCell ref="D108:G110"/>
    <mergeCell ref="H108:L109"/>
    <mergeCell ref="H112:L113"/>
    <mergeCell ref="X113:Y113"/>
    <mergeCell ref="H114:L114"/>
    <mergeCell ref="N116:W116"/>
    <mergeCell ref="N105:O105"/>
    <mergeCell ref="P105:R105"/>
    <mergeCell ref="T105:V105"/>
    <mergeCell ref="H106:L106"/>
    <mergeCell ref="N108:W108"/>
    <mergeCell ref="N112:W112"/>
    <mergeCell ref="N113:O113"/>
    <mergeCell ref="P113:R113"/>
  </mergeCells>
  <dataValidations count="3">
    <dataValidation type="list" allowBlank="1" showInputMessage="1" showErrorMessage="1" sqref="P58 U58" xr:uid="{0DA47A85-D058-4087-A6E8-241F40BE2D51}">
      <formula1>$A$26:$A$26</formula1>
    </dataValidation>
    <dataValidation type="list" allowBlank="1" showInputMessage="1" showErrorMessage="1" sqref="G37:I37" xr:uid="{6D4D35CA-2A22-45E4-BB59-561A017C0215}">
      <formula1>$AD$37:$AD$38</formula1>
    </dataValidation>
    <dataValidation type="list" allowBlank="1" showInputMessage="1" showErrorMessage="1" sqref="G64:I64" xr:uid="{03F10643-B6D2-439A-864B-66743CDC2ECC}">
      <formula1>$AD$64:$AD$65</formula1>
    </dataValidation>
  </dataValidations>
  <printOptions horizontalCentered="1" verticalCentered="1"/>
  <pageMargins left="0.25" right="0.25" top="0.1" bottom="0.1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4" name="Button 7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123</xdr:row>
                    <xdr:rowOff>95250</xdr:rowOff>
                  </from>
                  <to>
                    <xdr:col>7</xdr:col>
                    <xdr:colOff>9525</xdr:colOff>
                    <xdr:row>124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F6990CD-603F-4CCE-92F1-0D56543E8BE3}">
          <x14:formula1>
            <xm:f>Outils!$C$9:$C$10</xm:f>
          </x14:formula1>
          <xm:sqref>J22:J23 I28:I29</xm:sqref>
        </x14:dataValidation>
        <x14:dataValidation type="list" allowBlank="1" showInputMessage="1" showErrorMessage="1" xr:uid="{87432CB3-0C1F-48CD-938B-1BBE271364B0}">
          <x14:formula1>
            <xm:f>Outils!$D$9:$D$10</xm:f>
          </x14:formula1>
          <xm:sqref>J24:J25 U50:U51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34BAB-A9EC-4EBB-9FA8-41847CE961C2}">
  <sheetPr codeName="Sheet8"/>
  <dimension ref="A1:BN93"/>
  <sheetViews>
    <sheetView topLeftCell="A82" zoomScale="85" zoomScaleNormal="85" workbookViewId="0">
      <selection activeCell="M69" sqref="M69"/>
    </sheetView>
  </sheetViews>
  <sheetFormatPr baseColWidth="10" defaultColWidth="9.140625" defaultRowHeight="15"/>
  <cols>
    <col min="1" max="9" width="8.5703125" customWidth="1"/>
    <col min="10" max="11" width="9.85546875" customWidth="1"/>
    <col min="12" max="26" width="8.5703125" customWidth="1"/>
    <col min="27" max="27" width="22.85546875" customWidth="1"/>
    <col min="28" max="28" width="9.7109375" bestFit="1" customWidth="1"/>
  </cols>
  <sheetData>
    <row r="1" spans="1:66">
      <c r="A1" s="1429" t="s">
        <v>690</v>
      </c>
      <c r="B1" s="1429"/>
      <c r="C1" s="1429"/>
      <c r="D1" s="225"/>
      <c r="E1" s="225"/>
    </row>
    <row r="2" spans="1:66">
      <c r="B2" s="371" t="s">
        <v>673</v>
      </c>
      <c r="C2" s="371"/>
      <c r="D2" s="371"/>
      <c r="E2" s="371"/>
      <c r="F2" s="384" t="s">
        <v>674</v>
      </c>
      <c r="G2" s="384"/>
      <c r="H2" s="384"/>
      <c r="I2" s="384"/>
      <c r="J2" s="371" t="s">
        <v>748</v>
      </c>
      <c r="K2" s="371"/>
      <c r="L2" s="371"/>
      <c r="M2" s="371"/>
      <c r="N2" s="371"/>
      <c r="O2" s="371"/>
      <c r="P2" s="371"/>
      <c r="Q2" s="371"/>
      <c r="R2" s="371"/>
      <c r="S2" s="371"/>
      <c r="T2" s="371"/>
      <c r="U2" s="371"/>
    </row>
    <row r="3" spans="1:66">
      <c r="C3" s="382" t="s">
        <v>670</v>
      </c>
      <c r="D3" s="382"/>
      <c r="E3" s="382"/>
      <c r="G3" s="382" t="s">
        <v>675</v>
      </c>
      <c r="H3" s="382"/>
      <c r="I3" s="382"/>
      <c r="K3" s="382" t="s">
        <v>751</v>
      </c>
      <c r="L3" s="252" t="s">
        <v>753</v>
      </c>
      <c r="M3" s="1384" t="s">
        <v>749</v>
      </c>
      <c r="N3" s="1384"/>
      <c r="O3" s="1384"/>
      <c r="P3" s="1384"/>
      <c r="Q3" s="368" t="s">
        <v>90</v>
      </c>
      <c r="R3" s="383" t="s">
        <v>750</v>
      </c>
      <c r="S3" s="383"/>
      <c r="T3" s="383"/>
      <c r="U3" s="252"/>
    </row>
    <row r="4" spans="1:66">
      <c r="C4" s="382" t="s">
        <v>671</v>
      </c>
      <c r="D4" s="382"/>
      <c r="E4" s="382"/>
      <c r="G4" s="382" t="s">
        <v>676</v>
      </c>
      <c r="H4" s="382"/>
      <c r="I4" s="382"/>
      <c r="K4" s="382" t="s">
        <v>755</v>
      </c>
      <c r="L4" s="252" t="s">
        <v>754</v>
      </c>
      <c r="M4" s="1384" t="s">
        <v>752</v>
      </c>
      <c r="N4" s="1384"/>
      <c r="O4" s="1384"/>
      <c r="P4" s="1384"/>
      <c r="Q4" s="252"/>
      <c r="R4" s="252"/>
      <c r="S4" s="252"/>
      <c r="T4" s="252"/>
      <c r="U4" s="252"/>
    </row>
    <row r="5" spans="1:66">
      <c r="C5" s="382" t="s">
        <v>672</v>
      </c>
      <c r="D5" s="382"/>
      <c r="E5" s="382"/>
      <c r="G5" s="382" t="s">
        <v>677</v>
      </c>
      <c r="H5" s="382"/>
      <c r="I5" s="382"/>
    </row>
    <row r="6" spans="1:66">
      <c r="K6" t="s">
        <v>756</v>
      </c>
    </row>
    <row r="7" spans="1:66">
      <c r="L7" s="382" t="s">
        <v>757</v>
      </c>
      <c r="M7" s="382"/>
      <c r="N7" s="382"/>
      <c r="O7" s="382"/>
      <c r="P7" s="382"/>
    </row>
    <row r="8" spans="1:66">
      <c r="L8" s="382" t="s">
        <v>758</v>
      </c>
      <c r="M8" s="382"/>
      <c r="N8" s="382"/>
      <c r="O8" s="382"/>
      <c r="P8" s="382"/>
    </row>
    <row r="9" spans="1:66" ht="15.75" thickBot="1"/>
    <row r="10" spans="1:66" s="16" customFormat="1" ht="17.25" customHeight="1" thickBot="1">
      <c r="B10" s="1395" t="s">
        <v>1</v>
      </c>
      <c r="C10" s="1396"/>
      <c r="D10" s="1396"/>
      <c r="E10" s="94" t="str" cm="1">
        <f t="array" ref="E10">dateDecimale2txt(dateConvert2Decimal(E11),0)</f>
        <v>2007/04/23</v>
      </c>
      <c r="F10" s="94"/>
      <c r="G10" s="26" t="s">
        <v>317</v>
      </c>
      <c r="H10" s="26"/>
      <c r="I10" s="26"/>
      <c r="J10" s="26"/>
      <c r="K10" s="26"/>
      <c r="L10" s="26" t="s">
        <v>318</v>
      </c>
      <c r="M10" s="508">
        <f>dateConvert2Decimal(E11)</f>
        <v>1177286400</v>
      </c>
      <c r="N10" s="508"/>
      <c r="O10" s="364"/>
      <c r="P10" s="26" t="s">
        <v>319</v>
      </c>
      <c r="Q10" s="470">
        <f>(M10/86400)+DATE(1970,1,1)</f>
        <v>39195</v>
      </c>
      <c r="R10" s="470"/>
      <c r="S10" s="26" t="s">
        <v>320</v>
      </c>
      <c r="T10" s="247">
        <f>INT(MONTH(Q10))</f>
        <v>4</v>
      </c>
      <c r="U10" s="62"/>
      <c r="V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7.25" customHeight="1">
      <c r="C11" s="538" t="s">
        <v>1</v>
      </c>
      <c r="D11" s="539"/>
      <c r="E11" s="529" t="s">
        <v>769</v>
      </c>
      <c r="F11" s="530"/>
      <c r="G11" s="530"/>
      <c r="H11" s="366" t="s">
        <v>771</v>
      </c>
      <c r="I11" s="1432">
        <f>T10</f>
        <v>4</v>
      </c>
      <c r="J11" s="1432"/>
      <c r="K11" s="1432"/>
      <c r="L11" s="514"/>
      <c r="M11" s="514"/>
      <c r="N11" s="514"/>
      <c r="O11" s="514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24"/>
    </row>
    <row r="12" spans="1:66" s="16" customFormat="1" ht="17.25" customHeight="1" thickBot="1">
      <c r="C12" s="15"/>
      <c r="D12" s="15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24"/>
    </row>
    <row r="13" spans="1:66" s="16" customFormat="1" ht="17.25" customHeight="1" thickBot="1">
      <c r="B13" s="1395" t="s">
        <v>18</v>
      </c>
      <c r="C13" s="1396"/>
      <c r="D13" s="1396"/>
      <c r="E13" s="1396"/>
      <c r="F13" s="1396"/>
      <c r="G13" s="1396"/>
      <c r="H13" s="1396"/>
      <c r="I13" s="1396"/>
      <c r="J13" s="1396"/>
      <c r="K13" s="1396"/>
      <c r="L13" s="1396"/>
      <c r="M13" s="1396"/>
      <c r="N13" s="1396"/>
      <c r="O13" s="1396"/>
      <c r="P13" s="1396"/>
      <c r="Q13" s="1396"/>
      <c r="R13" s="1396"/>
      <c r="S13" s="1396"/>
      <c r="T13" s="1396"/>
      <c r="U13" s="1396"/>
      <c r="V13" s="1396"/>
      <c r="W13" s="1396"/>
      <c r="X13" s="1396"/>
      <c r="Y13" s="1396"/>
      <c r="Z13" s="1397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24"/>
    </row>
    <row r="14" spans="1:66" s="16" customFormat="1" ht="15" customHeight="1" thickBot="1">
      <c r="C14" s="1440" t="s">
        <v>19</v>
      </c>
      <c r="D14" s="1440"/>
      <c r="E14" s="1440"/>
      <c r="F14" s="1440"/>
      <c r="G14" s="1440"/>
      <c r="H14" s="1440"/>
      <c r="I14" s="1440"/>
      <c r="J14" s="620">
        <f>M14</f>
        <v>4</v>
      </c>
      <c r="K14" s="621"/>
      <c r="L14" s="622"/>
      <c r="M14" s="528">
        <v>4</v>
      </c>
      <c r="N14" s="528"/>
      <c r="O14" s="528"/>
      <c r="P14" s="14"/>
      <c r="Q14" s="14"/>
      <c r="R14" s="14"/>
      <c r="S14" s="14"/>
      <c r="T14" s="14"/>
      <c r="U14" s="14"/>
      <c r="V14" s="14"/>
      <c r="W14" s="14"/>
      <c r="X14" s="14"/>
      <c r="Y14" s="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24"/>
    </row>
    <row r="15" spans="1:66" s="16" customFormat="1" ht="15" customHeight="1" thickTop="1" thickBot="1">
      <c r="B15" s="14"/>
      <c r="C15" s="1433" t="s">
        <v>703</v>
      </c>
      <c r="D15" s="1434"/>
      <c r="E15" s="1434"/>
      <c r="F15" s="1434"/>
      <c r="G15" s="1434"/>
      <c r="H15" s="1434"/>
      <c r="I15" s="1435"/>
      <c r="J15" s="440" cm="1">
        <f t="array" ref="J15">angleConvert2Decimal(M15)</f>
        <v>0</v>
      </c>
      <c r="K15" s="441"/>
      <c r="L15" s="441"/>
      <c r="M15" s="527" t="s">
        <v>704</v>
      </c>
      <c r="N15" s="528"/>
      <c r="O15" s="528"/>
      <c r="P15" s="416" t="str" cm="1">
        <f t="array" ref="P15">angleDecimal2Txt(J15)</f>
        <v>+00°00.00 (+00.0000) [+00°00'00.00]</v>
      </c>
      <c r="Q15" s="416"/>
      <c r="R15" s="416"/>
      <c r="S15" s="416"/>
      <c r="T15" s="416"/>
      <c r="U15" s="416"/>
      <c r="V15" s="416"/>
      <c r="W15" s="416"/>
      <c r="X15" s="416"/>
      <c r="Y15" s="14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1:66" ht="15.75" thickTop="1">
      <c r="C16" s="1385" t="s">
        <v>65</v>
      </c>
      <c r="D16" s="1386"/>
      <c r="E16" s="1386"/>
      <c r="F16" s="1386"/>
      <c r="G16" s="1386"/>
      <c r="H16" s="1386"/>
      <c r="I16" s="1387"/>
      <c r="J16" s="440" cm="1">
        <f t="array" ref="J16">angleConvert2Decimal(M16)</f>
        <v>10</v>
      </c>
      <c r="K16" s="441"/>
      <c r="L16" s="441"/>
      <c r="M16" s="1436">
        <v>10</v>
      </c>
      <c r="N16" s="1437"/>
      <c r="O16" s="1437"/>
    </row>
    <row r="17" spans="2:31">
      <c r="C17" s="1385" t="s">
        <v>66</v>
      </c>
      <c r="D17" s="1386"/>
      <c r="E17" s="1386"/>
      <c r="F17" s="1386"/>
      <c r="G17" s="1386"/>
      <c r="H17" s="1386"/>
      <c r="I17" s="1387"/>
      <c r="J17" s="440" cm="1">
        <f t="array" ref="J17">angleConvert2Decimal(M17)</f>
        <v>1011</v>
      </c>
      <c r="K17" s="441"/>
      <c r="L17" s="441"/>
      <c r="M17" s="1388">
        <v>1011</v>
      </c>
      <c r="N17" s="1389"/>
      <c r="O17" s="1389"/>
    </row>
    <row r="18" spans="2:31" ht="15.75" thickBot="1">
      <c r="C18" s="1385" t="s">
        <v>759</v>
      </c>
      <c r="D18" s="1386"/>
      <c r="E18" s="1386"/>
      <c r="F18" s="1386"/>
      <c r="G18" s="1386"/>
      <c r="H18" s="1386"/>
      <c r="I18" s="1387"/>
      <c r="J18" s="1426" t="s">
        <v>760</v>
      </c>
      <c r="K18" s="1426"/>
      <c r="L18" s="1426"/>
      <c r="M18" s="1426"/>
      <c r="N18" s="1426"/>
      <c r="O18" s="1426"/>
      <c r="R18" t="s">
        <v>760</v>
      </c>
      <c r="S18" t="s">
        <v>761</v>
      </c>
    </row>
    <row r="19" spans="2:31" ht="16.5" thickTop="1" thickBot="1">
      <c r="C19" s="1385" t="s">
        <v>767</v>
      </c>
      <c r="D19" s="1386"/>
      <c r="E19" s="1386"/>
      <c r="F19" s="1386"/>
      <c r="G19" s="1386"/>
      <c r="H19" s="1386"/>
      <c r="I19" s="1387"/>
      <c r="J19" s="385">
        <f>IF(J18=R18,J20,12+R22)</f>
        <v>14</v>
      </c>
      <c r="K19" s="1427" t="str">
        <f>heureDecimal2Txt(J19)</f>
        <v>14:00:00.00(14.0000)</v>
      </c>
      <c r="L19" s="1427"/>
      <c r="M19" s="1427"/>
      <c r="N19" s="1427"/>
      <c r="O19" s="1427"/>
    </row>
    <row r="20" spans="2:31" ht="15.75" thickTop="1">
      <c r="C20" s="1385" t="s">
        <v>768</v>
      </c>
      <c r="D20" s="1386"/>
      <c r="E20" s="1386"/>
      <c r="F20" s="1386"/>
      <c r="G20" s="1386"/>
      <c r="H20" s="1386"/>
      <c r="I20" s="1387"/>
      <c r="J20" s="440">
        <f>heureConvert2Decimal(M20)</f>
        <v>14</v>
      </c>
      <c r="K20" s="441"/>
      <c r="L20" s="441"/>
      <c r="M20" s="1388" t="s">
        <v>762</v>
      </c>
      <c r="N20" s="1389"/>
      <c r="O20" s="1389"/>
    </row>
    <row r="21" spans="2:31">
      <c r="C21" s="1385" t="s">
        <v>763</v>
      </c>
      <c r="D21" s="1386"/>
      <c r="E21" s="1386"/>
      <c r="F21" s="1386"/>
      <c r="G21" s="1386"/>
      <c r="H21" s="1386"/>
      <c r="I21" s="1387"/>
      <c r="J21" s="440" cm="1">
        <f t="array" ref="J21">angleConvert2Decimal(M21)</f>
        <v>49</v>
      </c>
      <c r="K21" s="441"/>
      <c r="L21" s="441"/>
      <c r="M21" s="1388" t="s">
        <v>765</v>
      </c>
      <c r="N21" s="1389"/>
      <c r="O21" s="1389"/>
    </row>
    <row r="22" spans="2:31">
      <c r="C22" s="1385" t="s">
        <v>764</v>
      </c>
      <c r="D22" s="1386"/>
      <c r="E22" s="1386"/>
      <c r="F22" s="1386"/>
      <c r="G22" s="1386"/>
      <c r="H22" s="1386"/>
      <c r="I22" s="1387"/>
      <c r="J22" s="440" cm="1">
        <f t="array" ref="J22">angleConvert2Decimal(M22)</f>
        <v>-8</v>
      </c>
      <c r="K22" s="441"/>
      <c r="L22" s="441"/>
      <c r="M22" s="1388" t="s">
        <v>766</v>
      </c>
      <c r="N22" s="1389"/>
      <c r="O22" s="1389"/>
      <c r="R22">
        <f>-1*angleConvert2Decimal(M22)/15.002</f>
        <v>0.53326223170243969</v>
      </c>
    </row>
    <row r="24" spans="2:31" ht="15.75" thickBot="1"/>
    <row r="25" spans="2:31" ht="15.75" thickBot="1">
      <c r="B25" s="1395" t="s">
        <v>56</v>
      </c>
      <c r="C25" s="1398"/>
      <c r="D25" s="1398"/>
      <c r="E25" s="1398"/>
      <c r="F25" s="1398"/>
      <c r="G25" s="1398"/>
      <c r="H25" s="1398"/>
      <c r="I25" s="1398"/>
      <c r="J25" s="1398"/>
      <c r="K25" s="1398"/>
      <c r="L25" s="1398"/>
      <c r="M25" s="1398"/>
      <c r="N25" s="1398"/>
      <c r="O25" s="1398"/>
      <c r="P25" s="1398"/>
      <c r="Q25" s="1398"/>
      <c r="R25" s="1398"/>
      <c r="S25" s="1398"/>
      <c r="T25" s="1398"/>
      <c r="U25" s="1396"/>
      <c r="V25" s="1396"/>
      <c r="W25" s="1396"/>
      <c r="X25" s="1396"/>
      <c r="Y25" s="1396"/>
      <c r="Z25" s="1397"/>
    </row>
    <row r="26" spans="2:31" ht="16.5" thickTop="1" thickBot="1">
      <c r="B26" s="16"/>
      <c r="C26" s="973" t="s">
        <v>33</v>
      </c>
      <c r="D26" s="973"/>
      <c r="E26" s="973"/>
      <c r="F26" s="973"/>
      <c r="G26" s="425"/>
      <c r="H26" s="427"/>
      <c r="I26" s="1052" t="s">
        <v>60</v>
      </c>
      <c r="J26" s="1052"/>
      <c r="K26" s="1053" cm="1">
        <f t="array" ref="K26">angleConvert2Decimal(M26)</f>
        <v>32.983333333333334</v>
      </c>
      <c r="L26" s="1053"/>
      <c r="M26" s="1428" t="s">
        <v>772</v>
      </c>
      <c r="N26" s="1428"/>
      <c r="O26" s="1428"/>
      <c r="P26" s="578" t="str">
        <f>angleDecimal2Txt(K26)</f>
        <v>+32°59.00 (+32.9833) [+32°59'00.00]</v>
      </c>
      <c r="Q26" s="578"/>
      <c r="R26" s="578"/>
      <c r="S26" s="578"/>
      <c r="T26" s="578"/>
      <c r="AA26" s="253" t="s">
        <v>31</v>
      </c>
    </row>
    <row r="27" spans="2:31" ht="16.5" thickTop="1" thickBot="1">
      <c r="B27" s="14"/>
      <c r="C27" s="973"/>
      <c r="D27" s="973"/>
      <c r="E27" s="973"/>
      <c r="F27" s="973"/>
      <c r="G27" s="867"/>
      <c r="H27" s="869"/>
      <c r="I27" s="1052" t="s">
        <v>695</v>
      </c>
      <c r="J27" s="1052"/>
      <c r="K27" s="1422" t="str">
        <f>M27</f>
        <v>Bord inf.</v>
      </c>
      <c r="L27" s="1423"/>
      <c r="M27" s="1420" t="s">
        <v>696</v>
      </c>
      <c r="N27" s="1420"/>
      <c r="O27" s="1420"/>
      <c r="P27" s="578"/>
      <c r="Q27" s="578"/>
      <c r="R27" s="578"/>
      <c r="S27" s="578"/>
      <c r="T27" s="578"/>
    </row>
    <row r="28" spans="2:31" ht="16.5" thickTop="1" thickBot="1">
      <c r="B28" s="14"/>
      <c r="C28" s="585" t="s">
        <v>31</v>
      </c>
      <c r="D28" s="585"/>
      <c r="E28" s="585"/>
      <c r="F28" s="585"/>
      <c r="G28" s="584" t="s">
        <v>31</v>
      </c>
      <c r="H28" s="584"/>
      <c r="I28" s="1052" t="s">
        <v>60</v>
      </c>
      <c r="J28" s="1052"/>
      <c r="K28" s="1053" cm="1">
        <f t="array" ref="K28">angleConvert2Decimal(M28)</f>
        <v>49.674999999999997</v>
      </c>
      <c r="L28" s="1053"/>
      <c r="M28" s="1428" t="s">
        <v>679</v>
      </c>
      <c r="N28" s="1428"/>
      <c r="O28" s="1428"/>
      <c r="P28" s="578" t="str">
        <f>angleDecimal2Txt(K28)</f>
        <v>+49°40.50 (+49.6749) [+49°40'30.00]</v>
      </c>
      <c r="Q28" s="578"/>
      <c r="R28" s="578"/>
      <c r="S28" s="578"/>
      <c r="T28" s="578"/>
    </row>
    <row r="29" spans="2:31" ht="16.5" thickTop="1" thickBot="1">
      <c r="C29" s="585"/>
      <c r="D29" s="585"/>
      <c r="E29" s="585"/>
      <c r="F29" s="585"/>
      <c r="G29" s="584"/>
      <c r="H29" s="584"/>
      <c r="I29" s="1052" t="s">
        <v>695</v>
      </c>
      <c r="J29" s="1052"/>
      <c r="K29" s="1422" t="str">
        <f>M29</f>
        <v>Bord inf.</v>
      </c>
      <c r="L29" s="1423"/>
      <c r="M29" s="1420" t="s">
        <v>696</v>
      </c>
      <c r="N29" s="1420"/>
      <c r="O29" s="1420"/>
      <c r="P29" s="578"/>
      <c r="Q29" s="578"/>
      <c r="R29" s="578"/>
      <c r="S29" s="578"/>
      <c r="T29" s="578"/>
      <c r="AA29" s="367" t="s">
        <v>696</v>
      </c>
      <c r="AC29" s="367" t="s">
        <v>792</v>
      </c>
      <c r="AE29" t="s">
        <v>794</v>
      </c>
    </row>
    <row r="30" spans="2:31" ht="15.75" thickTop="1">
      <c r="C30" s="973" t="s">
        <v>691</v>
      </c>
      <c r="D30" s="973"/>
      <c r="E30" s="973"/>
      <c r="F30" s="973"/>
      <c r="G30" s="1394"/>
      <c r="H30" s="1394"/>
      <c r="I30" s="1209" t="s">
        <v>60</v>
      </c>
      <c r="J30" s="1209"/>
      <c r="K30" s="1424" cm="1">
        <f t="array" ref="K30">angleConvert2Decimal(M30)</f>
        <v>81.825000000000003</v>
      </c>
      <c r="L30" s="1424"/>
      <c r="M30" s="1421" t="s">
        <v>773</v>
      </c>
      <c r="N30" s="1421"/>
      <c r="O30" s="1421"/>
      <c r="P30" s="1442" t="str">
        <f>angleDecimal2Txt(K30)</f>
        <v>+81°49.50 (+81.8250) [+81°49'30.00]</v>
      </c>
      <c r="Q30" s="1443"/>
      <c r="R30" s="1443"/>
      <c r="S30" s="1443"/>
      <c r="T30" s="1444"/>
      <c r="AA30" s="367" t="s">
        <v>697</v>
      </c>
      <c r="AC30" s="367" t="s">
        <v>793</v>
      </c>
      <c r="AE30" t="s">
        <v>795</v>
      </c>
    </row>
    <row r="31" spans="2:31">
      <c r="C31" s="973"/>
      <c r="D31" s="973"/>
      <c r="E31" s="973"/>
      <c r="F31" s="973"/>
      <c r="G31" s="1394"/>
      <c r="H31" s="1394"/>
      <c r="I31" s="1052" t="s">
        <v>695</v>
      </c>
      <c r="J31" s="1052"/>
      <c r="K31" s="1422" t="str">
        <f>M31</f>
        <v>Bord inf. Lune</v>
      </c>
      <c r="L31" s="1423"/>
      <c r="M31" s="1420" t="s">
        <v>792</v>
      </c>
      <c r="N31" s="1420"/>
      <c r="O31" s="1420"/>
      <c r="P31" s="1445"/>
      <c r="Q31" s="1446"/>
      <c r="R31" s="1446"/>
      <c r="S31" s="1446"/>
      <c r="T31" s="1447"/>
      <c r="AA31" s="367" t="s">
        <v>58</v>
      </c>
      <c r="AC31" s="367"/>
    </row>
    <row r="32" spans="2:31" ht="15.75" thickBot="1">
      <c r="C32" s="973"/>
      <c r="D32" s="973"/>
      <c r="E32" s="973"/>
      <c r="F32" s="973"/>
      <c r="G32" s="1394"/>
      <c r="H32" s="1394"/>
      <c r="I32" s="1052" t="s">
        <v>695</v>
      </c>
      <c r="J32" s="1052"/>
      <c r="K32" s="1422" t="str">
        <f>M32</f>
        <v>Bord inf. Soleil</v>
      </c>
      <c r="L32" s="1423"/>
      <c r="M32" s="1420" t="s">
        <v>794</v>
      </c>
      <c r="N32" s="1420"/>
      <c r="O32" s="1420"/>
      <c r="P32" s="1448"/>
      <c r="Q32" s="1449"/>
      <c r="R32" s="1449"/>
      <c r="S32" s="1449"/>
      <c r="T32" s="1450"/>
    </row>
    <row r="33" spans="2:28" ht="16.5" thickTop="1" thickBot="1"/>
    <row r="34" spans="2:28" ht="15.75" thickBot="1">
      <c r="B34" s="1395" t="s">
        <v>699</v>
      </c>
      <c r="C34" s="1398"/>
      <c r="D34" s="1398"/>
      <c r="E34" s="1398"/>
      <c r="F34" s="1398"/>
      <c r="G34" s="1398"/>
      <c r="H34" s="1398"/>
      <c r="I34" s="1396"/>
      <c r="J34" s="1396"/>
      <c r="K34" s="1396"/>
      <c r="L34" s="1396"/>
      <c r="M34" s="1396"/>
      <c r="N34" s="1396"/>
      <c r="O34" s="1396"/>
      <c r="P34" s="1396"/>
      <c r="Q34" s="1396"/>
      <c r="R34" s="1396"/>
      <c r="S34" s="1396"/>
      <c r="T34" s="1396"/>
      <c r="U34" s="1396"/>
      <c r="V34" s="1396"/>
      <c r="W34" s="1396"/>
      <c r="X34" s="1396"/>
      <c r="Y34" s="1396"/>
      <c r="Z34" s="1397"/>
    </row>
    <row r="35" spans="2:28" ht="16.5" thickTop="1" thickBot="1">
      <c r="C35" s="1459" t="s">
        <v>33</v>
      </c>
      <c r="D35" s="1459"/>
      <c r="E35" s="1459"/>
      <c r="F35" s="1459"/>
      <c r="G35" s="369"/>
      <c r="H35" s="91"/>
      <c r="I35" s="1438" t="s">
        <v>279</v>
      </c>
      <c r="J35" s="1439"/>
      <c r="K35" s="413" cm="1">
        <f t="array" ref="K35">angleConvert2Decimal(M35)</f>
        <v>0.94833333333333336</v>
      </c>
      <c r="L35" s="413"/>
      <c r="M35" s="1458" t="s">
        <v>770</v>
      </c>
      <c r="N35" s="1458"/>
      <c r="O35" s="1458"/>
      <c r="P35" s="1451" t="str">
        <f>angleDecimal2Txt(K35)</f>
        <v>+00°56.89 (+00.9483) [+00°56'54.00]</v>
      </c>
      <c r="Q35" s="1452"/>
      <c r="R35" s="1452"/>
      <c r="S35" s="1452"/>
      <c r="T35" s="1453"/>
    </row>
    <row r="36" spans="2:28" ht="16.5" thickTop="1" thickBot="1"/>
    <row r="37" spans="2:28" ht="15.75" thickBot="1">
      <c r="B37" s="1395" t="s">
        <v>100</v>
      </c>
      <c r="C37" s="1396"/>
      <c r="D37" s="1396"/>
      <c r="E37" s="1396"/>
      <c r="F37" s="1396"/>
      <c r="G37" s="1396"/>
      <c r="H37" s="1396"/>
      <c r="I37" s="1396"/>
      <c r="J37" s="1396"/>
      <c r="K37" s="1396"/>
      <c r="L37" s="1396"/>
      <c r="M37" s="1396"/>
      <c r="N37" s="1396"/>
      <c r="O37" s="1396"/>
      <c r="P37" s="1396"/>
      <c r="Q37" s="1396"/>
      <c r="R37" s="1396"/>
      <c r="S37" s="1396"/>
      <c r="T37" s="1396"/>
      <c r="U37" s="1396"/>
      <c r="V37" s="1396"/>
      <c r="W37" s="1396"/>
      <c r="X37" s="1396"/>
      <c r="Y37" s="1396"/>
      <c r="Z37" s="1397"/>
    </row>
    <row r="38" spans="2:28" ht="15.75" thickBot="1">
      <c r="C38" t="s">
        <v>700</v>
      </c>
    </row>
    <row r="39" spans="2:28" ht="16.5" thickTop="1" thickBot="1">
      <c r="E39" s="253" t="s">
        <v>31</v>
      </c>
      <c r="F39" s="253" cm="1">
        <f t="array" ref="F39">astroDiametreSoleilEnDegre(I11)</f>
        <v>0.53333333299999997</v>
      </c>
      <c r="G39" s="1425" t="str">
        <f>angleDecimal2Txt(F39)</f>
        <v>+00°31.99 (+00.5333) [+00°31'59.99]</v>
      </c>
      <c r="H39" s="1425"/>
      <c r="I39" s="1425"/>
      <c r="J39" s="1425"/>
      <c r="K39" s="1425"/>
    </row>
    <row r="40" spans="2:28" ht="16.5" thickTop="1" thickBot="1">
      <c r="E40" s="253" t="s">
        <v>33</v>
      </c>
      <c r="F40" s="253" cm="1">
        <f t="array" ref="F40">astroDiametreLuneEnDegre(K35)</f>
        <v>0.51763780940000004</v>
      </c>
      <c r="G40" s="1425" t="str">
        <f>angleDecimal2Txt(F40)</f>
        <v>+00°31.05 (+00.5176) [+00°31'03.49]</v>
      </c>
      <c r="H40" s="1425"/>
      <c r="I40" s="1425"/>
      <c r="J40" s="1425"/>
      <c r="K40" s="1425"/>
    </row>
    <row r="41" spans="2:28" ht="16.5" thickTop="1" thickBot="1"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</row>
    <row r="42" spans="2:28" ht="15.75" thickBot="1">
      <c r="B42" s="1395" t="s">
        <v>95</v>
      </c>
      <c r="C42" s="1396"/>
      <c r="D42" s="1396"/>
      <c r="E42" s="1396"/>
      <c r="F42" s="1396"/>
      <c r="G42" s="1396"/>
      <c r="H42" s="1396"/>
      <c r="I42" s="1396"/>
      <c r="J42" s="1396"/>
      <c r="K42" s="1396"/>
      <c r="L42" s="1396"/>
      <c r="M42" s="1396"/>
      <c r="N42" s="1396"/>
      <c r="O42" s="1396"/>
      <c r="P42" s="1396"/>
      <c r="Q42" s="1396"/>
      <c r="R42" s="1396"/>
      <c r="S42" s="1396"/>
      <c r="T42" s="1396"/>
      <c r="U42" s="1396"/>
      <c r="V42" s="1396"/>
      <c r="W42" s="1396"/>
      <c r="X42" s="1396"/>
      <c r="Y42" s="1396"/>
      <c r="Z42" s="1397"/>
    </row>
    <row r="43" spans="2:28">
      <c r="F43" s="1390" t="s">
        <v>31</v>
      </c>
      <c r="G43" s="1390"/>
      <c r="H43" s="1390"/>
      <c r="I43" s="1390"/>
      <c r="J43" s="1390" t="s">
        <v>33</v>
      </c>
      <c r="K43" s="1390"/>
      <c r="L43" s="1390"/>
      <c r="M43" s="1390"/>
      <c r="N43" s="1390" t="s">
        <v>692</v>
      </c>
      <c r="O43" s="1390"/>
      <c r="P43" s="1390"/>
      <c r="Q43" s="1390"/>
      <c r="R43" s="1390"/>
    </row>
    <row r="44" spans="2:28" ht="15.75" thickBot="1">
      <c r="C44" s="1417" t="s">
        <v>60</v>
      </c>
      <c r="D44" s="1417"/>
      <c r="E44" s="1417"/>
      <c r="F44" s="806">
        <f>$K$28</f>
        <v>49.674999999999997</v>
      </c>
      <c r="G44" s="806"/>
      <c r="H44" s="806"/>
      <c r="I44" s="806"/>
      <c r="J44" s="806">
        <f>$K$26</f>
        <v>32.983333333333334</v>
      </c>
      <c r="K44" s="806"/>
      <c r="L44" s="806"/>
      <c r="M44" s="806"/>
      <c r="N44" s="1454" t="s">
        <v>705</v>
      </c>
      <c r="O44" s="1239">
        <f>$K$30</f>
        <v>81.825000000000003</v>
      </c>
      <c r="P44" s="806"/>
      <c r="Q44" s="806"/>
      <c r="R44" s="806"/>
    </row>
    <row r="45" spans="2:28" ht="16.5" thickTop="1" thickBot="1">
      <c r="C45" s="1417"/>
      <c r="D45" s="1417"/>
      <c r="E45" s="1417"/>
      <c r="F45" s="1380" t="str">
        <f>angleDecimal2Txt(F44)</f>
        <v>+49°40.50 (+49.6749) [+49°40'30.00]</v>
      </c>
      <c r="G45" s="1380"/>
      <c r="H45" s="1380"/>
      <c r="I45" s="1380"/>
      <c r="J45" s="1380" t="str">
        <f>angleDecimal2Txt(J44)</f>
        <v>+32°59.00 (+32.9833) [+32°59'00.00]</v>
      </c>
      <c r="K45" s="1380"/>
      <c r="L45" s="1380"/>
      <c r="M45" s="1380"/>
      <c r="N45" s="1455"/>
      <c r="O45" s="1391" t="str">
        <f>angleDecimal2Txt(O44)</f>
        <v>+81°49.50 (+81.8250) [+81°49'30.00]</v>
      </c>
      <c r="P45" s="1380"/>
      <c r="Q45" s="1380"/>
      <c r="R45" s="1380"/>
    </row>
    <row r="46" spans="2:28" ht="18.75" thickTop="1">
      <c r="D46" s="1418" t="s">
        <v>693</v>
      </c>
      <c r="E46" s="1419"/>
      <c r="F46" s="806">
        <f>$J$15*(-1)</f>
        <v>0</v>
      </c>
      <c r="G46" s="806"/>
      <c r="H46" s="806"/>
      <c r="I46" s="806"/>
      <c r="J46" s="806">
        <f>$J$15*(-1)</f>
        <v>0</v>
      </c>
      <c r="K46" s="806"/>
      <c r="L46" s="806"/>
      <c r="M46" s="806"/>
      <c r="N46" s="806">
        <f>$J$15*(-1)</f>
        <v>0</v>
      </c>
      <c r="O46" s="806"/>
      <c r="P46" s="806"/>
      <c r="Q46" s="806"/>
      <c r="R46" s="806"/>
      <c r="AA46" s="3" t="s">
        <v>46</v>
      </c>
      <c r="AB46" s="3">
        <f>J14</f>
        <v>4</v>
      </c>
    </row>
    <row r="47" spans="2:28">
      <c r="D47" s="1415" t="s">
        <v>404</v>
      </c>
      <c r="E47" s="1416"/>
      <c r="F47" s="1052">
        <f>$AB$47</f>
        <v>5.8599999999999999E-2</v>
      </c>
      <c r="G47" s="1052"/>
      <c r="H47" s="1052"/>
      <c r="I47" s="1052"/>
      <c r="J47" s="1052">
        <f>$AB$47</f>
        <v>5.8599999999999999E-2</v>
      </c>
      <c r="K47" s="1052"/>
      <c r="L47" s="1052"/>
      <c r="M47" s="1052"/>
      <c r="N47" s="1052" t="s">
        <v>711</v>
      </c>
      <c r="O47" s="1052"/>
      <c r="P47" s="1052"/>
      <c r="Q47" s="1052"/>
      <c r="R47" s="1052"/>
      <c r="AA47" s="72" t="s">
        <v>67</v>
      </c>
      <c r="AB47" s="3">
        <f>0.0293 * SQRT(AB46)</f>
        <v>5.8599999999999999E-2</v>
      </c>
    </row>
    <row r="48" spans="2:28" ht="15.75" thickBot="1">
      <c r="C48" s="1394" t="s">
        <v>774</v>
      </c>
      <c r="D48" s="1394"/>
      <c r="E48" s="1394"/>
      <c r="F48" s="1460">
        <f>F44+F46-F47</f>
        <v>49.616399999999999</v>
      </c>
      <c r="G48" s="1392"/>
      <c r="H48" s="386">
        <f>F48*Outils!$F$4</f>
        <v>0.86596954298651452</v>
      </c>
      <c r="I48" s="389" t="s">
        <v>701</v>
      </c>
      <c r="J48" s="1460">
        <f>J44+J46-J47</f>
        <v>32.924733333333336</v>
      </c>
      <c r="K48" s="1392"/>
      <c r="L48" s="386">
        <f>J48*Outils!$F$4</f>
        <v>0.57464500200779445</v>
      </c>
      <c r="M48" s="390" t="s">
        <v>64</v>
      </c>
      <c r="N48" s="1381" t="s">
        <v>710</v>
      </c>
      <c r="O48" s="1392">
        <f>O44+N46</f>
        <v>81.825000000000003</v>
      </c>
      <c r="P48" s="1393"/>
      <c r="Q48" s="386">
        <f>O48*Outils!$F$4</f>
        <v>1.4281156604443601</v>
      </c>
      <c r="R48" s="389" t="s">
        <v>64</v>
      </c>
      <c r="AA48" s="72"/>
      <c r="AB48" s="3"/>
    </row>
    <row r="49" spans="3:34" ht="16.5" thickTop="1" thickBot="1">
      <c r="C49" s="1394"/>
      <c r="D49" s="1394"/>
      <c r="E49" s="1394"/>
      <c r="F49" s="1380" t="str">
        <f>angleDecimal2Txt(F48)</f>
        <v>+49°36.98 (+49.6163) [+49°36'59.04]</v>
      </c>
      <c r="G49" s="1380"/>
      <c r="H49" s="1380"/>
      <c r="I49" s="1380"/>
      <c r="J49" s="1380" t="str">
        <f>angleDecimal2Txt(J48)</f>
        <v>+32°55.48 (+32.9247) [+32°55'29.04]</v>
      </c>
      <c r="K49" s="1380"/>
      <c r="L49" s="1380"/>
      <c r="M49" s="1380"/>
      <c r="N49" s="1209"/>
      <c r="O49" s="1391" t="str">
        <f>angleDecimal2Txt(O48)</f>
        <v>+81°49.50 (+81.8250) [+81°49'30.00]</v>
      </c>
      <c r="P49" s="1380"/>
      <c r="Q49" s="1380"/>
      <c r="R49" s="1380"/>
      <c r="AA49" s="72"/>
      <c r="AB49" s="3"/>
    </row>
    <row r="50" spans="3:34" ht="15.75" thickTop="1">
      <c r="D50" s="1415" t="s">
        <v>694</v>
      </c>
      <c r="E50" s="1416"/>
      <c r="F50" s="806" t="str">
        <f>K29</f>
        <v>Bord inf.</v>
      </c>
      <c r="G50" s="806"/>
      <c r="H50" s="806"/>
      <c r="I50" s="806"/>
      <c r="J50" s="806" t="str">
        <f>K27</f>
        <v>Bord inf.</v>
      </c>
      <c r="K50" s="806"/>
      <c r="L50" s="806"/>
      <c r="M50" s="806"/>
      <c r="N50" s="806" t="str">
        <f>K31</f>
        <v>Bord inf. Lune</v>
      </c>
      <c r="O50" s="806"/>
      <c r="P50" s="806"/>
      <c r="Q50" s="806" t="str">
        <f>K32</f>
        <v>Bord inf. Soleil</v>
      </c>
      <c r="R50" s="806"/>
    </row>
    <row r="51" spans="3:34" ht="15.75" thickBot="1">
      <c r="D51" s="1415" t="s">
        <v>100</v>
      </c>
      <c r="E51" s="1416"/>
      <c r="F51" s="806">
        <f>F39</f>
        <v>0.53333333299999997</v>
      </c>
      <c r="G51" s="806"/>
      <c r="H51" s="806"/>
      <c r="I51" s="806"/>
      <c r="J51" s="1052">
        <f>F40</f>
        <v>0.51763780940000004</v>
      </c>
      <c r="K51" s="1052"/>
      <c r="L51" s="1052"/>
      <c r="M51" s="1052"/>
      <c r="N51" s="1052">
        <f>F51</f>
        <v>0.53333333299999997</v>
      </c>
      <c r="O51" s="1052"/>
      <c r="P51" s="1052"/>
      <c r="Q51" s="1052">
        <f>J51</f>
        <v>0.51763780940000004</v>
      </c>
      <c r="R51" s="1052"/>
      <c r="AA51" s="253" t="s">
        <v>698</v>
      </c>
      <c r="AB51" s="253"/>
    </row>
    <row r="52" spans="3:34" ht="16.5" thickTop="1" thickBot="1">
      <c r="D52" s="1410" t="s">
        <v>71</v>
      </c>
      <c r="E52" s="1411"/>
      <c r="F52" s="1456">
        <f>F51*VLOOKUP(F50,$AA$52:$AB$56,2,FALSE)</f>
        <v>0.26666666649999998</v>
      </c>
      <c r="G52" s="1431" t="str">
        <f>angleDecimal2Txt((F52))</f>
        <v>+00°15.99 (+00.2666) [+00°15'59.99]</v>
      </c>
      <c r="H52" s="1431"/>
      <c r="I52" s="1431"/>
      <c r="J52" s="1430">
        <f>J51*VLOOKUP(J50,$AA$52:$AB$56,2,FALSE)</f>
        <v>0.25881890470000002</v>
      </c>
      <c r="K52" s="1431" t="str">
        <f>angleDecimal2Txt((J52))</f>
        <v>+00°15.52 (+00.2588) [+00°15'31.74]</v>
      </c>
      <c r="L52" s="1431"/>
      <c r="M52" s="1431"/>
      <c r="N52" s="1052">
        <f>N51*VLOOKUP(N50,Z52:AB53,3,FALSE)</f>
        <v>0.26666666649999998</v>
      </c>
      <c r="O52" s="1052"/>
      <c r="P52" s="1052"/>
      <c r="Q52" s="1052">
        <f>Q51*VLOOKUP(Q50,Y52:AB53,4,FALSE)</f>
        <v>0.25881890470000002</v>
      </c>
      <c r="R52" s="1052"/>
      <c r="Y52" s="253" t="str">
        <f>AE29</f>
        <v>Bord inf. Soleil</v>
      </c>
      <c r="Z52" s="253" t="str">
        <f>AC29</f>
        <v>Bord inf. Lune</v>
      </c>
      <c r="AA52" s="253" t="str">
        <f>AA29</f>
        <v>Bord inf.</v>
      </c>
      <c r="AB52" s="253">
        <v>0.5</v>
      </c>
      <c r="AE52" s="253"/>
      <c r="AH52" s="253"/>
    </row>
    <row r="53" spans="3:34" ht="16.5" thickTop="1" thickBot="1">
      <c r="D53" s="1412"/>
      <c r="E53" s="1413"/>
      <c r="F53" s="1457"/>
      <c r="G53" s="1431"/>
      <c r="H53" s="1431"/>
      <c r="I53" s="1431"/>
      <c r="J53" s="1381"/>
      <c r="K53" s="1431"/>
      <c r="L53" s="1431"/>
      <c r="M53" s="1431"/>
      <c r="N53" s="1052">
        <f>(N52+Q52)</f>
        <v>0.52548557119999995</v>
      </c>
      <c r="O53" s="1052"/>
      <c r="P53" s="1052"/>
      <c r="Q53" s="1052"/>
      <c r="R53" s="1052"/>
      <c r="Y53" s="253" t="str">
        <f>AE30</f>
        <v>Bord Sup. Soleil</v>
      </c>
      <c r="Z53" s="253" t="str">
        <f>AC30</f>
        <v>Bord Sup. Lune</v>
      </c>
      <c r="AA53" s="253" t="str">
        <f>AA30</f>
        <v>Bord Sup.</v>
      </c>
      <c r="AB53" s="253">
        <v>-0.5</v>
      </c>
      <c r="AE53" s="253"/>
      <c r="AH53" s="253"/>
    </row>
    <row r="54" spans="3:34" ht="16.5" thickTop="1" thickBot="1">
      <c r="C54" s="1394" t="s">
        <v>782</v>
      </c>
      <c r="D54" s="1394"/>
      <c r="E54" s="1394"/>
      <c r="F54" s="1393">
        <f>F48+F52</f>
        <v>49.8830666665</v>
      </c>
      <c r="G54" s="1393"/>
      <c r="H54" s="386">
        <f>F54*Outils!$F$4</f>
        <v>0.87062375432225714</v>
      </c>
      <c r="I54" s="387" t="s">
        <v>701</v>
      </c>
      <c r="J54" s="1393">
        <f>J48+J52</f>
        <v>33.183552238033336</v>
      </c>
      <c r="K54" s="1393"/>
      <c r="L54" s="386">
        <f>J54*Outils!$F$4</f>
        <v>0.57916224406121486</v>
      </c>
      <c r="M54" s="388" t="s">
        <v>64</v>
      </c>
      <c r="N54" s="1381" t="s">
        <v>789</v>
      </c>
      <c r="O54" s="1392">
        <f>O48+N53</f>
        <v>82.350485571199997</v>
      </c>
      <c r="P54" s="1393"/>
      <c r="Q54" s="386">
        <f>O54*Outils!$F$4</f>
        <v>1.4372871138335233</v>
      </c>
      <c r="R54" s="387" t="s">
        <v>64</v>
      </c>
      <c r="AA54" s="253" t="str">
        <f>AA31</f>
        <v>Milieu</v>
      </c>
      <c r="AB54" s="253">
        <v>0</v>
      </c>
    </row>
    <row r="55" spans="3:34" ht="16.5" thickTop="1" thickBot="1">
      <c r="C55" s="1394"/>
      <c r="D55" s="1394"/>
      <c r="E55" s="1394"/>
      <c r="F55" s="1391" t="str">
        <f>angleDecimal2Txt(F54)</f>
        <v>+49°52.98 (+49.8830) [+49°52'59.03]</v>
      </c>
      <c r="G55" s="1380"/>
      <c r="H55" s="1380"/>
      <c r="I55" s="1380"/>
      <c r="J55" s="1380" t="str">
        <f>angleDecimal2Txt(J54)</f>
        <v>+33°11.01 (+33.1835) [+33°11'00.78]</v>
      </c>
      <c r="K55" s="1380"/>
      <c r="L55" s="1380"/>
      <c r="M55" s="1407"/>
      <c r="N55" s="1209"/>
      <c r="O55" s="1391" t="str">
        <f>angleDecimal2Txt(O54)</f>
        <v>+82°21.02 (+82.3504) [+82°21'01.74]</v>
      </c>
      <c r="P55" s="1380"/>
      <c r="Q55" s="1380"/>
      <c r="R55" s="1380"/>
      <c r="AA55" s="253"/>
      <c r="AB55" s="253"/>
    </row>
    <row r="56" spans="3:34" ht="16.5" thickTop="1" thickBot="1">
      <c r="E56" s="370" t="s">
        <v>702</v>
      </c>
      <c r="F56" s="374" cm="1">
        <f t="array" ref="F56">astroHPSoleilEnDegre()</f>
        <v>2.8833333333333302E-3</v>
      </c>
      <c r="G56" s="1414" t="str">
        <f>angleDecimal2Txt((F56))</f>
        <v>+00°00.17 (+00.0028) [+00°00'10.37]</v>
      </c>
      <c r="H56" s="1414"/>
      <c r="I56" s="1414"/>
      <c r="J56" s="374">
        <f>K35</f>
        <v>0.94833333333333336</v>
      </c>
      <c r="K56" s="1414" t="str">
        <f>angleDecimal2Txt((J56))</f>
        <v>+00°56.89 (+00.9483) [+00°56'54.00]</v>
      </c>
      <c r="L56" s="1414"/>
      <c r="M56" s="1414"/>
    </row>
    <row r="57" spans="3:34" ht="16.5" thickTop="1" thickBot="1">
      <c r="E57" s="253" t="s">
        <v>279</v>
      </c>
      <c r="F57" s="374">
        <f>AC58</f>
        <v>1.8578748766220486E-3</v>
      </c>
      <c r="G57" s="1414" t="str">
        <f>angleDecimal2Txt((F57))</f>
        <v>+00°00.11 (+00.0018) [+00°00'06.68]</v>
      </c>
      <c r="H57" s="1414"/>
      <c r="I57" s="1414"/>
      <c r="J57" s="375">
        <f>AC59</f>
        <v>0.79366966768813074</v>
      </c>
      <c r="K57" s="1414" t="str">
        <f>angleDecimal2Txt((J57))</f>
        <v>+00°47.62 (+00.7936) [+00°47'37.21]</v>
      </c>
      <c r="L57" s="1414"/>
      <c r="M57" s="1414"/>
      <c r="AA57" s="3" t="s">
        <v>776</v>
      </c>
      <c r="AB57" s="3"/>
    </row>
    <row r="58" spans="3:34" ht="16.5" thickTop="1" thickBot="1">
      <c r="E58" s="253" t="s">
        <v>184</v>
      </c>
      <c r="F58" s="374">
        <f>AB65</f>
        <v>1.3980157699802686E-2</v>
      </c>
      <c r="G58" s="1414" t="str">
        <f>angleDecimal2Txt((F58))</f>
        <v>+00°00.83 (+00.0139) [+00°00'50.32]</v>
      </c>
      <c r="H58" s="1414"/>
      <c r="I58" s="1414"/>
      <c r="J58" s="375">
        <f>AC65</f>
        <v>2.5304558655161638E-2</v>
      </c>
      <c r="K58" s="1414" t="str">
        <f>angleDecimal2Txt((J58))</f>
        <v>+00°01.51 (+00.0253) [+00°01'31.09]</v>
      </c>
      <c r="L58" s="1414"/>
      <c r="M58" s="1414"/>
      <c r="Q58" s="92"/>
      <c r="AA58" s="1441" t="s">
        <v>775</v>
      </c>
      <c r="AB58" s="253" t="s">
        <v>31</v>
      </c>
      <c r="AC58" s="253">
        <f>ASIN(SIN(F56*Outils!F4)*COS(H54))*Outils!F5</f>
        <v>1.8578748766220486E-3</v>
      </c>
    </row>
    <row r="59" spans="3:34" ht="16.5" thickTop="1" thickBot="1">
      <c r="E59" s="376" t="s">
        <v>727</v>
      </c>
      <c r="F59" s="366">
        <f>F57-F58+F52</f>
        <v>0.25454438367681936</v>
      </c>
      <c r="G59" s="1414" t="str">
        <f>angleDecimal2Txt((F59))</f>
        <v>+00°15.27 (+00.2545) [+00°15'16.35]</v>
      </c>
      <c r="H59" s="1414"/>
      <c r="I59" s="1414"/>
      <c r="J59" s="375">
        <f>J57-J58+J52</f>
        <v>1.0271840137329691</v>
      </c>
      <c r="K59" s="1414" t="str">
        <f>angleDecimal2Txt((J59))</f>
        <v>+01°01.63 (+01.0271) [+01°01'37.86]</v>
      </c>
      <c r="L59" s="1414"/>
      <c r="M59" s="1414"/>
      <c r="Q59" s="92"/>
      <c r="AA59" s="1441"/>
      <c r="AB59" s="253" t="s">
        <v>33</v>
      </c>
      <c r="AC59" s="253">
        <f>ASIN(SIN(J56*Outils!F4)*COS(L54))*Outils!F5</f>
        <v>0.79366966768813074</v>
      </c>
    </row>
    <row r="60" spans="3:34" ht="16.5" thickTop="1" thickBot="1">
      <c r="C60" s="1394" t="s">
        <v>783</v>
      </c>
      <c r="D60" s="1394"/>
      <c r="E60" s="1394"/>
      <c r="F60" s="1408">
        <f>F54+F57-F58</f>
        <v>49.870944383676814</v>
      </c>
      <c r="G60" s="1408"/>
      <c r="H60" s="386">
        <f>F60*Outils!$F$4</f>
        <v>0.87041218057413461</v>
      </c>
      <c r="I60" s="389" t="s">
        <v>701</v>
      </c>
      <c r="J60" s="1409">
        <f>J54+J57-J58</f>
        <v>33.951917347066299</v>
      </c>
      <c r="K60" s="1408"/>
      <c r="L60" s="386">
        <f>J60*Outils!$F$4</f>
        <v>0.59257274507128521</v>
      </c>
      <c r="M60" s="389" t="s">
        <v>701</v>
      </c>
      <c r="O60" s="1406"/>
      <c r="P60" s="1406"/>
      <c r="Q60" s="1406"/>
      <c r="R60" s="1406"/>
    </row>
    <row r="61" spans="3:34" ht="16.5" thickTop="1" thickBot="1">
      <c r="C61" s="1394"/>
      <c r="D61" s="1394"/>
      <c r="E61" s="1394"/>
      <c r="F61" s="1391" t="str">
        <f>angleDecimal2Txt(F60)</f>
        <v>+49°52.25 (+49.8709) [+49°52'15.39]</v>
      </c>
      <c r="G61" s="1380"/>
      <c r="H61" s="1380"/>
      <c r="I61" s="1380"/>
      <c r="J61" s="1380" t="str">
        <f>angleDecimal2Txt(J60)</f>
        <v>+33°57.11 (+33.9519) [+33°57'06.90]</v>
      </c>
      <c r="K61" s="1380"/>
      <c r="L61" s="1380"/>
      <c r="M61" s="1380"/>
      <c r="AA61" s="3" t="s">
        <v>49</v>
      </c>
      <c r="AB61" s="3" t="s">
        <v>185</v>
      </c>
    </row>
    <row r="62" spans="3:34" ht="15.75" thickTop="1">
      <c r="AA62" s="3" t="s">
        <v>186</v>
      </c>
      <c r="AB62" s="3">
        <f>1/TAN((F54 + 7.31 / (F54 + 4.4)) * Outils!$F$4)</f>
        <v>0.83857240971686298</v>
      </c>
      <c r="AC62" s="3">
        <f>1/TAN((J54+ 7.31 / (J54 + 4.4)) * Outils!$F$4)</f>
        <v>1.5178444466745957</v>
      </c>
    </row>
    <row r="63" spans="3:34">
      <c r="C63" s="1383" t="s">
        <v>706</v>
      </c>
      <c r="D63" s="1383"/>
      <c r="E63" s="1383"/>
      <c r="F63" s="1382">
        <f>SIN(H54)</f>
        <v>0.76473100165685415</v>
      </c>
      <c r="G63" s="1382"/>
      <c r="H63" s="1382"/>
      <c r="I63" s="1382"/>
      <c r="J63" s="1382">
        <f>SIN(L54)</f>
        <v>0.54732299301012166</v>
      </c>
      <c r="K63" s="1382"/>
      <c r="L63" s="1382"/>
      <c r="M63" s="1382"/>
      <c r="AA63" s="3" t="s">
        <v>187</v>
      </c>
      <c r="AB63" s="3">
        <f>AB62/60</f>
        <v>1.3976206828614383E-2</v>
      </c>
      <c r="AC63" s="3">
        <f>AC62/60</f>
        <v>2.5297407444576595E-2</v>
      </c>
    </row>
    <row r="64" spans="3:34">
      <c r="C64" s="1383" t="s">
        <v>707</v>
      </c>
      <c r="D64" s="1383"/>
      <c r="E64" s="1383"/>
      <c r="F64" s="1382">
        <f>COS(H54)</f>
        <v>0.64434966835166796</v>
      </c>
      <c r="G64" s="1382"/>
      <c r="H64" s="1382"/>
      <c r="I64" s="1382"/>
      <c r="J64" s="1382">
        <f>COS(L54)</f>
        <v>0.83692146663975731</v>
      </c>
      <c r="K64" s="1382"/>
      <c r="L64" s="1382"/>
      <c r="M64" s="1382"/>
      <c r="AA64" s="3" t="s">
        <v>96</v>
      </c>
      <c r="AB64" s="3">
        <f xml:space="preserve"> 0.28 * $J$17 / (273 + $J$16)</f>
        <v>1.0002826855123677</v>
      </c>
      <c r="AC64" s="3">
        <f>AB64</f>
        <v>1.0002826855123677</v>
      </c>
    </row>
    <row r="65" spans="2:29">
      <c r="C65" s="1383" t="s">
        <v>784</v>
      </c>
      <c r="D65" s="1383"/>
      <c r="E65" s="1383"/>
      <c r="F65" s="1382">
        <f>SIN(H60)</f>
        <v>0.76459465706743734</v>
      </c>
      <c r="G65" s="1382"/>
      <c r="H65" s="1382"/>
      <c r="I65" s="1382"/>
      <c r="J65" s="1382">
        <f>SIN(L60)</f>
        <v>0.55849697781054075</v>
      </c>
      <c r="K65" s="1382"/>
      <c r="L65" s="1382"/>
      <c r="M65" s="1382"/>
      <c r="AA65" s="3" t="s">
        <v>184</v>
      </c>
      <c r="AB65" s="3">
        <f>AB64*AB63</f>
        <v>1.3980157699802686E-2</v>
      </c>
      <c r="AC65" s="3">
        <f>AC64*AC63</f>
        <v>2.5304558655161638E-2</v>
      </c>
    </row>
    <row r="66" spans="2:29">
      <c r="C66" s="1383" t="s">
        <v>785</v>
      </c>
      <c r="D66" s="1383"/>
      <c r="E66" s="1383"/>
      <c r="F66" s="1382">
        <f>COS(H60)</f>
        <v>0.64451145093312956</v>
      </c>
      <c r="G66" s="1382"/>
      <c r="H66" s="1382"/>
      <c r="I66" s="1382"/>
      <c r="J66" s="1382">
        <f>COS(L60)</f>
        <v>0.82950655559585085</v>
      </c>
      <c r="K66" s="1382"/>
      <c r="L66" s="1382"/>
      <c r="M66" s="1382"/>
    </row>
    <row r="68" spans="2:29">
      <c r="C68" s="1383" t="s">
        <v>680</v>
      </c>
      <c r="D68" s="1383"/>
      <c r="E68" s="1383"/>
      <c r="F68" s="1382">
        <f>F63*J63</f>
        <v>0.41855486067445774</v>
      </c>
      <c r="G68" s="1382"/>
      <c r="H68" s="1382"/>
      <c r="I68" s="1382"/>
      <c r="J68" s="394" t="s">
        <v>777</v>
      </c>
    </row>
    <row r="69" spans="2:29">
      <c r="C69" s="1383" t="s">
        <v>786</v>
      </c>
      <c r="D69" s="1383"/>
      <c r="E69" s="1383"/>
      <c r="F69" s="1382">
        <f>F64*J64</f>
        <v>0.5392700694657192</v>
      </c>
      <c r="G69" s="1382"/>
      <c r="H69" s="1382"/>
      <c r="I69" s="1382"/>
      <c r="J69" s="394" t="s">
        <v>780</v>
      </c>
    </row>
    <row r="70" spans="2:29">
      <c r="C70" s="1383" t="s">
        <v>787</v>
      </c>
      <c r="D70" s="1383"/>
      <c r="E70" s="1383"/>
      <c r="F70" s="1382">
        <f>F65*J65</f>
        <v>0.42702380522225059</v>
      </c>
      <c r="G70" s="1382"/>
      <c r="H70" s="1382"/>
      <c r="I70" s="1382"/>
      <c r="J70" s="394" t="s">
        <v>779</v>
      </c>
    </row>
    <row r="71" spans="2:29">
      <c r="C71" s="1383" t="s">
        <v>788</v>
      </c>
      <c r="D71" s="1383"/>
      <c r="E71" s="1383"/>
      <c r="F71" s="1382">
        <f>F66*J66</f>
        <v>0.53462647370562455</v>
      </c>
      <c r="G71" s="1382"/>
      <c r="H71" s="1382"/>
      <c r="I71" s="1382"/>
      <c r="J71" s="394" t="s">
        <v>5</v>
      </c>
    </row>
    <row r="72" spans="2:29">
      <c r="C72" s="1383" t="s">
        <v>790</v>
      </c>
      <c r="D72" s="1383"/>
      <c r="E72" s="1383"/>
      <c r="F72" s="1382">
        <f>COS(Q54)</f>
        <v>0.13311293913358418</v>
      </c>
      <c r="G72" s="1382"/>
      <c r="H72" s="1382"/>
      <c r="I72" s="1382"/>
      <c r="J72" s="394" t="s">
        <v>778</v>
      </c>
    </row>
    <row r="73" spans="2:29" ht="15.75" thickBot="1"/>
    <row r="74" spans="2:29" ht="15.75" thickBot="1">
      <c r="B74" s="1395" t="s">
        <v>712</v>
      </c>
      <c r="C74" s="1396"/>
      <c r="D74" s="1396"/>
      <c r="E74" s="1396"/>
      <c r="F74" s="1396"/>
      <c r="G74" s="1396"/>
      <c r="H74" s="1396"/>
      <c r="I74" s="1396"/>
      <c r="J74" s="1396"/>
      <c r="K74" s="1396"/>
      <c r="L74" s="1396"/>
      <c r="M74" s="1396"/>
      <c r="N74" s="1396"/>
      <c r="O74" s="1396"/>
      <c r="P74" s="1396"/>
      <c r="Q74" s="1396"/>
      <c r="R74" s="1396"/>
      <c r="S74" s="1396"/>
      <c r="T74" s="1396"/>
      <c r="U74" s="1396"/>
      <c r="V74" s="1396"/>
      <c r="W74" s="1396"/>
      <c r="X74" s="1396"/>
      <c r="Y74" s="1396"/>
      <c r="Z74" s="1397"/>
    </row>
    <row r="75" spans="2:29">
      <c r="C75" s="1399" t="s">
        <v>791</v>
      </c>
      <c r="D75" s="1399"/>
      <c r="E75" s="1399"/>
      <c r="F75" s="1399"/>
      <c r="G75" s="1399"/>
      <c r="H75" s="1399"/>
      <c r="I75" s="1399"/>
      <c r="J75" s="1399"/>
      <c r="K75" s="1399"/>
      <c r="L75" s="1399"/>
      <c r="M75" s="1399"/>
    </row>
    <row r="76" spans="2:29">
      <c r="C76" s="1402" t="s">
        <v>781</v>
      </c>
      <c r="D76" s="1402"/>
      <c r="E76" s="1402"/>
      <c r="F76" s="1402"/>
      <c r="G76" s="391"/>
      <c r="H76" s="391"/>
      <c r="I76" s="391"/>
      <c r="J76" s="391"/>
      <c r="K76" s="391"/>
      <c r="L76" s="391"/>
      <c r="M76" s="391"/>
    </row>
    <row r="77" spans="2:29" ht="15.75" thickBot="1">
      <c r="C77" t="s">
        <v>708</v>
      </c>
      <c r="D77">
        <f>F68+(F72-F70)*F69/F71</f>
        <v>0.12209117814526732</v>
      </c>
    </row>
    <row r="78" spans="2:29" ht="16.5" thickTop="1" thickBot="1">
      <c r="C78" s="83" t="s">
        <v>678</v>
      </c>
      <c r="D78" s="83">
        <f>ACOS(D77)*Outils!$F$5</f>
        <v>82.987194178480095</v>
      </c>
      <c r="E78" t="s">
        <v>28</v>
      </c>
      <c r="F78" s="1380" t="str">
        <f>angleDecimal2Txt(D78)</f>
        <v>+82°59.23 (+82.9871) [+82°59'13.89]</v>
      </c>
      <c r="G78" s="1380"/>
      <c r="H78" s="1380"/>
      <c r="I78" s="1380"/>
    </row>
    <row r="79" spans="2:29" ht="15.75" thickTop="1"/>
    <row r="80" spans="2:29" ht="15.75" thickBot="1"/>
    <row r="81" spans="2:31" ht="15.75" thickBot="1">
      <c r="B81" s="1395" t="s">
        <v>713</v>
      </c>
      <c r="C81" s="1396"/>
      <c r="D81" s="1396"/>
      <c r="E81" s="1396"/>
      <c r="F81" s="1396"/>
      <c r="G81" s="1396"/>
      <c r="H81" s="1396"/>
      <c r="I81" s="1398"/>
      <c r="J81" s="1398"/>
      <c r="K81" s="1398"/>
      <c r="L81" s="1398"/>
      <c r="M81" s="1398"/>
      <c r="N81" s="1396"/>
      <c r="O81" s="1396"/>
      <c r="P81" s="1396"/>
      <c r="Q81" s="1396"/>
      <c r="R81" s="1396"/>
      <c r="S81" s="1396"/>
      <c r="T81" s="1396"/>
      <c r="U81" s="1396"/>
      <c r="V81" s="1396"/>
      <c r="W81" s="1396"/>
      <c r="X81" s="1396"/>
      <c r="Y81" s="1396"/>
      <c r="Z81" s="1397"/>
    </row>
    <row r="82" spans="2:31" ht="15.75" thickBot="1">
      <c r="C82" t="s">
        <v>714</v>
      </c>
      <c r="AA82" s="91" t="s">
        <v>719</v>
      </c>
      <c r="AB82" s="91">
        <f>AVERAGE(F85:F92)</f>
        <v>79.995833333333323</v>
      </c>
      <c r="AC82" s="91"/>
      <c r="AD82" s="91" t="s">
        <v>720</v>
      </c>
      <c r="AE82" s="91">
        <f>AVERAGE(D85:D92)</f>
        <v>10.5</v>
      </c>
    </row>
    <row r="83" spans="2:31" ht="19.5" thickTop="1" thickBot="1">
      <c r="D83" s="252" t="s">
        <v>681</v>
      </c>
      <c r="E83" s="1384" t="s">
        <v>715</v>
      </c>
      <c r="F83" s="1384"/>
      <c r="G83" s="1405" t="s">
        <v>797</v>
      </c>
      <c r="H83" s="1405"/>
      <c r="N83" s="1403" t="s">
        <v>725</v>
      </c>
      <c r="O83" s="1404">
        <f>K87*D78+L87</f>
        <v>16.433791811755441</v>
      </c>
      <c r="P83" s="1404"/>
      <c r="Q83" s="1404"/>
      <c r="R83" s="373" t="s">
        <v>726</v>
      </c>
    </row>
    <row r="84" spans="2:31" ht="16.5" thickTop="1" thickBot="1">
      <c r="D84" s="372" t="s">
        <v>717</v>
      </c>
      <c r="E84" s="1400" t="s">
        <v>718</v>
      </c>
      <c r="F84" s="1401"/>
      <c r="G84" s="392" t="s">
        <v>798</v>
      </c>
      <c r="H84" s="392" t="s">
        <v>799</v>
      </c>
      <c r="N84" s="1403"/>
      <c r="O84" s="1404" t="str">
        <f>heureDecimal2Txt(O83)</f>
        <v>16:26:01.65(16.4337)</v>
      </c>
      <c r="P84" s="1404"/>
      <c r="Q84" s="1404"/>
      <c r="R84" s="373" t="s">
        <v>726</v>
      </c>
      <c r="AA84" s="365" t="s">
        <v>721</v>
      </c>
      <c r="AB84" s="365" t="s">
        <v>722</v>
      </c>
      <c r="AC84" s="1209" t="s">
        <v>723</v>
      </c>
      <c r="AD84" s="1209"/>
      <c r="AE84" s="91" t="s">
        <v>724</v>
      </c>
    </row>
    <row r="85" spans="2:31" ht="19.5" thickTop="1" thickBot="1">
      <c r="D85" s="252">
        <v>0</v>
      </c>
      <c r="E85" s="368" t="s">
        <v>682</v>
      </c>
      <c r="F85" s="252" cm="1">
        <f t="array" ref="F85">angleConvert2Decimal(E85)</f>
        <v>74.680000000000007</v>
      </c>
      <c r="G85" s="392">
        <f t="shared" ref="G85:G92" si="0">(D85-$L$90)/$K$90</f>
        <v>74.702541982629683</v>
      </c>
      <c r="H85" s="393">
        <f>POWER((G85-F85),2)</f>
        <v>5.0814098087660425E-4</v>
      </c>
      <c r="J85" s="371" t="s">
        <v>716</v>
      </c>
      <c r="K85" s="371"/>
      <c r="L85" s="371"/>
      <c r="M85" s="371"/>
      <c r="AA85" s="365">
        <f t="shared" ref="AA85:AA92" si="1">F85-$AB$82</f>
        <v>-5.3158333333333161</v>
      </c>
      <c r="AB85" s="365">
        <f t="shared" ref="AB85:AB92" si="2">D85-$AE$82</f>
        <v>-10.5</v>
      </c>
      <c r="AC85" s="1209">
        <f t="shared" ref="AC85:AC92" si="3">AA85*AB85</f>
        <v>55.816249999999819</v>
      </c>
      <c r="AD85" s="1209"/>
      <c r="AE85" s="91">
        <f>AA85*AA85</f>
        <v>28.258084027777596</v>
      </c>
    </row>
    <row r="86" spans="2:31" ht="16.5" thickTop="1" thickBot="1">
      <c r="D86" s="252">
        <v>3</v>
      </c>
      <c r="E86" s="368" t="s">
        <v>683</v>
      </c>
      <c r="F86" s="252" cm="1">
        <f t="array" ref="F86">angleConvert2Decimal(E86)</f>
        <v>76.211666666666673</v>
      </c>
      <c r="G86" s="392">
        <f t="shared" si="0"/>
        <v>76.214910939973578</v>
      </c>
      <c r="H86" s="393">
        <f t="shared" ref="H86:H92" si="4">POWER((G86-F86),2)</f>
        <v>1.052530928989428E-5</v>
      </c>
      <c r="K86" s="350" t="s">
        <v>243</v>
      </c>
      <c r="L86" s="350" t="s">
        <v>244</v>
      </c>
      <c r="AA86" s="365">
        <f t="shared" si="1"/>
        <v>-3.7841666666666498</v>
      </c>
      <c r="AB86" s="365">
        <f t="shared" si="2"/>
        <v>-7.5</v>
      </c>
      <c r="AC86" s="1209">
        <f t="shared" si="3"/>
        <v>28.381249999999874</v>
      </c>
      <c r="AD86" s="1209"/>
      <c r="AE86" s="91">
        <f t="shared" ref="AE86:AE92" si="5">AA86*AA86</f>
        <v>14.319917361110983</v>
      </c>
    </row>
    <row r="87" spans="2:31" ht="16.5" thickTop="1" thickBot="1">
      <c r="D87" s="252">
        <v>6</v>
      </c>
      <c r="E87" s="368" t="s">
        <v>684</v>
      </c>
      <c r="F87" s="252" cm="1">
        <f t="array" ref="F87">angleConvert2Decimal(E87)</f>
        <v>77.736666666666665</v>
      </c>
      <c r="G87" s="392">
        <f t="shared" si="0"/>
        <v>77.727279897317473</v>
      </c>
      <c r="H87" s="393">
        <f t="shared" si="4"/>
        <v>8.8111438814922547E-5</v>
      </c>
      <c r="K87" s="350">
        <f>SUM(AC85:AD92)/SUM(AE85:AE92)</f>
        <v>1.9836429367531849</v>
      </c>
      <c r="L87" s="350">
        <f>AE82-K87*AB82</f>
        <v>-148.18316976135162</v>
      </c>
      <c r="AA87" s="365">
        <f t="shared" si="1"/>
        <v>-2.2591666666666583</v>
      </c>
      <c r="AB87" s="365">
        <f t="shared" si="2"/>
        <v>-4.5</v>
      </c>
      <c r="AC87" s="1209">
        <f t="shared" si="3"/>
        <v>10.166249999999962</v>
      </c>
      <c r="AD87" s="1209"/>
      <c r="AE87" s="91">
        <f t="shared" si="5"/>
        <v>5.1038340277777401</v>
      </c>
    </row>
    <row r="88" spans="2:31" ht="16.5" thickTop="1" thickBot="1">
      <c r="D88" s="252">
        <v>9</v>
      </c>
      <c r="E88" s="368" t="s">
        <v>685</v>
      </c>
      <c r="F88" s="252" cm="1">
        <f t="array" ref="F88">angleConvert2Decimal(E88)</f>
        <v>79.256666666666661</v>
      </c>
      <c r="G88" s="392">
        <f t="shared" si="0"/>
        <v>79.239648854661368</v>
      </c>
      <c r="H88" s="393">
        <f t="shared" si="4"/>
        <v>2.896059254474741E-4</v>
      </c>
      <c r="J88" s="378" t="s">
        <v>796</v>
      </c>
      <c r="K88" s="378"/>
      <c r="L88" s="378"/>
      <c r="M88" s="378"/>
      <c r="AA88" s="365">
        <f t="shared" si="1"/>
        <v>-0.73916666666666231</v>
      </c>
      <c r="AB88" s="365">
        <f t="shared" si="2"/>
        <v>-1.5</v>
      </c>
      <c r="AC88" s="1209">
        <f t="shared" si="3"/>
        <v>1.1087499999999935</v>
      </c>
      <c r="AD88" s="1209"/>
      <c r="AE88" s="91">
        <f t="shared" si="5"/>
        <v>0.54636736111110462</v>
      </c>
    </row>
    <row r="89" spans="2:31" ht="16.5" thickTop="1" thickBot="1">
      <c r="D89" s="252">
        <v>12</v>
      </c>
      <c r="E89" s="368" t="s">
        <v>686</v>
      </c>
      <c r="F89" s="252" cm="1">
        <f t="array" ref="F89">angleConvert2Decimal(E89)</f>
        <v>80.768333333333331</v>
      </c>
      <c r="G89" s="392">
        <f t="shared" si="0"/>
        <v>80.752017812005263</v>
      </c>
      <c r="H89" s="393">
        <f t="shared" si="4"/>
        <v>2.661962362066242E-4</v>
      </c>
      <c r="K89" s="253" t="s">
        <v>243</v>
      </c>
      <c r="L89" s="253" t="s">
        <v>244</v>
      </c>
      <c r="AA89" s="365">
        <f t="shared" si="1"/>
        <v>0.77250000000000796</v>
      </c>
      <c r="AB89" s="365">
        <f t="shared" si="2"/>
        <v>1.5</v>
      </c>
      <c r="AC89" s="1209">
        <f t="shared" si="3"/>
        <v>1.1587500000000119</v>
      </c>
      <c r="AD89" s="1209"/>
      <c r="AE89" s="91">
        <f t="shared" si="5"/>
        <v>0.59675625000001231</v>
      </c>
    </row>
    <row r="90" spans="2:31" ht="16.5" thickTop="1" thickBot="1">
      <c r="D90" s="252">
        <v>15</v>
      </c>
      <c r="E90" s="368" t="s">
        <v>687</v>
      </c>
      <c r="F90" s="252" cm="1">
        <f t="array" ref="F90">angleConvert2Decimal(E90)</f>
        <v>82.273333333333326</v>
      </c>
      <c r="G90" s="392">
        <f t="shared" si="0"/>
        <v>82.264386769349159</v>
      </c>
      <c r="H90" s="393">
        <f t="shared" si="4"/>
        <v>8.0041007122806808E-5</v>
      </c>
      <c r="K90" s="253" cm="1">
        <f t="array" ref="K90:L90">LINEST(D85:D92,F85:F92,TRUE,FALSE)</f>
        <v>1.9836429367531845</v>
      </c>
      <c r="L90" s="253">
        <v>-148.18316976135159</v>
      </c>
      <c r="AA90" s="365">
        <f t="shared" si="1"/>
        <v>2.2775000000000034</v>
      </c>
      <c r="AB90" s="365">
        <f t="shared" si="2"/>
        <v>4.5</v>
      </c>
      <c r="AC90" s="1209">
        <f t="shared" si="3"/>
        <v>10.248750000000015</v>
      </c>
      <c r="AD90" s="1209"/>
      <c r="AE90" s="91">
        <f t="shared" si="5"/>
        <v>5.1870062500000156</v>
      </c>
    </row>
    <row r="91" spans="2:31" ht="16.5" thickTop="1" thickBot="1">
      <c r="D91" s="252">
        <v>18</v>
      </c>
      <c r="E91" s="368" t="s">
        <v>688</v>
      </c>
      <c r="F91" s="252" cm="1">
        <f t="array" ref="F91">angleConvert2Decimal(E91)</f>
        <v>83.773333333333326</v>
      </c>
      <c r="G91" s="392">
        <f t="shared" si="0"/>
        <v>83.776755726693068</v>
      </c>
      <c r="H91" s="393">
        <f t="shared" si="4"/>
        <v>1.1712776308804111E-5</v>
      </c>
      <c r="AA91" s="365">
        <f t="shared" si="1"/>
        <v>3.7775000000000034</v>
      </c>
      <c r="AB91" s="365">
        <f t="shared" si="2"/>
        <v>7.5</v>
      </c>
      <c r="AC91" s="1209">
        <f t="shared" si="3"/>
        <v>28.331250000000026</v>
      </c>
      <c r="AD91" s="1209"/>
      <c r="AE91" s="91">
        <f t="shared" si="5"/>
        <v>14.269506250000026</v>
      </c>
    </row>
    <row r="92" spans="2:31" ht="16.5" thickTop="1" thickBot="1">
      <c r="D92" s="252">
        <v>21</v>
      </c>
      <c r="E92" s="368" t="s">
        <v>689</v>
      </c>
      <c r="F92" s="252" cm="1">
        <f t="array" ref="F92">angleConvert2Decimal(E92)</f>
        <v>85.266666666666666</v>
      </c>
      <c r="G92" s="392">
        <f t="shared" si="0"/>
        <v>85.289124684036963</v>
      </c>
      <c r="H92" s="393">
        <f t="shared" si="4"/>
        <v>5.0436254420458478E-4</v>
      </c>
      <c r="AA92" s="365">
        <f t="shared" si="1"/>
        <v>5.2708333333333428</v>
      </c>
      <c r="AB92" s="365">
        <f t="shared" si="2"/>
        <v>10.5</v>
      </c>
      <c r="AC92" s="1209">
        <f t="shared" si="3"/>
        <v>55.343750000000099</v>
      </c>
      <c r="AD92" s="1209"/>
      <c r="AE92" s="91">
        <f t="shared" si="5"/>
        <v>27.781684027777878</v>
      </c>
    </row>
    <row r="93" spans="2:31" ht="15.75" thickTop="1"/>
  </sheetData>
  <mergeCells count="189">
    <mergeCell ref="AA58:AA59"/>
    <mergeCell ref="M10:N10"/>
    <mergeCell ref="G26:H27"/>
    <mergeCell ref="P26:T27"/>
    <mergeCell ref="P28:T29"/>
    <mergeCell ref="P30:T32"/>
    <mergeCell ref="P35:T35"/>
    <mergeCell ref="N44:N45"/>
    <mergeCell ref="F52:F53"/>
    <mergeCell ref="G52:I53"/>
    <mergeCell ref="P15:X15"/>
    <mergeCell ref="J14:L14"/>
    <mergeCell ref="M14:O14"/>
    <mergeCell ref="F43:I43"/>
    <mergeCell ref="F44:I44"/>
    <mergeCell ref="F46:I46"/>
    <mergeCell ref="F47:I47"/>
    <mergeCell ref="F50:I50"/>
    <mergeCell ref="F51:I51"/>
    <mergeCell ref="M35:O35"/>
    <mergeCell ref="C35:F35"/>
    <mergeCell ref="B34:Z34"/>
    <mergeCell ref="F48:G48"/>
    <mergeCell ref="J48:K48"/>
    <mergeCell ref="A1:C1"/>
    <mergeCell ref="K56:M56"/>
    <mergeCell ref="K57:M57"/>
    <mergeCell ref="K58:M58"/>
    <mergeCell ref="K59:M59"/>
    <mergeCell ref="J52:J53"/>
    <mergeCell ref="K52:M53"/>
    <mergeCell ref="E11:G11"/>
    <mergeCell ref="I11:K11"/>
    <mergeCell ref="L11:O11"/>
    <mergeCell ref="C17:I17"/>
    <mergeCell ref="C15:I15"/>
    <mergeCell ref="J15:L15"/>
    <mergeCell ref="M15:O15"/>
    <mergeCell ref="M28:O28"/>
    <mergeCell ref="C16:I16"/>
    <mergeCell ref="J16:L16"/>
    <mergeCell ref="M16:O16"/>
    <mergeCell ref="I35:J35"/>
    <mergeCell ref="J17:L17"/>
    <mergeCell ref="M17:O17"/>
    <mergeCell ref="C14:I14"/>
    <mergeCell ref="B10:D10"/>
    <mergeCell ref="B42:Z42"/>
    <mergeCell ref="J18:O18"/>
    <mergeCell ref="C19:I19"/>
    <mergeCell ref="K19:O19"/>
    <mergeCell ref="B25:Z25"/>
    <mergeCell ref="B13:Z13"/>
    <mergeCell ref="I27:J27"/>
    <mergeCell ref="K27:L27"/>
    <mergeCell ref="C28:F29"/>
    <mergeCell ref="G28:H29"/>
    <mergeCell ref="I26:J26"/>
    <mergeCell ref="K26:L26"/>
    <mergeCell ref="M26:O26"/>
    <mergeCell ref="I29:J29"/>
    <mergeCell ref="K29:L29"/>
    <mergeCell ref="M29:O29"/>
    <mergeCell ref="I28:J28"/>
    <mergeCell ref="K28:L28"/>
    <mergeCell ref="B37:Z37"/>
    <mergeCell ref="J43:M43"/>
    <mergeCell ref="J44:M44"/>
    <mergeCell ref="J46:M46"/>
    <mergeCell ref="J47:M47"/>
    <mergeCell ref="J50:M50"/>
    <mergeCell ref="J51:M51"/>
    <mergeCell ref="J45:M45"/>
    <mergeCell ref="Q10:R10"/>
    <mergeCell ref="C11:D11"/>
    <mergeCell ref="C26:F27"/>
    <mergeCell ref="C30:F32"/>
    <mergeCell ref="G30:H32"/>
    <mergeCell ref="G39:K39"/>
    <mergeCell ref="G40:K40"/>
    <mergeCell ref="K35:L35"/>
    <mergeCell ref="D50:E50"/>
    <mergeCell ref="D47:E47"/>
    <mergeCell ref="J21:L21"/>
    <mergeCell ref="M21:O21"/>
    <mergeCell ref="J22:L22"/>
    <mergeCell ref="M22:O22"/>
    <mergeCell ref="C21:I21"/>
    <mergeCell ref="C22:I22"/>
    <mergeCell ref="Q52:R52"/>
    <mergeCell ref="F54:G54"/>
    <mergeCell ref="J54:K54"/>
    <mergeCell ref="D52:E53"/>
    <mergeCell ref="O54:P54"/>
    <mergeCell ref="O55:R55"/>
    <mergeCell ref="G56:I56"/>
    <mergeCell ref="G57:I57"/>
    <mergeCell ref="G58:I58"/>
    <mergeCell ref="Q60:R60"/>
    <mergeCell ref="J63:M63"/>
    <mergeCell ref="J64:M64"/>
    <mergeCell ref="C54:E55"/>
    <mergeCell ref="F55:I55"/>
    <mergeCell ref="J55:M55"/>
    <mergeCell ref="C60:E61"/>
    <mergeCell ref="F60:G60"/>
    <mergeCell ref="J60:K60"/>
    <mergeCell ref="G59:I59"/>
    <mergeCell ref="F61:I61"/>
    <mergeCell ref="J61:M61"/>
    <mergeCell ref="O60:P60"/>
    <mergeCell ref="AC87:AD87"/>
    <mergeCell ref="AC88:AD88"/>
    <mergeCell ref="AC89:AD89"/>
    <mergeCell ref="AC90:AD90"/>
    <mergeCell ref="AC91:AD91"/>
    <mergeCell ref="AC92:AD92"/>
    <mergeCell ref="F78:I78"/>
    <mergeCell ref="B74:Z74"/>
    <mergeCell ref="B81:Z81"/>
    <mergeCell ref="AC84:AD84"/>
    <mergeCell ref="AC85:AD85"/>
    <mergeCell ref="AC86:AD86"/>
    <mergeCell ref="C75:M75"/>
    <mergeCell ref="E83:F83"/>
    <mergeCell ref="E84:F84"/>
    <mergeCell ref="C76:F76"/>
    <mergeCell ref="N83:N84"/>
    <mergeCell ref="O83:Q83"/>
    <mergeCell ref="O84:Q84"/>
    <mergeCell ref="G83:H83"/>
    <mergeCell ref="C72:E72"/>
    <mergeCell ref="C70:E70"/>
    <mergeCell ref="C69:E69"/>
    <mergeCell ref="C71:E71"/>
    <mergeCell ref="F68:I68"/>
    <mergeCell ref="F72:I72"/>
    <mergeCell ref="F70:I70"/>
    <mergeCell ref="F71:I71"/>
    <mergeCell ref="F49:I49"/>
    <mergeCell ref="D51:E51"/>
    <mergeCell ref="M3:P3"/>
    <mergeCell ref="M4:P4"/>
    <mergeCell ref="C18:I18"/>
    <mergeCell ref="C20:I20"/>
    <mergeCell ref="J20:L20"/>
    <mergeCell ref="M20:O20"/>
    <mergeCell ref="N43:R43"/>
    <mergeCell ref="N46:R46"/>
    <mergeCell ref="N47:R47"/>
    <mergeCell ref="O44:R44"/>
    <mergeCell ref="O45:R45"/>
    <mergeCell ref="C44:E45"/>
    <mergeCell ref="F45:I45"/>
    <mergeCell ref="D46:E46"/>
    <mergeCell ref="M27:O27"/>
    <mergeCell ref="M31:O31"/>
    <mergeCell ref="M32:O32"/>
    <mergeCell ref="M30:O30"/>
    <mergeCell ref="I31:J31"/>
    <mergeCell ref="K31:L31"/>
    <mergeCell ref="I32:J32"/>
    <mergeCell ref="K32:L32"/>
    <mergeCell ref="I30:J30"/>
    <mergeCell ref="K30:L30"/>
    <mergeCell ref="J49:M49"/>
    <mergeCell ref="N48:N49"/>
    <mergeCell ref="N54:N55"/>
    <mergeCell ref="N50:P50"/>
    <mergeCell ref="N51:P51"/>
    <mergeCell ref="J65:M65"/>
    <mergeCell ref="J66:M66"/>
    <mergeCell ref="F69:I69"/>
    <mergeCell ref="C63:E63"/>
    <mergeCell ref="N52:P52"/>
    <mergeCell ref="N53:R53"/>
    <mergeCell ref="O48:P48"/>
    <mergeCell ref="Q50:R50"/>
    <mergeCell ref="Q51:R51"/>
    <mergeCell ref="F63:I63"/>
    <mergeCell ref="C48:E49"/>
    <mergeCell ref="C64:E64"/>
    <mergeCell ref="F64:I64"/>
    <mergeCell ref="C65:E65"/>
    <mergeCell ref="F65:I65"/>
    <mergeCell ref="C66:E66"/>
    <mergeCell ref="F66:I66"/>
    <mergeCell ref="C68:E68"/>
    <mergeCell ref="O49:R49"/>
  </mergeCells>
  <dataValidations count="5">
    <dataValidation type="list" allowBlank="1" showInputMessage="1" showErrorMessage="1" sqref="G28" xr:uid="{A94C8E62-9098-4096-B11C-9D64FBE6D827}">
      <formula1>$AA$26</formula1>
    </dataValidation>
    <dataValidation type="list" allowBlank="1" showInputMessage="1" showErrorMessage="1" sqref="J18:O18" xr:uid="{2D2BB55C-496F-4476-B947-B4FBCB9C7125}">
      <formula1>$R$18:$S$18</formula1>
    </dataValidation>
    <dataValidation type="list" allowBlank="1" showInputMessage="1" showErrorMessage="1" sqref="M29:O29 M27:O27" xr:uid="{0E11F9F3-42AD-40B1-9626-399A6AAA3D6F}">
      <formula1>$AA$29:$AA$31</formula1>
    </dataValidation>
    <dataValidation type="list" allowBlank="1" showInputMessage="1" showErrorMessage="1" sqref="M31:O31" xr:uid="{1114BEF7-9309-42B8-B9A9-BDB991E9BB73}">
      <formula1>$AC$29:$AC$30</formula1>
    </dataValidation>
    <dataValidation type="list" allowBlank="1" showInputMessage="1" showErrorMessage="1" sqref="M32:O32" xr:uid="{00CCDE1E-2B63-4889-A1A0-84208885C8C9}">
      <formula1>$AE$29:$AE$30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3E016-8551-4E42-A81E-113083081A0E}">
  <sheetPr codeName="Sheet11"/>
  <dimension ref="A1:V61"/>
  <sheetViews>
    <sheetView workbookViewId="0">
      <selection activeCell="I5" sqref="I5"/>
    </sheetView>
  </sheetViews>
  <sheetFormatPr baseColWidth="10" defaultColWidth="9.140625" defaultRowHeight="15"/>
  <sheetData>
    <row r="1" spans="1:22" ht="18.75">
      <c r="A1" s="1463" t="s">
        <v>806</v>
      </c>
      <c r="B1" s="1463"/>
      <c r="C1" s="1463"/>
      <c r="D1" s="1463"/>
      <c r="E1" s="1463"/>
      <c r="F1" s="1463"/>
      <c r="G1" s="1463"/>
      <c r="H1" s="1463"/>
      <c r="I1" s="1463"/>
      <c r="J1" s="1463"/>
      <c r="K1" s="1463"/>
      <c r="L1" s="1463"/>
      <c r="M1" s="1463"/>
      <c r="N1" s="1463"/>
      <c r="O1" s="1463"/>
      <c r="P1" s="1463"/>
      <c r="Q1" s="1463"/>
      <c r="R1" s="1463"/>
      <c r="S1" s="1463"/>
      <c r="T1" s="1463"/>
      <c r="U1" s="1463"/>
      <c r="V1" s="1463"/>
    </row>
    <row r="2" spans="1:22">
      <c r="C2" t="s">
        <v>816</v>
      </c>
      <c r="O2" t="s">
        <v>807</v>
      </c>
    </row>
    <row r="3" spans="1:22">
      <c r="C3" t="s">
        <v>817</v>
      </c>
      <c r="O3" t="s">
        <v>809</v>
      </c>
    </row>
    <row r="4" spans="1:22">
      <c r="O4" t="s">
        <v>808</v>
      </c>
    </row>
    <row r="6" spans="1:22">
      <c r="B6" t="s">
        <v>807</v>
      </c>
    </row>
    <row r="7" spans="1:22">
      <c r="C7" t="s">
        <v>810</v>
      </c>
    </row>
    <row r="8" spans="1:22">
      <c r="C8" t="s">
        <v>811</v>
      </c>
      <c r="D8" s="83" t="s">
        <v>31</v>
      </c>
    </row>
    <row r="9" spans="1:22">
      <c r="D9" t="s">
        <v>812</v>
      </c>
      <c r="E9" s="405">
        <v>304</v>
      </c>
      <c r="G9" s="1461" t="s">
        <v>824</v>
      </c>
      <c r="H9" s="1052" t="s">
        <v>819</v>
      </c>
      <c r="I9" s="1052"/>
      <c r="J9" s="1052"/>
      <c r="K9" s="1052"/>
      <c r="L9" s="1052"/>
      <c r="M9" s="1052"/>
      <c r="N9" s="1461" t="s">
        <v>824</v>
      </c>
    </row>
    <row r="10" spans="1:22">
      <c r="D10" t="s">
        <v>813</v>
      </c>
      <c r="E10" s="406" t="s">
        <v>818</v>
      </c>
      <c r="G10" s="1462"/>
      <c r="H10" s="365" t="s">
        <v>148</v>
      </c>
      <c r="I10" s="1209" t="s">
        <v>416</v>
      </c>
      <c r="J10" s="1209"/>
      <c r="K10" s="1209" t="s">
        <v>780</v>
      </c>
      <c r="L10" s="1209"/>
      <c r="M10" s="91"/>
      <c r="N10" s="1462"/>
      <c r="O10" t="s">
        <v>43</v>
      </c>
      <c r="P10">
        <f>J13+F12</f>
        <v>56.316944444444431</v>
      </c>
    </row>
    <row r="11" spans="1:22">
      <c r="D11" t="s">
        <v>41</v>
      </c>
      <c r="E11" s="406" t="s">
        <v>814</v>
      </c>
      <c r="F11" s="253" cm="1">
        <f t="array" ref="F11">angleConvert2Decimal(E11)</f>
        <v>-46.6</v>
      </c>
      <c r="G11" s="1462"/>
      <c r="H11" s="200">
        <v>19</v>
      </c>
      <c r="I11" s="201" t="s">
        <v>820</v>
      </c>
      <c r="J11" s="405" cm="1">
        <f t="array" ref="J11">angleConvert2Decimal(I11)</f>
        <v>104.61499999999999</v>
      </c>
      <c r="K11" s="201" t="s">
        <v>821</v>
      </c>
      <c r="L11" s="405" cm="1">
        <f t="array" ref="L11">angleConvert2Decimal(K11)</f>
        <v>10.018333333333333</v>
      </c>
      <c r="M11" s="91"/>
      <c r="N11" s="1462"/>
      <c r="O11" t="s">
        <v>84</v>
      </c>
      <c r="P11">
        <f>L13</f>
        <v>10.009583333333333</v>
      </c>
      <c r="Q11">
        <f>P11*Outils!$F$4</f>
        <v>0.17470018591941575</v>
      </c>
      <c r="R11" t="s">
        <v>64</v>
      </c>
    </row>
    <row r="12" spans="1:22">
      <c r="D12" t="s">
        <v>42</v>
      </c>
      <c r="E12" s="406" t="s">
        <v>815</v>
      </c>
      <c r="F12" s="253" cm="1">
        <f t="array" ref="F12">angleConvert2Decimal(E12)</f>
        <v>-57.05</v>
      </c>
      <c r="G12" s="1462"/>
      <c r="H12" s="200">
        <v>20</v>
      </c>
      <c r="I12" s="201" t="s">
        <v>822</v>
      </c>
      <c r="J12" s="405" cm="1">
        <f t="array" ref="J12">angleConvert2Decimal(I12)</f>
        <v>119.61833333333334</v>
      </c>
      <c r="K12" s="201" t="s">
        <v>823</v>
      </c>
      <c r="L12" s="405" cm="1">
        <f t="array" ref="L12">angleConvert2Decimal(K12)</f>
        <v>10.003333333333334</v>
      </c>
      <c r="M12" s="91"/>
      <c r="N12" s="1462"/>
      <c r="O12" t="s">
        <v>41</v>
      </c>
      <c r="P12">
        <f>F11</f>
        <v>-46.6</v>
      </c>
      <c r="Q12">
        <f>P12*Outils!$F$4</f>
        <v>-0.81332343142935759</v>
      </c>
      <c r="R12" t="s">
        <v>64</v>
      </c>
    </row>
    <row r="13" spans="1:22">
      <c r="G13" s="1462"/>
      <c r="H13" s="253" cm="1">
        <f t="array" ref="H13">heureConvert2Decimal(E10)</f>
        <v>19.583333333333332</v>
      </c>
      <c r="I13" s="253" t="str" cm="1">
        <f t="array" ref="I13">angleDecimal2Txt(J13)</f>
        <v>+113°22.01 (+113.3669) [+113°22'00.99]</v>
      </c>
      <c r="J13" s="253">
        <f>J11+(J12-J11)*($H$13-$H$11)</f>
        <v>113.36694444444443</v>
      </c>
      <c r="K13" s="253" t="str" cm="1">
        <f t="array" ref="K13">angleDecimal2Txt(L13)</f>
        <v>+10°00.57 (+10.0095) [+10°00'34.50]</v>
      </c>
      <c r="L13" s="253">
        <f>L11+(L12-L11)*($H$13-$H$11)</f>
        <v>10.009583333333333</v>
      </c>
      <c r="N13" s="1462"/>
    </row>
    <row r="15" spans="1:22">
      <c r="O15" t="s">
        <v>825</v>
      </c>
    </row>
    <row r="16" spans="1:22">
      <c r="O16" t="s">
        <v>826</v>
      </c>
    </row>
    <row r="18" spans="4:22">
      <c r="O18" t="s">
        <v>827</v>
      </c>
    </row>
    <row r="20" spans="4:22">
      <c r="O20" t="s">
        <v>828</v>
      </c>
      <c r="P20" t="s">
        <v>829</v>
      </c>
      <c r="Q20">
        <f>P10</f>
        <v>56.316944444444431</v>
      </c>
      <c r="R20">
        <f>Q20*Outils!F4</f>
        <v>0.9829161052182841</v>
      </c>
      <c r="S20" t="s">
        <v>64</v>
      </c>
    </row>
    <row r="21" spans="4:22">
      <c r="P21" t="s">
        <v>830</v>
      </c>
      <c r="Q21">
        <f>SIN(R20)/(TAN(Q11)*COS(Q12)-COS(R20)*SIN(Q12))</f>
        <v>1.5873220549686049</v>
      </c>
      <c r="R21" s="11" t="s">
        <v>824</v>
      </c>
      <c r="S21" s="371" t="s">
        <v>831</v>
      </c>
      <c r="T21" s="371">
        <f>ATAN(Q21)</f>
        <v>1.0086153983018771</v>
      </c>
      <c r="U21" s="371">
        <f>T21*Outils!F5</f>
        <v>57.789405474604052</v>
      </c>
      <c r="V21" s="371" t="s">
        <v>54</v>
      </c>
    </row>
    <row r="22" spans="4:22">
      <c r="S22" t="s">
        <v>832</v>
      </c>
      <c r="T22">
        <f>360-U21</f>
        <v>302.21059452539595</v>
      </c>
    </row>
    <row r="24" spans="4:22">
      <c r="P24" t="s">
        <v>833</v>
      </c>
      <c r="R24" s="83" t="s">
        <v>834</v>
      </c>
      <c r="S24" s="83">
        <f>T22-E9</f>
        <v>-1.7894054746040524</v>
      </c>
    </row>
    <row r="27" spans="4:22">
      <c r="D27" s="83" t="s">
        <v>840</v>
      </c>
    </row>
    <row r="28" spans="4:22">
      <c r="D28" t="s">
        <v>812</v>
      </c>
      <c r="E28" s="405">
        <v>272</v>
      </c>
      <c r="G28" s="1461" t="s">
        <v>824</v>
      </c>
      <c r="H28" s="1052" t="s">
        <v>819</v>
      </c>
      <c r="I28" s="1052"/>
      <c r="J28" s="1052"/>
      <c r="K28" s="1052"/>
      <c r="L28" s="1052"/>
      <c r="M28" s="1052"/>
      <c r="N28" s="1461" t="s">
        <v>824</v>
      </c>
    </row>
    <row r="29" spans="4:22">
      <c r="D29" t="s">
        <v>813</v>
      </c>
      <c r="E29" s="406" t="s">
        <v>843</v>
      </c>
      <c r="G29" s="1462"/>
      <c r="H29" s="365" t="s">
        <v>148</v>
      </c>
      <c r="I29" s="1209" t="s">
        <v>440</v>
      </c>
      <c r="J29" s="1209"/>
      <c r="K29" s="1209" t="s">
        <v>193</v>
      </c>
      <c r="L29" s="1209"/>
      <c r="M29" s="91"/>
      <c r="N29" s="1462"/>
      <c r="O29" t="s">
        <v>43</v>
      </c>
      <c r="P29">
        <f>J32+F31+M30</f>
        <v>403.76347222222228</v>
      </c>
      <c r="Q29">
        <f>P29-360</f>
        <v>43.763472222222276</v>
      </c>
      <c r="R29" t="s">
        <v>54</v>
      </c>
    </row>
    <row r="30" spans="4:22">
      <c r="D30" t="s">
        <v>41</v>
      </c>
      <c r="E30" s="406" t="s">
        <v>841</v>
      </c>
      <c r="F30" s="253" cm="1">
        <f t="array" ref="F30">angleConvert2Decimal(E30)</f>
        <v>25.7</v>
      </c>
      <c r="G30" s="1462"/>
      <c r="H30" s="200">
        <v>9</v>
      </c>
      <c r="I30" s="201" t="s">
        <v>844</v>
      </c>
      <c r="J30" s="405" cm="1">
        <f t="array" ref="J30">angleConvert2Decimal(I30)</f>
        <v>117.05666666666667</v>
      </c>
      <c r="K30" s="201" t="s">
        <v>193</v>
      </c>
      <c r="L30" s="406" t="s">
        <v>846</v>
      </c>
      <c r="M30" s="405" cm="1">
        <f t="array" ref="M30">angleConvert2Decimal(L30)</f>
        <v>146.095</v>
      </c>
      <c r="N30" s="1462"/>
      <c r="O30" t="s">
        <v>84</v>
      </c>
      <c r="P30">
        <f>M31</f>
        <v>19.190000000000001</v>
      </c>
      <c r="Q30">
        <f>P30*Outils!$F$4</f>
        <v>0.33492868345771187</v>
      </c>
      <c r="R30" t="s">
        <v>64</v>
      </c>
    </row>
    <row r="31" spans="4:22">
      <c r="D31" t="s">
        <v>42</v>
      </c>
      <c r="E31" s="406" t="s">
        <v>842</v>
      </c>
      <c r="F31" s="253" cm="1">
        <f t="array" ref="F31">angleConvert2Decimal(E31)</f>
        <v>136.35</v>
      </c>
      <c r="G31" s="1462"/>
      <c r="H31" s="200">
        <v>10</v>
      </c>
      <c r="I31" s="201" t="s">
        <v>845</v>
      </c>
      <c r="J31" s="405" cm="1">
        <f t="array" ref="J31">angleConvert2Decimal(I31)</f>
        <v>132.09833333333333</v>
      </c>
      <c r="K31" s="201" t="s">
        <v>84</v>
      </c>
      <c r="L31" s="406" t="s">
        <v>847</v>
      </c>
      <c r="M31" s="405" cm="1">
        <f t="array" ref="M31">angleConvert2Decimal(L31)</f>
        <v>19.190000000000001</v>
      </c>
      <c r="N31" s="1462"/>
      <c r="O31" t="s">
        <v>41</v>
      </c>
      <c r="P31">
        <f>F30</f>
        <v>25.7</v>
      </c>
      <c r="Q31">
        <f>P31*Outils!$F$4</f>
        <v>0.44854961776254271</v>
      </c>
      <c r="R31" t="s">
        <v>64</v>
      </c>
    </row>
    <row r="32" spans="4:22">
      <c r="G32" s="1462"/>
      <c r="H32" s="253" cm="1">
        <f t="array" ref="H32">heureConvert2Decimal(E29)</f>
        <v>9.2833333333333332</v>
      </c>
      <c r="I32" s="253" t="str" cm="1">
        <f t="array" ref="I32">angleDecimal2Txt(J32)</f>
        <v>+121°19.10 (+121.3184) [+121°19'06.50]</v>
      </c>
      <c r="J32" s="253">
        <f>J30+(J31-J30)*($H$32-H30)</f>
        <v>121.31847222222223</v>
      </c>
      <c r="K32" s="253"/>
      <c r="L32" s="253"/>
      <c r="N32" s="1462"/>
    </row>
    <row r="34" spans="2:22">
      <c r="O34" t="s">
        <v>825</v>
      </c>
    </row>
    <row r="35" spans="2:22">
      <c r="O35" t="s">
        <v>826</v>
      </c>
    </row>
    <row r="37" spans="2:22">
      <c r="O37" t="s">
        <v>827</v>
      </c>
    </row>
    <row r="39" spans="2:22">
      <c r="O39" t="s">
        <v>828</v>
      </c>
      <c r="P39" t="s">
        <v>829</v>
      </c>
      <c r="Q39">
        <f>Q29</f>
        <v>43.763472222222276</v>
      </c>
      <c r="R39">
        <f>Q39*Outils!$F$4</f>
        <v>0.76381668238285827</v>
      </c>
      <c r="S39" t="s">
        <v>64</v>
      </c>
    </row>
    <row r="40" spans="2:22">
      <c r="P40" t="s">
        <v>830</v>
      </c>
      <c r="Q40">
        <f>SIN(R39)/(TAN(Q30)*COS(Q31)-COS(R39)*SIN(Q31))</f>
        <v>1636.2823984602117</v>
      </c>
      <c r="R40" s="11" t="s">
        <v>824</v>
      </c>
      <c r="S40" s="371" t="s">
        <v>831</v>
      </c>
      <c r="T40" s="371">
        <f>ATAN(Q40)</f>
        <v>1.5701851854195183</v>
      </c>
      <c r="U40" s="371">
        <f>T40*Outils!F5</f>
        <v>89.964984178505006</v>
      </c>
      <c r="V40" s="371" t="s">
        <v>54</v>
      </c>
    </row>
    <row r="41" spans="2:22">
      <c r="S41" t="s">
        <v>832</v>
      </c>
      <c r="T41">
        <f>360-U40</f>
        <v>270.03501582149499</v>
      </c>
    </row>
    <row r="43" spans="2:22">
      <c r="H43">
        <f>J51-J52</f>
        <v>0.14999999999999858</v>
      </c>
      <c r="I43">
        <f>H51-H52</f>
        <v>10</v>
      </c>
      <c r="J43">
        <f>H43/I43</f>
        <v>1.4999999999999857E-2</v>
      </c>
      <c r="P43" t="s">
        <v>833</v>
      </c>
      <c r="R43" s="83" t="s">
        <v>834</v>
      </c>
      <c r="S43" s="83">
        <f>T41-E28</f>
        <v>-1.9649841785050057</v>
      </c>
    </row>
    <row r="47" spans="2:22">
      <c r="B47" t="s">
        <v>835</v>
      </c>
    </row>
    <row r="48" spans="2:22">
      <c r="C48" t="s">
        <v>836</v>
      </c>
    </row>
    <row r="49" spans="4:18">
      <c r="D49" t="s">
        <v>812</v>
      </c>
      <c r="E49" s="405">
        <v>282.5</v>
      </c>
      <c r="G49" s="1461" t="s">
        <v>824</v>
      </c>
      <c r="H49" s="1052" t="s">
        <v>819</v>
      </c>
      <c r="I49" s="1052"/>
      <c r="J49" s="1052"/>
      <c r="K49" s="1052"/>
      <c r="L49" s="1052"/>
      <c r="M49" s="1052"/>
      <c r="N49" s="1461" t="s">
        <v>824</v>
      </c>
    </row>
    <row r="50" spans="4:18">
      <c r="D50" t="s">
        <v>41</v>
      </c>
      <c r="E50" s="406" t="s">
        <v>837</v>
      </c>
      <c r="F50" s="253" cm="1">
        <f t="array" ref="F50">angleConvert2Decimal(E50)</f>
        <v>27.583333333333332</v>
      </c>
      <c r="G50" s="1462"/>
      <c r="H50" s="365" t="s">
        <v>41</v>
      </c>
      <c r="I50" s="1209" t="s">
        <v>854</v>
      </c>
      <c r="J50" s="1209"/>
      <c r="K50" s="1209" t="s">
        <v>92</v>
      </c>
      <c r="L50" s="1209"/>
      <c r="M50" s="91"/>
      <c r="N50" s="1462"/>
      <c r="O50" t="s">
        <v>855</v>
      </c>
      <c r="P50">
        <f>J53-F51/15.002</f>
        <v>28.542401735324177</v>
      </c>
      <c r="Q50">
        <f>P50-24</f>
        <v>4.5424017353241766</v>
      </c>
    </row>
    <row r="51" spans="4:18">
      <c r="D51" t="s">
        <v>42</v>
      </c>
      <c r="E51" s="406" t="s">
        <v>838</v>
      </c>
      <c r="F51" s="253" cm="1">
        <f t="array" ref="F51">angleConvert2Decimal(E51)</f>
        <v>-151.69999999999999</v>
      </c>
      <c r="G51" s="1462"/>
      <c r="H51" s="200">
        <v>30</v>
      </c>
      <c r="I51" s="201" t="s">
        <v>856</v>
      </c>
      <c r="J51" s="405" cm="1">
        <f t="array" ref="J51">heureConvert2Decimal(I51)</f>
        <v>18.466666666666665</v>
      </c>
      <c r="K51" s="201">
        <v>281</v>
      </c>
      <c r="L51" s="405" cm="1">
        <f t="array" ref="L51">angleConvert2Decimal(K51)</f>
        <v>281</v>
      </c>
      <c r="M51" s="91"/>
      <c r="N51" s="1462"/>
      <c r="O51" t="s">
        <v>84</v>
      </c>
      <c r="P51">
        <f>L53</f>
        <v>280.75833333333333</v>
      </c>
      <c r="Q51">
        <f>P51*Outils!$F$4</f>
        <v>4.9001573190784127</v>
      </c>
      <c r="R51" t="s">
        <v>64</v>
      </c>
    </row>
    <row r="52" spans="4:18">
      <c r="D52" t="s">
        <v>839</v>
      </c>
      <c r="G52" s="1462"/>
      <c r="H52" s="200">
        <v>20</v>
      </c>
      <c r="I52" s="201" t="s">
        <v>857</v>
      </c>
      <c r="J52" s="405" cm="1">
        <f t="array" ref="J52">heureConvert2Decimal(I52)</f>
        <v>18.316666666666666</v>
      </c>
      <c r="K52" s="201">
        <v>280</v>
      </c>
      <c r="L52" s="405" cm="1">
        <f t="array" ref="L52">angleConvert2Decimal(K52)</f>
        <v>280</v>
      </c>
      <c r="M52" s="91"/>
      <c r="N52" s="1462"/>
      <c r="O52" t="s">
        <v>41</v>
      </c>
      <c r="P52">
        <f>F50</f>
        <v>27.583333333333332</v>
      </c>
      <c r="Q52">
        <f>P52*Outils!$F$4</f>
        <v>0.48141998534176922</v>
      </c>
      <c r="R52" t="s">
        <v>64</v>
      </c>
    </row>
    <row r="53" spans="4:18">
      <c r="G53" s="1462"/>
      <c r="H53" s="253"/>
      <c r="I53" s="253" t="str" cm="1">
        <f t="array" ref="I53">heureDecimal2Txt(J53)</f>
        <v>18:25:49.50(18.4304)</v>
      </c>
      <c r="J53" s="253">
        <f>J51+((J52-J51)/($H$52-$H$51))*($F$50-$H$51)</f>
        <v>18.430416666666666</v>
      </c>
      <c r="K53" s="253" t="str" cm="1">
        <f t="array" ref="K53">angleDecimal2Txt(L53)</f>
        <v>+280°45.50 (+280.7583) [+280°45'30.00]</v>
      </c>
      <c r="L53" s="253">
        <f>L51+((L52-L51)/($H$52-$H$51))*($F$50-$H$51)</f>
        <v>280.75833333333333</v>
      </c>
      <c r="N53" s="1462"/>
      <c r="O53" t="s">
        <v>72</v>
      </c>
      <c r="P53">
        <v>1</v>
      </c>
      <c r="Q53">
        <f>P53*Outils!$F$4</f>
        <v>1.7453292519943295E-2</v>
      </c>
      <c r="R53" t="s">
        <v>64</v>
      </c>
    </row>
    <row r="54" spans="4:18">
      <c r="O54" t="s">
        <v>848</v>
      </c>
    </row>
    <row r="55" spans="4:18">
      <c r="P55" t="s">
        <v>849</v>
      </c>
    </row>
    <row r="56" spans="4:18">
      <c r="I56" t="s">
        <v>858</v>
      </c>
      <c r="J56">
        <f>L53</f>
        <v>280.75833333333333</v>
      </c>
      <c r="P56" t="s">
        <v>850</v>
      </c>
    </row>
    <row r="57" spans="4:18">
      <c r="I57" t="s">
        <v>833</v>
      </c>
      <c r="K57" s="83" t="s">
        <v>834</v>
      </c>
      <c r="L57" s="83">
        <f>J56-E49</f>
        <v>-1.7416666666666742</v>
      </c>
    </row>
    <row r="58" spans="4:18">
      <c r="O58" t="s">
        <v>851</v>
      </c>
    </row>
    <row r="59" spans="4:18">
      <c r="O59" t="s">
        <v>852</v>
      </c>
    </row>
    <row r="61" spans="4:18">
      <c r="O61" t="s">
        <v>853</v>
      </c>
      <c r="P61" t="e" cm="1">
        <f t="array" ref="P61">(SIN(L53) - (sin (Q53) * SIN(Q52)))/(COS(Q53)*COS(Q52))</f>
        <v>#NAME?</v>
      </c>
    </row>
  </sheetData>
  <mergeCells count="16">
    <mergeCell ref="A1:V1"/>
    <mergeCell ref="G9:G13"/>
    <mergeCell ref="H9:M9"/>
    <mergeCell ref="N9:N13"/>
    <mergeCell ref="I10:J10"/>
    <mergeCell ref="K10:L10"/>
    <mergeCell ref="G49:G53"/>
    <mergeCell ref="H49:M49"/>
    <mergeCell ref="N49:N53"/>
    <mergeCell ref="I50:J50"/>
    <mergeCell ref="K50:L50"/>
    <mergeCell ref="G28:G32"/>
    <mergeCell ref="H28:M28"/>
    <mergeCell ref="N28:N32"/>
    <mergeCell ref="I29:J29"/>
    <mergeCell ref="K29:L29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6A900-F17B-4C44-928A-3236BAD4EC96}">
  <sheetPr codeName="Sheet9"/>
  <dimension ref="A1:V61"/>
  <sheetViews>
    <sheetView workbookViewId="0">
      <selection activeCell="V10" sqref="V10"/>
    </sheetView>
  </sheetViews>
  <sheetFormatPr baseColWidth="10" defaultColWidth="9.140625" defaultRowHeight="15"/>
  <sheetData>
    <row r="1" spans="1:22" ht="18.75">
      <c r="A1" s="1463" t="s">
        <v>806</v>
      </c>
      <c r="B1" s="1463"/>
      <c r="C1" s="1463"/>
      <c r="D1" s="1463"/>
      <c r="E1" s="1463"/>
      <c r="F1" s="1463"/>
      <c r="G1" s="1463"/>
      <c r="H1" s="1463"/>
      <c r="I1" s="1463"/>
      <c r="J1" s="1463"/>
      <c r="K1" s="1463"/>
      <c r="L1" s="1463"/>
      <c r="M1" s="1463"/>
      <c r="N1" s="1463"/>
      <c r="O1" s="1463"/>
      <c r="P1" s="1463"/>
      <c r="Q1" s="1463"/>
      <c r="R1" s="1463"/>
      <c r="S1" s="1463"/>
      <c r="T1" s="1463"/>
      <c r="U1" s="1463"/>
      <c r="V1" s="1463"/>
    </row>
    <row r="2" spans="1:22">
      <c r="C2" t="s">
        <v>816</v>
      </c>
      <c r="O2" t="s">
        <v>807</v>
      </c>
    </row>
    <row r="3" spans="1:22">
      <c r="C3" t="s">
        <v>817</v>
      </c>
      <c r="O3" t="s">
        <v>809</v>
      </c>
    </row>
    <row r="4" spans="1:22">
      <c r="O4" t="s">
        <v>808</v>
      </c>
    </row>
    <row r="6" spans="1:22">
      <c r="B6" t="s">
        <v>807</v>
      </c>
    </row>
    <row r="7" spans="1:22">
      <c r="C7" t="s">
        <v>810</v>
      </c>
    </row>
    <row r="8" spans="1:22">
      <c r="C8" t="s">
        <v>811</v>
      </c>
      <c r="D8" s="83" t="s">
        <v>31</v>
      </c>
    </row>
    <row r="9" spans="1:22">
      <c r="D9" t="s">
        <v>812</v>
      </c>
      <c r="E9" s="405">
        <v>304</v>
      </c>
      <c r="G9" s="1461" t="s">
        <v>824</v>
      </c>
      <c r="H9" s="1052" t="s">
        <v>819</v>
      </c>
      <c r="I9" s="1052"/>
      <c r="J9" s="1052"/>
      <c r="K9" s="1052"/>
      <c r="L9" s="1052"/>
      <c r="M9" s="1052"/>
      <c r="N9" s="1461" t="s">
        <v>824</v>
      </c>
    </row>
    <row r="10" spans="1:22">
      <c r="D10" t="s">
        <v>813</v>
      </c>
      <c r="E10" s="406" t="s">
        <v>818</v>
      </c>
      <c r="G10" s="1462"/>
      <c r="H10" s="365" t="s">
        <v>148</v>
      </c>
      <c r="I10" s="1209" t="s">
        <v>416</v>
      </c>
      <c r="J10" s="1209"/>
      <c r="K10" s="1209" t="s">
        <v>780</v>
      </c>
      <c r="L10" s="1209"/>
      <c r="M10" s="91"/>
      <c r="N10" s="1462"/>
      <c r="O10" t="s">
        <v>43</v>
      </c>
      <c r="P10">
        <f>J13+F12</f>
        <v>56.316944444444431</v>
      </c>
    </row>
    <row r="11" spans="1:22">
      <c r="D11" t="s">
        <v>41</v>
      </c>
      <c r="E11" s="406" t="s">
        <v>814</v>
      </c>
      <c r="F11" s="253" cm="1">
        <f t="array" ref="F11">angleConvert2Decimal(E11)</f>
        <v>-46.6</v>
      </c>
      <c r="G11" s="1462"/>
      <c r="H11" s="200">
        <v>19</v>
      </c>
      <c r="I11" s="201" t="s">
        <v>820</v>
      </c>
      <c r="J11" s="405" cm="1">
        <f t="array" ref="J11">angleConvert2Decimal(I11)</f>
        <v>104.61499999999999</v>
      </c>
      <c r="K11" s="201" t="s">
        <v>821</v>
      </c>
      <c r="L11" s="405" cm="1">
        <f t="array" ref="L11">angleConvert2Decimal(K11)</f>
        <v>10.018333333333333</v>
      </c>
      <c r="M11" s="91"/>
      <c r="N11" s="1462"/>
      <c r="O11" t="s">
        <v>84</v>
      </c>
      <c r="P11">
        <f>L13</f>
        <v>10.009583333333333</v>
      </c>
      <c r="Q11">
        <f>P11*Outils!$F$4</f>
        <v>0.17470018591941575</v>
      </c>
      <c r="R11" t="s">
        <v>64</v>
      </c>
    </row>
    <row r="12" spans="1:22">
      <c r="D12" t="s">
        <v>42</v>
      </c>
      <c r="E12" s="406" t="s">
        <v>815</v>
      </c>
      <c r="F12" s="253" cm="1">
        <f t="array" ref="F12">angleConvert2Decimal(E12)</f>
        <v>-57.05</v>
      </c>
      <c r="G12" s="1462"/>
      <c r="H12" s="200">
        <v>20</v>
      </c>
      <c r="I12" s="201" t="s">
        <v>822</v>
      </c>
      <c r="J12" s="405" cm="1">
        <f t="array" ref="J12">angleConvert2Decimal(I12)</f>
        <v>119.61833333333334</v>
      </c>
      <c r="K12" s="201" t="s">
        <v>823</v>
      </c>
      <c r="L12" s="405" cm="1">
        <f t="array" ref="L12">angleConvert2Decimal(K12)</f>
        <v>10.003333333333334</v>
      </c>
      <c r="M12" s="91"/>
      <c r="N12" s="1462"/>
      <c r="O12" t="s">
        <v>41</v>
      </c>
      <c r="P12">
        <f>F11</f>
        <v>-46.6</v>
      </c>
      <c r="Q12">
        <f>P12*Outils!$F$4</f>
        <v>-0.81332343142935759</v>
      </c>
      <c r="R12" t="s">
        <v>64</v>
      </c>
    </row>
    <row r="13" spans="1:22">
      <c r="G13" s="1462"/>
      <c r="H13" s="253" cm="1">
        <f t="array" ref="H13">heureConvert2Decimal(E10)</f>
        <v>19.583333333333332</v>
      </c>
      <c r="I13" s="253" t="str" cm="1">
        <f t="array" ref="I13">angleDecimal2Txt(J13)</f>
        <v>+113°22.01 (+113.3669) [+113°22'00.99]</v>
      </c>
      <c r="J13" s="253">
        <f>J11+(J12-J11)*($H$13-$H$11)</f>
        <v>113.36694444444443</v>
      </c>
      <c r="K13" s="253" t="str" cm="1">
        <f t="array" ref="K13">angleDecimal2Txt(L13)</f>
        <v>+10°00.57 (+10.0095) [+10°00'34.50]</v>
      </c>
      <c r="L13" s="253">
        <f>L11+(L12-L11)*($H$13-$H$11)</f>
        <v>10.009583333333333</v>
      </c>
      <c r="N13" s="1462"/>
    </row>
    <row r="15" spans="1:22">
      <c r="O15" t="s">
        <v>825</v>
      </c>
    </row>
    <row r="16" spans="1:22">
      <c r="O16" t="s">
        <v>826</v>
      </c>
    </row>
    <row r="18" spans="4:22">
      <c r="O18" t="s">
        <v>827</v>
      </c>
    </row>
    <row r="20" spans="4:22">
      <c r="O20" t="s">
        <v>828</v>
      </c>
      <c r="P20" t="s">
        <v>829</v>
      </c>
      <c r="Q20">
        <f>P10</f>
        <v>56.316944444444431</v>
      </c>
      <c r="R20">
        <f>Q20*Outils!F4</f>
        <v>0.9829161052182841</v>
      </c>
      <c r="S20" t="s">
        <v>64</v>
      </c>
    </row>
    <row r="21" spans="4:22">
      <c r="P21" t="s">
        <v>830</v>
      </c>
      <c r="Q21">
        <f>SIN(R20)/(TAN(Q11)*COS(Q12)-COS(R20)*SIN(Q12))</f>
        <v>1.5873220549686049</v>
      </c>
      <c r="R21" s="11" t="s">
        <v>824</v>
      </c>
      <c r="S21" s="371" t="s">
        <v>831</v>
      </c>
      <c r="T21" s="371">
        <f>ATAN(Q21)</f>
        <v>1.0086153983018771</v>
      </c>
      <c r="U21" s="371">
        <f>T21*Outils!F5</f>
        <v>57.789405474604052</v>
      </c>
      <c r="V21" s="371" t="s">
        <v>54</v>
      </c>
    </row>
    <row r="22" spans="4:22">
      <c r="S22" t="s">
        <v>832</v>
      </c>
      <c r="T22">
        <f>360-U21</f>
        <v>302.21059452539595</v>
      </c>
    </row>
    <row r="24" spans="4:22">
      <c r="P24" t="s">
        <v>833</v>
      </c>
      <c r="R24" s="83" t="s">
        <v>834</v>
      </c>
      <c r="S24" s="83">
        <f>T22-E9</f>
        <v>-1.7894054746040524</v>
      </c>
    </row>
    <row r="27" spans="4:22">
      <c r="D27" s="83" t="s">
        <v>840</v>
      </c>
    </row>
    <row r="28" spans="4:22">
      <c r="D28" t="s">
        <v>812</v>
      </c>
      <c r="E28" s="405">
        <v>272</v>
      </c>
      <c r="G28" s="1461" t="s">
        <v>824</v>
      </c>
      <c r="H28" s="1052" t="s">
        <v>819</v>
      </c>
      <c r="I28" s="1052"/>
      <c r="J28" s="1052"/>
      <c r="K28" s="1052"/>
      <c r="L28" s="1052"/>
      <c r="M28" s="1052"/>
      <c r="N28" s="1461" t="s">
        <v>824</v>
      </c>
    </row>
    <row r="29" spans="4:22">
      <c r="D29" t="s">
        <v>813</v>
      </c>
      <c r="E29" s="406" t="s">
        <v>843</v>
      </c>
      <c r="G29" s="1462"/>
      <c r="H29" s="365" t="s">
        <v>148</v>
      </c>
      <c r="I29" s="1209" t="s">
        <v>440</v>
      </c>
      <c r="J29" s="1209"/>
      <c r="K29" s="1209" t="s">
        <v>193</v>
      </c>
      <c r="L29" s="1209"/>
      <c r="M29" s="91"/>
      <c r="N29" s="1462"/>
      <c r="O29" t="s">
        <v>43</v>
      </c>
      <c r="P29">
        <f>J32+F31+M30</f>
        <v>403.76347222222228</v>
      </c>
      <c r="Q29">
        <f>P29-360</f>
        <v>43.763472222222276</v>
      </c>
      <c r="R29" t="s">
        <v>54</v>
      </c>
    </row>
    <row r="30" spans="4:22">
      <c r="D30" t="s">
        <v>41</v>
      </c>
      <c r="E30" s="406" t="s">
        <v>841</v>
      </c>
      <c r="F30" s="253" cm="1">
        <f t="array" ref="F30">angleConvert2Decimal(E30)</f>
        <v>25.7</v>
      </c>
      <c r="G30" s="1462"/>
      <c r="H30" s="200">
        <v>9</v>
      </c>
      <c r="I30" s="201" t="s">
        <v>844</v>
      </c>
      <c r="J30" s="405" cm="1">
        <f t="array" ref="J30">angleConvert2Decimal(I30)</f>
        <v>117.05666666666667</v>
      </c>
      <c r="K30" s="201" t="s">
        <v>193</v>
      </c>
      <c r="L30" s="406" t="s">
        <v>846</v>
      </c>
      <c r="M30" s="405" cm="1">
        <f t="array" ref="M30">angleConvert2Decimal(L30)</f>
        <v>146.095</v>
      </c>
      <c r="N30" s="1462"/>
      <c r="O30" t="s">
        <v>84</v>
      </c>
      <c r="P30">
        <f>M31</f>
        <v>19.190000000000001</v>
      </c>
      <c r="Q30">
        <f>P30*Outils!$F$4</f>
        <v>0.33492868345771187</v>
      </c>
      <c r="R30" t="s">
        <v>64</v>
      </c>
    </row>
    <row r="31" spans="4:22">
      <c r="D31" t="s">
        <v>42</v>
      </c>
      <c r="E31" s="406" t="s">
        <v>842</v>
      </c>
      <c r="F31" s="253" cm="1">
        <f t="array" ref="F31">angleConvert2Decimal(E31)</f>
        <v>136.35</v>
      </c>
      <c r="G31" s="1462"/>
      <c r="H31" s="200">
        <v>10</v>
      </c>
      <c r="I31" s="201" t="s">
        <v>845</v>
      </c>
      <c r="J31" s="405" cm="1">
        <f t="array" ref="J31">angleConvert2Decimal(I31)</f>
        <v>132.09833333333333</v>
      </c>
      <c r="K31" s="201" t="s">
        <v>84</v>
      </c>
      <c r="L31" s="406" t="s">
        <v>847</v>
      </c>
      <c r="M31" s="405" cm="1">
        <f t="array" ref="M31">angleConvert2Decimal(L31)</f>
        <v>19.190000000000001</v>
      </c>
      <c r="N31" s="1462"/>
      <c r="O31" t="s">
        <v>41</v>
      </c>
      <c r="P31">
        <f>F30</f>
        <v>25.7</v>
      </c>
      <c r="Q31">
        <f>P31*Outils!$F$4</f>
        <v>0.44854961776254271</v>
      </c>
      <c r="R31" t="s">
        <v>64</v>
      </c>
    </row>
    <row r="32" spans="4:22">
      <c r="G32" s="1462"/>
      <c r="H32" s="253" cm="1">
        <f t="array" ref="H32">heureConvert2Decimal(E29)</f>
        <v>9.2833333333333332</v>
      </c>
      <c r="I32" s="253" t="str" cm="1">
        <f t="array" ref="I32">angleDecimal2Txt(J32)</f>
        <v>+121°19.10 (+121.3184) [+121°19'06.50]</v>
      </c>
      <c r="J32" s="253">
        <f>J30+(J31-J30)*($H$32-H30)</f>
        <v>121.31847222222223</v>
      </c>
      <c r="K32" s="253"/>
      <c r="L32" s="253"/>
      <c r="N32" s="1462"/>
    </row>
    <row r="34" spans="2:22">
      <c r="O34" t="s">
        <v>825</v>
      </c>
    </row>
    <row r="35" spans="2:22">
      <c r="O35" t="s">
        <v>826</v>
      </c>
    </row>
    <row r="37" spans="2:22">
      <c r="O37" t="s">
        <v>827</v>
      </c>
    </row>
    <row r="39" spans="2:22">
      <c r="O39" t="s">
        <v>828</v>
      </c>
      <c r="P39" t="s">
        <v>829</v>
      </c>
      <c r="Q39">
        <f>Q29</f>
        <v>43.763472222222276</v>
      </c>
      <c r="R39">
        <f>Q39*Outils!$F$4</f>
        <v>0.76381668238285827</v>
      </c>
      <c r="S39" t="s">
        <v>64</v>
      </c>
    </row>
    <row r="40" spans="2:22">
      <c r="P40" t="s">
        <v>830</v>
      </c>
      <c r="Q40">
        <f>SIN(R39)/(TAN(Q30)*COS(Q31)-COS(R39)*SIN(Q31))</f>
        <v>1636.2823984602117</v>
      </c>
      <c r="R40" s="11" t="s">
        <v>824</v>
      </c>
      <c r="S40" s="371" t="s">
        <v>831</v>
      </c>
      <c r="T40" s="371">
        <f>ATAN(Q40)</f>
        <v>1.5701851854195183</v>
      </c>
      <c r="U40" s="371">
        <f>T40*Outils!F5</f>
        <v>89.964984178505006</v>
      </c>
      <c r="V40" s="371" t="s">
        <v>54</v>
      </c>
    </row>
    <row r="41" spans="2:22">
      <c r="S41" t="s">
        <v>832</v>
      </c>
      <c r="T41">
        <f>360-U40</f>
        <v>270.03501582149499</v>
      </c>
    </row>
    <row r="43" spans="2:22">
      <c r="H43">
        <f>J51-J52</f>
        <v>0.14999999999999858</v>
      </c>
      <c r="I43">
        <f>H51-H52</f>
        <v>10</v>
      </c>
      <c r="J43">
        <f>H43/I43</f>
        <v>1.4999999999999857E-2</v>
      </c>
      <c r="P43" t="s">
        <v>833</v>
      </c>
      <c r="R43" s="83" t="s">
        <v>834</v>
      </c>
      <c r="S43" s="83">
        <f>T41-E28</f>
        <v>-1.9649841785050057</v>
      </c>
    </row>
    <row r="47" spans="2:22">
      <c r="B47" t="s">
        <v>835</v>
      </c>
    </row>
    <row r="48" spans="2:22">
      <c r="C48" t="s">
        <v>836</v>
      </c>
    </row>
    <row r="49" spans="4:18">
      <c r="D49" t="s">
        <v>812</v>
      </c>
      <c r="E49" s="405">
        <v>282.5</v>
      </c>
      <c r="G49" s="1461" t="s">
        <v>824</v>
      </c>
      <c r="H49" s="1052" t="s">
        <v>819</v>
      </c>
      <c r="I49" s="1052"/>
      <c r="J49" s="1052"/>
      <c r="K49" s="1052"/>
      <c r="L49" s="1052"/>
      <c r="M49" s="1052"/>
      <c r="N49" s="1461" t="s">
        <v>824</v>
      </c>
    </row>
    <row r="50" spans="4:18">
      <c r="D50" t="s">
        <v>41</v>
      </c>
      <c r="E50" s="406" t="s">
        <v>837</v>
      </c>
      <c r="F50" s="253" cm="1">
        <f t="array" ref="F50">angleConvert2Decimal(E50)</f>
        <v>27.583333333333332</v>
      </c>
      <c r="G50" s="1462"/>
      <c r="H50" s="365" t="s">
        <v>41</v>
      </c>
      <c r="I50" s="1209" t="s">
        <v>854</v>
      </c>
      <c r="J50" s="1209"/>
      <c r="K50" s="1209" t="s">
        <v>92</v>
      </c>
      <c r="L50" s="1209"/>
      <c r="M50" s="91"/>
      <c r="N50" s="1462"/>
      <c r="O50" t="s">
        <v>855</v>
      </c>
      <c r="P50">
        <f>J53-F51/15.002</f>
        <v>28.542401735324177</v>
      </c>
      <c r="Q50">
        <f>P50-24</f>
        <v>4.5424017353241766</v>
      </c>
    </row>
    <row r="51" spans="4:18">
      <c r="D51" t="s">
        <v>42</v>
      </c>
      <c r="E51" s="406" t="s">
        <v>838</v>
      </c>
      <c r="F51" s="253" cm="1">
        <f t="array" ref="F51">angleConvert2Decimal(E51)</f>
        <v>-151.69999999999999</v>
      </c>
      <c r="G51" s="1462"/>
      <c r="H51" s="200">
        <v>30</v>
      </c>
      <c r="I51" s="201" t="s">
        <v>856</v>
      </c>
      <c r="J51" s="405" cm="1">
        <f t="array" ref="J51">heureConvert2Decimal(I51)</f>
        <v>18.466666666666665</v>
      </c>
      <c r="K51" s="201">
        <v>281</v>
      </c>
      <c r="L51" s="405" cm="1">
        <f t="array" ref="L51">angleConvert2Decimal(K51)</f>
        <v>281</v>
      </c>
      <c r="M51" s="91"/>
      <c r="N51" s="1462"/>
      <c r="O51" t="s">
        <v>84</v>
      </c>
      <c r="P51">
        <f>L53</f>
        <v>280.75833333333333</v>
      </c>
      <c r="Q51">
        <f>P51*Outils!$F$4</f>
        <v>4.9001573190784127</v>
      </c>
      <c r="R51" t="s">
        <v>64</v>
      </c>
    </row>
    <row r="52" spans="4:18">
      <c r="D52" t="s">
        <v>839</v>
      </c>
      <c r="G52" s="1462"/>
      <c r="H52" s="200">
        <v>20</v>
      </c>
      <c r="I52" s="201" t="s">
        <v>857</v>
      </c>
      <c r="J52" s="405" cm="1">
        <f t="array" ref="J52">heureConvert2Decimal(I52)</f>
        <v>18.316666666666666</v>
      </c>
      <c r="K52" s="201">
        <v>280</v>
      </c>
      <c r="L52" s="405" cm="1">
        <f t="array" ref="L52">angleConvert2Decimal(K52)</f>
        <v>280</v>
      </c>
      <c r="M52" s="91"/>
      <c r="N52" s="1462"/>
      <c r="O52" t="s">
        <v>41</v>
      </c>
      <c r="P52">
        <f>F50</f>
        <v>27.583333333333332</v>
      </c>
      <c r="Q52">
        <f>P52*Outils!$F$4</f>
        <v>0.48141998534176922</v>
      </c>
      <c r="R52" t="s">
        <v>64</v>
      </c>
    </row>
    <row r="53" spans="4:18">
      <c r="G53" s="1462"/>
      <c r="H53" s="253"/>
      <c r="I53" s="253" t="str" cm="1">
        <f t="array" ref="I53">heureDecimal2Txt(J53)</f>
        <v>18:25:49.50(18.4304)</v>
      </c>
      <c r="J53" s="253">
        <f>J51+((J52-J51)/($H$52-$H$51))*($F$50-$H$51)</f>
        <v>18.430416666666666</v>
      </c>
      <c r="K53" s="253" t="str" cm="1">
        <f t="array" ref="K53">angleDecimal2Txt(L53)</f>
        <v>+280°45.50 (+280.7583) [+280°45'30.00]</v>
      </c>
      <c r="L53" s="253">
        <f>L51+((L52-L51)/($H$52-$H$51))*($F$50-$H$51)</f>
        <v>280.75833333333333</v>
      </c>
      <c r="N53" s="1462"/>
      <c r="O53" t="s">
        <v>72</v>
      </c>
      <c r="P53">
        <v>1</v>
      </c>
      <c r="Q53">
        <f>P53*Outils!$F$4</f>
        <v>1.7453292519943295E-2</v>
      </c>
      <c r="R53" t="s">
        <v>64</v>
      </c>
    </row>
    <row r="54" spans="4:18">
      <c r="O54" t="s">
        <v>848</v>
      </c>
    </row>
    <row r="55" spans="4:18">
      <c r="P55" t="s">
        <v>849</v>
      </c>
    </row>
    <row r="56" spans="4:18">
      <c r="I56" t="s">
        <v>858</v>
      </c>
      <c r="J56">
        <f>L53</f>
        <v>280.75833333333333</v>
      </c>
      <c r="P56" t="s">
        <v>850</v>
      </c>
    </row>
    <row r="57" spans="4:18">
      <c r="I57" t="s">
        <v>833</v>
      </c>
      <c r="K57" s="83" t="s">
        <v>834</v>
      </c>
      <c r="L57" s="83">
        <f>J56-E49</f>
        <v>-1.7416666666666742</v>
      </c>
    </row>
    <row r="58" spans="4:18">
      <c r="O58" t="s">
        <v>851</v>
      </c>
    </row>
    <row r="59" spans="4:18">
      <c r="O59" t="s">
        <v>852</v>
      </c>
    </row>
    <row r="61" spans="4:18">
      <c r="O61" t="s">
        <v>853</v>
      </c>
      <c r="P61" t="e" cm="1">
        <f t="array" ref="P61">(SIN(L53) - (sin (Q53) * SIN(Q52)))/(COS(Q53)*COS(Q52))</f>
        <v>#NAME?</v>
      </c>
    </row>
  </sheetData>
  <mergeCells count="16">
    <mergeCell ref="A1:V1"/>
    <mergeCell ref="G49:G53"/>
    <mergeCell ref="H49:M49"/>
    <mergeCell ref="N49:N53"/>
    <mergeCell ref="I50:J50"/>
    <mergeCell ref="K50:L50"/>
    <mergeCell ref="G28:G32"/>
    <mergeCell ref="H28:M28"/>
    <mergeCell ref="N28:N32"/>
    <mergeCell ref="I29:J29"/>
    <mergeCell ref="K29:L29"/>
    <mergeCell ref="H9:M9"/>
    <mergeCell ref="I10:J10"/>
    <mergeCell ref="K10:L10"/>
    <mergeCell ref="G9:G13"/>
    <mergeCell ref="N9:N13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23BBC-5DFA-418A-88AB-68839D5384B2}">
  <sheetPr codeName="Sheet7"/>
  <dimension ref="A1:AS60"/>
  <sheetViews>
    <sheetView topLeftCell="A40" zoomScale="130" zoomScaleNormal="130" workbookViewId="0">
      <selection activeCell="AX6" sqref="AX6"/>
    </sheetView>
  </sheetViews>
  <sheetFormatPr baseColWidth="10" defaultColWidth="9.140625" defaultRowHeight="15"/>
  <cols>
    <col min="3" max="3" width="3.85546875" customWidth="1"/>
    <col min="4" max="4" width="2.140625" customWidth="1"/>
    <col min="5" max="44" width="1.7109375" customWidth="1"/>
    <col min="45" max="45" width="2.140625" customWidth="1"/>
  </cols>
  <sheetData>
    <row r="1" spans="2:45" ht="15" customHeight="1">
      <c r="C1" s="1467" t="s">
        <v>728</v>
      </c>
      <c r="D1" s="1467"/>
      <c r="E1" s="1467"/>
      <c r="F1" s="1467"/>
      <c r="G1" s="1467"/>
      <c r="H1" s="1467"/>
      <c r="I1" s="1467"/>
      <c r="J1" s="1467"/>
      <c r="K1" s="1467"/>
      <c r="L1" s="1467"/>
      <c r="M1" s="1467"/>
      <c r="N1" s="1467"/>
      <c r="O1" s="1467"/>
      <c r="P1" s="1467"/>
      <c r="Q1" s="1467"/>
      <c r="R1" s="1467"/>
      <c r="S1" s="1467"/>
      <c r="T1" s="1467"/>
      <c r="U1" s="1467"/>
      <c r="V1" s="1467"/>
      <c r="W1" s="1467"/>
      <c r="X1" s="1467"/>
      <c r="Y1" s="1467"/>
      <c r="Z1" s="1467"/>
      <c r="AA1" s="1467"/>
      <c r="AB1" s="1467"/>
      <c r="AC1" s="1467"/>
      <c r="AD1" s="1467"/>
      <c r="AE1" s="1467"/>
      <c r="AF1" s="1467"/>
      <c r="AG1" s="1467"/>
      <c r="AH1" s="1467"/>
      <c r="AI1" s="1467"/>
      <c r="AJ1" s="1467"/>
      <c r="AK1" s="1467"/>
      <c r="AL1" s="1467"/>
      <c r="AM1" s="1467"/>
      <c r="AN1" s="1467"/>
      <c r="AO1" s="1467"/>
      <c r="AP1" s="1467"/>
      <c r="AQ1" s="1467"/>
      <c r="AR1" s="1467"/>
      <c r="AS1" s="1467"/>
    </row>
    <row r="2" spans="2:45" ht="15" customHeight="1">
      <c r="C2" s="1467"/>
      <c r="D2" s="1467"/>
      <c r="E2" s="1467"/>
      <c r="F2" s="1467"/>
      <c r="G2" s="1467"/>
      <c r="H2" s="1467"/>
      <c r="I2" s="1467"/>
      <c r="J2" s="1467"/>
      <c r="K2" s="1467"/>
      <c r="L2" s="1467"/>
      <c r="M2" s="1467"/>
      <c r="N2" s="1467"/>
      <c r="O2" s="1467"/>
      <c r="P2" s="1467"/>
      <c r="Q2" s="1467"/>
      <c r="R2" s="1467"/>
      <c r="S2" s="1467"/>
      <c r="T2" s="1467"/>
      <c r="U2" s="1467"/>
      <c r="V2" s="1467"/>
      <c r="W2" s="1467"/>
      <c r="X2" s="1467"/>
      <c r="Y2" s="1467"/>
      <c r="Z2" s="1467"/>
      <c r="AA2" s="1467"/>
      <c r="AB2" s="1467"/>
      <c r="AC2" s="1467"/>
      <c r="AD2" s="1467"/>
      <c r="AE2" s="1467"/>
      <c r="AF2" s="1467"/>
      <c r="AG2" s="1467"/>
      <c r="AH2" s="1467"/>
      <c r="AI2" s="1467"/>
      <c r="AJ2" s="1467"/>
      <c r="AK2" s="1467"/>
      <c r="AL2" s="1467"/>
      <c r="AM2" s="1467"/>
      <c r="AN2" s="1467"/>
      <c r="AO2" s="1467"/>
      <c r="AP2" s="1467"/>
      <c r="AQ2" s="1467"/>
      <c r="AR2" s="1467"/>
      <c r="AS2" s="1467"/>
    </row>
    <row r="3" spans="2:45" ht="7.5" customHeight="1">
      <c r="E3">
        <v>10</v>
      </c>
      <c r="G3">
        <f>E3-1</f>
        <v>9</v>
      </c>
      <c r="I3">
        <f>G3-1</f>
        <v>8</v>
      </c>
      <c r="K3">
        <f>I3-1</f>
        <v>7</v>
      </c>
      <c r="M3">
        <f>K3-1</f>
        <v>6</v>
      </c>
      <c r="O3">
        <f>M3-1</f>
        <v>5</v>
      </c>
      <c r="Q3">
        <f>O3-1</f>
        <v>4</v>
      </c>
      <c r="S3">
        <f>Q3-1</f>
        <v>3</v>
      </c>
      <c r="U3">
        <f>S3-1</f>
        <v>2</v>
      </c>
      <c r="W3">
        <f>U3-1</f>
        <v>1</v>
      </c>
      <c r="AA3">
        <v>1</v>
      </c>
      <c r="AC3">
        <f>AA3+1</f>
        <v>2</v>
      </c>
      <c r="AE3">
        <f>AC3+1</f>
        <v>3</v>
      </c>
      <c r="AG3">
        <f>AE3+1</f>
        <v>4</v>
      </c>
      <c r="AI3">
        <f>AG3+1</f>
        <v>5</v>
      </c>
      <c r="AK3">
        <f>AI3+1</f>
        <v>6</v>
      </c>
      <c r="AM3">
        <f>AK3+1</f>
        <v>7</v>
      </c>
      <c r="AO3">
        <f>AM3+1</f>
        <v>8</v>
      </c>
      <c r="AQ3">
        <f>AO3+1</f>
        <v>9</v>
      </c>
      <c r="AS3">
        <f>AQ3+1</f>
        <v>10</v>
      </c>
    </row>
    <row r="4" spans="2:45" ht="6" customHeight="1"/>
    <row r="5" spans="2:45" ht="6" customHeight="1">
      <c r="D5" s="1465"/>
      <c r="E5" s="1465"/>
      <c r="F5" s="311"/>
      <c r="G5" s="311"/>
      <c r="H5" s="311"/>
      <c r="I5" s="311"/>
      <c r="J5" s="311"/>
      <c r="K5" s="311"/>
      <c r="L5" s="311"/>
      <c r="M5" s="311"/>
      <c r="N5" s="1465"/>
      <c r="O5" s="1465"/>
      <c r="P5" s="311"/>
      <c r="Q5" s="311"/>
      <c r="R5" s="311"/>
      <c r="S5" s="311"/>
      <c r="T5" s="1486"/>
      <c r="U5" s="1486"/>
      <c r="V5" s="311"/>
      <c r="W5" s="311"/>
      <c r="X5" s="1483"/>
      <c r="Y5" s="1483"/>
      <c r="Z5" s="311"/>
      <c r="AA5" s="311"/>
      <c r="AB5" s="1485"/>
      <c r="AC5" s="1485"/>
      <c r="AD5" s="311"/>
      <c r="AE5" s="311"/>
      <c r="AF5" s="311"/>
      <c r="AG5" s="311"/>
      <c r="AH5" s="1465"/>
      <c r="AI5" s="1465"/>
      <c r="AJ5" s="311"/>
      <c r="AK5" s="311"/>
      <c r="AL5" s="311"/>
      <c r="AM5" s="311"/>
      <c r="AN5" s="311"/>
      <c r="AO5" s="311"/>
      <c r="AP5" s="311"/>
      <c r="AQ5" s="311"/>
      <c r="AR5" s="1465"/>
      <c r="AS5" s="1465"/>
    </row>
    <row r="6" spans="2:45" ht="15.75" thickBot="1">
      <c r="C6" s="396"/>
      <c r="D6" s="1466"/>
      <c r="E6" s="1466"/>
      <c r="F6" s="1464" t="str">
        <f>CONCATENATE("-",G3,"°")</f>
        <v>-9°</v>
      </c>
      <c r="G6" s="1464"/>
      <c r="H6" s="1464" t="str">
        <f>CONCATENATE("-",I3,"°")</f>
        <v>-8°</v>
      </c>
      <c r="I6" s="1464"/>
      <c r="J6" s="1464" t="str">
        <f>CONCATENATE("-",K3,"°")</f>
        <v>-7°</v>
      </c>
      <c r="K6" s="1464"/>
      <c r="L6" s="1464" t="str">
        <f>CONCATENATE("-",M3,"°")</f>
        <v>-6°</v>
      </c>
      <c r="M6" s="1464"/>
      <c r="N6" s="1466"/>
      <c r="O6" s="1466"/>
      <c r="P6" s="1464" t="str">
        <f>CONCATENATE("-",Q3,"°")</f>
        <v>-4°</v>
      </c>
      <c r="Q6" s="1464"/>
      <c r="R6" s="1464" t="str">
        <f>CONCATENATE("-",S3,"°")</f>
        <v>-3°</v>
      </c>
      <c r="S6" s="1464"/>
      <c r="T6" s="1464" t="str">
        <f>CONCATENATE("-",U3,"°")</f>
        <v>-2°</v>
      </c>
      <c r="U6" s="1464"/>
      <c r="V6" s="1464" t="str">
        <f>CONCATENATE("-",W3,"°")</f>
        <v>-1°</v>
      </c>
      <c r="W6" s="1464"/>
      <c r="X6" s="1484"/>
      <c r="Y6" s="1484"/>
      <c r="Z6" s="1464" t="str">
        <f>CONCATENATE(AA3,"°")</f>
        <v>1°</v>
      </c>
      <c r="AA6" s="1464"/>
      <c r="AB6" s="1464" t="str">
        <f>CONCATENATE(AC3,"°")</f>
        <v>2°</v>
      </c>
      <c r="AC6" s="1464"/>
      <c r="AD6" s="1464" t="str">
        <f>CONCATENATE(AE3,"°")</f>
        <v>3°</v>
      </c>
      <c r="AE6" s="1464"/>
      <c r="AF6" s="1464" t="str">
        <f>CONCATENATE(AG3,"°")</f>
        <v>4°</v>
      </c>
      <c r="AG6" s="1464"/>
      <c r="AH6" s="1466"/>
      <c r="AI6" s="1466"/>
      <c r="AJ6" s="1464" t="str">
        <f>CONCATENATE(AK3,"°")</f>
        <v>6°</v>
      </c>
      <c r="AK6" s="1464"/>
      <c r="AL6" s="1464" t="str">
        <f>CONCATENATE(AM3,"°")</f>
        <v>7°</v>
      </c>
      <c r="AM6" s="1464"/>
      <c r="AN6" s="1464" t="str">
        <f>CONCATENATE(AO3,"°")</f>
        <v>8°</v>
      </c>
      <c r="AO6" s="1464"/>
      <c r="AP6" s="1464" t="str">
        <f>CONCATENATE(AQ3,"°")</f>
        <v>9°</v>
      </c>
      <c r="AQ6" s="1464"/>
      <c r="AR6" s="1466"/>
      <c r="AS6" s="1466"/>
    </row>
    <row r="7" spans="2:45" ht="15.75" thickTop="1">
      <c r="D7" s="397"/>
      <c r="E7" s="1472"/>
      <c r="F7" s="1470"/>
      <c r="G7" s="1470"/>
      <c r="H7" s="1470"/>
      <c r="I7" s="1470"/>
      <c r="J7" s="1470"/>
      <c r="K7" s="1470"/>
      <c r="L7" s="1470"/>
      <c r="M7" s="1470"/>
      <c r="N7" s="1470"/>
      <c r="O7" s="1470"/>
      <c r="P7" s="1470"/>
      <c r="Q7" s="1470"/>
      <c r="R7" s="1470"/>
      <c r="S7" s="1470"/>
      <c r="T7" s="1470"/>
      <c r="U7" s="1470"/>
      <c r="V7" s="1470"/>
      <c r="W7" s="400"/>
      <c r="X7" s="401"/>
      <c r="Y7" s="401"/>
      <c r="Z7" s="402"/>
      <c r="AA7" s="1470"/>
      <c r="AB7" s="1470"/>
      <c r="AC7" s="1470"/>
      <c r="AD7" s="1470"/>
      <c r="AE7" s="1470"/>
      <c r="AF7" s="1470"/>
      <c r="AG7" s="1470"/>
      <c r="AH7" s="1470"/>
      <c r="AI7" s="1470"/>
      <c r="AJ7" s="1470"/>
      <c r="AK7" s="1470"/>
      <c r="AL7" s="1470"/>
      <c r="AM7" s="1470"/>
      <c r="AN7" s="1470"/>
      <c r="AO7" s="1470"/>
      <c r="AP7" s="1470"/>
      <c r="AQ7" s="1470"/>
      <c r="AR7" s="1477"/>
    </row>
    <row r="8" spans="2:45" ht="15" customHeight="1">
      <c r="B8">
        <v>0</v>
      </c>
      <c r="C8" s="1468" t="str">
        <f>CONCATENATE(B8,"°")</f>
        <v>0°</v>
      </c>
      <c r="D8" s="1469"/>
      <c r="E8" s="1473"/>
      <c r="F8" s="1471"/>
      <c r="G8" s="1471"/>
      <c r="H8" s="1471"/>
      <c r="I8" s="1471"/>
      <c r="J8" s="1471"/>
      <c r="K8" s="1471"/>
      <c r="L8" s="1471"/>
      <c r="M8" s="1471"/>
      <c r="N8" s="1471"/>
      <c r="O8" s="1471"/>
      <c r="P8" s="1471"/>
      <c r="Q8" s="1471"/>
      <c r="R8" s="1471"/>
      <c r="S8" s="1471"/>
      <c r="T8" s="1471"/>
      <c r="U8" s="1471"/>
      <c r="V8" s="1471"/>
      <c r="W8" s="398"/>
      <c r="X8" s="1068"/>
      <c r="Y8" s="1068"/>
      <c r="Z8" s="399"/>
      <c r="AA8" s="1471"/>
      <c r="AB8" s="1471"/>
      <c r="AC8" s="1471"/>
      <c r="AD8" s="1471"/>
      <c r="AE8" s="1471"/>
      <c r="AF8" s="1471"/>
      <c r="AG8" s="1471"/>
      <c r="AH8" s="1471"/>
      <c r="AI8" s="1471"/>
      <c r="AJ8" s="1471"/>
      <c r="AK8" s="1471"/>
      <c r="AL8" s="1471"/>
      <c r="AM8" s="1471"/>
      <c r="AN8" s="1471"/>
      <c r="AO8" s="1471"/>
      <c r="AP8" s="1471"/>
      <c r="AQ8" s="1471"/>
      <c r="AR8" s="1478"/>
    </row>
    <row r="9" spans="2:45" ht="15" customHeight="1">
      <c r="C9" s="1468"/>
      <c r="D9" s="1469"/>
      <c r="E9" s="1475"/>
      <c r="F9" s="1476"/>
      <c r="G9" s="1476"/>
      <c r="H9" s="1476"/>
      <c r="I9" s="1476"/>
      <c r="J9" s="1476"/>
      <c r="K9" s="1476"/>
      <c r="L9" s="1476"/>
      <c r="M9" s="1476"/>
      <c r="N9" s="1476"/>
      <c r="O9" s="1476"/>
      <c r="P9" s="1476"/>
      <c r="Q9" s="1476"/>
      <c r="R9" s="1476"/>
      <c r="S9" s="1476"/>
      <c r="T9" s="1476"/>
      <c r="U9" s="1476"/>
      <c r="V9" s="1476"/>
      <c r="W9" s="398"/>
      <c r="X9" s="1068"/>
      <c r="Y9" s="1068"/>
      <c r="Z9" s="399"/>
      <c r="AA9" s="1476"/>
      <c r="AB9" s="1476"/>
      <c r="AC9" s="1476"/>
      <c r="AD9" s="1476"/>
      <c r="AE9" s="1476"/>
      <c r="AF9" s="1476"/>
      <c r="AG9" s="1476"/>
      <c r="AH9" s="1476"/>
      <c r="AI9" s="1476"/>
      <c r="AJ9" s="1476"/>
      <c r="AK9" s="1476"/>
      <c r="AL9" s="1476"/>
      <c r="AM9" s="1476"/>
      <c r="AN9" s="1476"/>
      <c r="AO9" s="1476"/>
      <c r="AP9" s="1476"/>
      <c r="AQ9" s="1476"/>
      <c r="AR9" s="1480"/>
    </row>
    <row r="10" spans="2:45" ht="15" customHeight="1">
      <c r="B10">
        <f>B8+30</f>
        <v>30</v>
      </c>
      <c r="C10" s="1468" t="str">
        <f>CONCATENATE(B10,"°")</f>
        <v>30°</v>
      </c>
      <c r="D10" s="1469"/>
      <c r="E10" s="1474"/>
      <c r="F10" s="1052"/>
      <c r="G10" s="1052"/>
      <c r="H10" s="1052"/>
      <c r="I10" s="1052"/>
      <c r="J10" s="1052"/>
      <c r="K10" s="1052"/>
      <c r="L10" s="1052"/>
      <c r="M10" s="1052"/>
      <c r="N10" s="1052"/>
      <c r="O10" s="1052"/>
      <c r="P10" s="1052"/>
      <c r="Q10" s="1052"/>
      <c r="R10" s="1052"/>
      <c r="S10" s="1052"/>
      <c r="T10" s="1052"/>
      <c r="U10" s="1052"/>
      <c r="V10" s="1052"/>
      <c r="W10" s="398"/>
      <c r="X10" s="1068"/>
      <c r="Y10" s="1068"/>
      <c r="Z10" s="399"/>
      <c r="AA10" s="1052"/>
      <c r="AB10" s="1052"/>
      <c r="AC10" s="1052"/>
      <c r="AD10" s="1052"/>
      <c r="AE10" s="1052"/>
      <c r="AF10" s="1052"/>
      <c r="AG10" s="1052"/>
      <c r="AH10" s="1052"/>
      <c r="AI10" s="1052"/>
      <c r="AJ10" s="1052"/>
      <c r="AK10" s="1052"/>
      <c r="AL10" s="1052"/>
      <c r="AM10" s="1052"/>
      <c r="AN10" s="1052"/>
      <c r="AO10" s="1052"/>
      <c r="AP10" s="1052"/>
      <c r="AQ10" s="1052"/>
      <c r="AR10" s="1479"/>
    </row>
    <row r="11" spans="2:45" ht="15" customHeight="1">
      <c r="C11" s="1468"/>
      <c r="D11" s="1469"/>
      <c r="E11" s="1474"/>
      <c r="F11" s="1052"/>
      <c r="G11" s="1052"/>
      <c r="H11" s="1052"/>
      <c r="I11" s="1052"/>
      <c r="J11" s="1052"/>
      <c r="K11" s="1052"/>
      <c r="L11" s="1052"/>
      <c r="M11" s="1052"/>
      <c r="N11" s="1052"/>
      <c r="O11" s="1052"/>
      <c r="P11" s="1052"/>
      <c r="Q11" s="1052"/>
      <c r="R11" s="1052"/>
      <c r="S11" s="1052"/>
      <c r="T11" s="1052"/>
      <c r="U11" s="1052"/>
      <c r="V11" s="1052"/>
      <c r="W11" s="398"/>
      <c r="X11" s="1068"/>
      <c r="Y11" s="1068"/>
      <c r="Z11" s="399"/>
      <c r="AA11" s="1052"/>
      <c r="AB11" s="1052"/>
      <c r="AC11" s="1052"/>
      <c r="AD11" s="1052"/>
      <c r="AE11" s="1052"/>
      <c r="AF11" s="1052"/>
      <c r="AG11" s="1052"/>
      <c r="AH11" s="1052"/>
      <c r="AI11" s="1052"/>
      <c r="AJ11" s="1052"/>
      <c r="AK11" s="1052"/>
      <c r="AL11" s="1052"/>
      <c r="AM11" s="1052"/>
      <c r="AN11" s="1052"/>
      <c r="AO11" s="1052"/>
      <c r="AP11" s="1052"/>
      <c r="AQ11" s="1052"/>
      <c r="AR11" s="1479"/>
    </row>
    <row r="12" spans="2:45" ht="15" customHeight="1">
      <c r="B12">
        <f>B10+30</f>
        <v>60</v>
      </c>
      <c r="C12" s="1468" t="str">
        <f>CONCATENATE(B12,"°")</f>
        <v>60°</v>
      </c>
      <c r="D12" s="1469"/>
      <c r="E12" s="1474"/>
      <c r="F12" s="1052"/>
      <c r="G12" s="1052"/>
      <c r="H12" s="1052"/>
      <c r="I12" s="1052"/>
      <c r="J12" s="1052"/>
      <c r="K12" s="1052"/>
      <c r="L12" s="1052"/>
      <c r="M12" s="1052"/>
      <c r="N12" s="1052"/>
      <c r="O12" s="1052"/>
      <c r="P12" s="1052"/>
      <c r="Q12" s="1052"/>
      <c r="R12" s="1052"/>
      <c r="S12" s="1052"/>
      <c r="T12" s="1052"/>
      <c r="U12" s="1052"/>
      <c r="V12" s="1052"/>
      <c r="W12" s="398"/>
      <c r="X12" s="1068"/>
      <c r="Y12" s="1068"/>
      <c r="Z12" s="399"/>
      <c r="AA12" s="1052"/>
      <c r="AB12" s="1052"/>
      <c r="AC12" s="1052"/>
      <c r="AD12" s="1052"/>
      <c r="AE12" s="1052"/>
      <c r="AF12" s="1052"/>
      <c r="AG12" s="1052"/>
      <c r="AH12" s="1052"/>
      <c r="AI12" s="1052"/>
      <c r="AJ12" s="1052"/>
      <c r="AK12" s="1052"/>
      <c r="AL12" s="1052"/>
      <c r="AM12" s="1052"/>
      <c r="AN12" s="1052"/>
      <c r="AO12" s="1052"/>
      <c r="AP12" s="1052"/>
      <c r="AQ12" s="1052"/>
      <c r="AR12" s="1479"/>
    </row>
    <row r="13" spans="2:45" ht="15" customHeight="1">
      <c r="C13" s="1468"/>
      <c r="D13" s="1469"/>
      <c r="E13" s="1474"/>
      <c r="F13" s="1052"/>
      <c r="G13" s="1052"/>
      <c r="H13" s="1052"/>
      <c r="I13" s="1052"/>
      <c r="J13" s="1052"/>
      <c r="K13" s="1052"/>
      <c r="L13" s="1052"/>
      <c r="M13" s="1052"/>
      <c r="N13" s="1052"/>
      <c r="O13" s="1052"/>
      <c r="P13" s="1052"/>
      <c r="Q13" s="1052"/>
      <c r="R13" s="1052"/>
      <c r="S13" s="1052"/>
      <c r="T13" s="1052"/>
      <c r="U13" s="1052"/>
      <c r="V13" s="1052"/>
      <c r="W13" s="398"/>
      <c r="X13" s="1068"/>
      <c r="Y13" s="1068"/>
      <c r="Z13" s="399"/>
      <c r="AA13" s="1052"/>
      <c r="AB13" s="1052"/>
      <c r="AC13" s="1052"/>
      <c r="AD13" s="1052"/>
      <c r="AE13" s="1052"/>
      <c r="AF13" s="1052"/>
      <c r="AG13" s="1052"/>
      <c r="AH13" s="1052"/>
      <c r="AI13" s="1052"/>
      <c r="AJ13" s="1052"/>
      <c r="AK13" s="1052"/>
      <c r="AL13" s="1052"/>
      <c r="AM13" s="1052"/>
      <c r="AN13" s="1052"/>
      <c r="AO13" s="1052"/>
      <c r="AP13" s="1052"/>
      <c r="AQ13" s="1052"/>
      <c r="AR13" s="1479"/>
    </row>
    <row r="14" spans="2:45" ht="15" customHeight="1">
      <c r="B14">
        <f>B12+30</f>
        <v>90</v>
      </c>
      <c r="C14" s="1468" t="str">
        <f>CONCATENATE(B14,"°")</f>
        <v>90°</v>
      </c>
      <c r="D14" s="1469"/>
      <c r="E14" s="1473"/>
      <c r="F14" s="1471"/>
      <c r="G14" s="1471"/>
      <c r="H14" s="1471"/>
      <c r="I14" s="1471"/>
      <c r="J14" s="1471"/>
      <c r="K14" s="1471"/>
      <c r="L14" s="1471"/>
      <c r="M14" s="1471"/>
      <c r="N14" s="1471"/>
      <c r="O14" s="1471"/>
      <c r="P14" s="1471"/>
      <c r="Q14" s="1471"/>
      <c r="R14" s="1471"/>
      <c r="S14" s="1471"/>
      <c r="T14" s="1471"/>
      <c r="U14" s="1471"/>
      <c r="V14" s="1471"/>
      <c r="W14" s="398"/>
      <c r="X14" s="1068"/>
      <c r="Y14" s="1068"/>
      <c r="Z14" s="399"/>
      <c r="AA14" s="1471"/>
      <c r="AB14" s="1471"/>
      <c r="AC14" s="1471"/>
      <c r="AD14" s="1471"/>
      <c r="AE14" s="1471"/>
      <c r="AF14" s="1471"/>
      <c r="AG14" s="1471"/>
      <c r="AH14" s="1471"/>
      <c r="AI14" s="1471"/>
      <c r="AJ14" s="1471"/>
      <c r="AK14" s="1471"/>
      <c r="AL14" s="1471"/>
      <c r="AM14" s="1471"/>
      <c r="AN14" s="1471"/>
      <c r="AO14" s="1471"/>
      <c r="AP14" s="1471"/>
      <c r="AQ14" s="1471"/>
      <c r="AR14" s="1478"/>
    </row>
    <row r="15" spans="2:45" ht="15" customHeight="1">
      <c r="C15" s="1468"/>
      <c r="D15" s="1469"/>
      <c r="E15" s="1475"/>
      <c r="F15" s="1476"/>
      <c r="G15" s="1476"/>
      <c r="H15" s="1476"/>
      <c r="I15" s="1476"/>
      <c r="J15" s="1476"/>
      <c r="K15" s="1476"/>
      <c r="L15" s="1476"/>
      <c r="M15" s="1476"/>
      <c r="N15" s="1476"/>
      <c r="O15" s="1476"/>
      <c r="P15" s="1476"/>
      <c r="Q15" s="1476"/>
      <c r="R15" s="1476"/>
      <c r="S15" s="1476"/>
      <c r="T15" s="1476"/>
      <c r="U15" s="1476"/>
      <c r="V15" s="1476"/>
      <c r="W15" s="398"/>
      <c r="X15" s="1068"/>
      <c r="Y15" s="1068"/>
      <c r="Z15" s="399"/>
      <c r="AA15" s="1476"/>
      <c r="AB15" s="1476"/>
      <c r="AC15" s="1476"/>
      <c r="AD15" s="1476"/>
      <c r="AE15" s="1476"/>
      <c r="AF15" s="1476"/>
      <c r="AG15" s="1476"/>
      <c r="AH15" s="1476"/>
      <c r="AI15" s="1476"/>
      <c r="AJ15" s="1476"/>
      <c r="AK15" s="1476"/>
      <c r="AL15" s="1476"/>
      <c r="AM15" s="1476"/>
      <c r="AN15" s="1476"/>
      <c r="AO15" s="1476"/>
      <c r="AP15" s="1476"/>
      <c r="AQ15" s="1476"/>
      <c r="AR15" s="1480"/>
    </row>
    <row r="16" spans="2:45" ht="15" customHeight="1">
      <c r="B16">
        <f>B14+30</f>
        <v>120</v>
      </c>
      <c r="C16" s="1468" t="str">
        <f>CONCATENATE(B16,"°")</f>
        <v>120°</v>
      </c>
      <c r="D16" s="1469"/>
      <c r="E16" s="1474"/>
      <c r="F16" s="1052"/>
      <c r="G16" s="1052"/>
      <c r="H16" s="1052"/>
      <c r="I16" s="1052"/>
      <c r="J16" s="1052"/>
      <c r="K16" s="1052"/>
      <c r="L16" s="1052"/>
      <c r="M16" s="1052"/>
      <c r="N16" s="1052"/>
      <c r="O16" s="1052"/>
      <c r="P16" s="1052"/>
      <c r="Q16" s="1052"/>
      <c r="R16" s="1052"/>
      <c r="S16" s="1052"/>
      <c r="T16" s="1052"/>
      <c r="U16" s="1052"/>
      <c r="V16" s="1052"/>
      <c r="W16" s="398"/>
      <c r="X16" s="1068"/>
      <c r="Y16" s="1068"/>
      <c r="Z16" s="399"/>
      <c r="AA16" s="1052"/>
      <c r="AB16" s="1052"/>
      <c r="AC16" s="1052"/>
      <c r="AD16" s="1052"/>
      <c r="AE16" s="1052"/>
      <c r="AF16" s="1052"/>
      <c r="AG16" s="1052"/>
      <c r="AH16" s="1052"/>
      <c r="AI16" s="1052"/>
      <c r="AJ16" s="1052"/>
      <c r="AK16" s="1052"/>
      <c r="AL16" s="1052"/>
      <c r="AM16" s="1052"/>
      <c r="AN16" s="1052"/>
      <c r="AO16" s="1052"/>
      <c r="AP16" s="1052"/>
      <c r="AQ16" s="1052"/>
      <c r="AR16" s="1479"/>
    </row>
    <row r="17" spans="2:44" ht="15" customHeight="1">
      <c r="C17" s="1468"/>
      <c r="D17" s="1469"/>
      <c r="E17" s="1474"/>
      <c r="F17" s="1052"/>
      <c r="G17" s="1052"/>
      <c r="H17" s="1052"/>
      <c r="I17" s="1052"/>
      <c r="J17" s="1052"/>
      <c r="K17" s="1052"/>
      <c r="L17" s="1052"/>
      <c r="M17" s="1052"/>
      <c r="N17" s="1052"/>
      <c r="O17" s="1052"/>
      <c r="P17" s="1052"/>
      <c r="Q17" s="1052"/>
      <c r="R17" s="1052"/>
      <c r="S17" s="1052"/>
      <c r="T17" s="1052"/>
      <c r="U17" s="1052"/>
      <c r="V17" s="1052"/>
      <c r="W17" s="398"/>
      <c r="X17" s="1068"/>
      <c r="Y17" s="1068"/>
      <c r="Z17" s="399"/>
      <c r="AA17" s="1052"/>
      <c r="AB17" s="1052"/>
      <c r="AC17" s="1052"/>
      <c r="AD17" s="1052"/>
      <c r="AE17" s="1052"/>
      <c r="AF17" s="1052"/>
      <c r="AG17" s="1052"/>
      <c r="AH17" s="1052"/>
      <c r="AI17" s="1052"/>
      <c r="AJ17" s="1052"/>
      <c r="AK17" s="1052"/>
      <c r="AL17" s="1052"/>
      <c r="AM17" s="1052"/>
      <c r="AN17" s="1052"/>
      <c r="AO17" s="1052"/>
      <c r="AP17" s="1052"/>
      <c r="AQ17" s="1052"/>
      <c r="AR17" s="1479"/>
    </row>
    <row r="18" spans="2:44" ht="15" customHeight="1">
      <c r="B18">
        <f>B16+30</f>
        <v>150</v>
      </c>
      <c r="C18" s="1468" t="str">
        <f>CONCATENATE(B18,"°")</f>
        <v>150°</v>
      </c>
      <c r="D18" s="1469"/>
      <c r="E18" s="1474"/>
      <c r="F18" s="1052"/>
      <c r="G18" s="1052"/>
      <c r="H18" s="1052"/>
      <c r="I18" s="1052"/>
      <c r="J18" s="1052"/>
      <c r="K18" s="1052"/>
      <c r="L18" s="1052"/>
      <c r="M18" s="1052"/>
      <c r="N18" s="1052"/>
      <c r="O18" s="1052"/>
      <c r="P18" s="1052"/>
      <c r="Q18" s="1052"/>
      <c r="R18" s="1052"/>
      <c r="S18" s="1052"/>
      <c r="T18" s="1052"/>
      <c r="U18" s="1052"/>
      <c r="V18" s="1052"/>
      <c r="W18" s="398"/>
      <c r="X18" s="1068"/>
      <c r="Y18" s="1068"/>
      <c r="Z18" s="399"/>
      <c r="AA18" s="1052"/>
      <c r="AB18" s="1052"/>
      <c r="AC18" s="1052"/>
      <c r="AD18" s="1052"/>
      <c r="AE18" s="1052"/>
      <c r="AF18" s="1052"/>
      <c r="AG18" s="1052"/>
      <c r="AH18" s="1052"/>
      <c r="AI18" s="1052"/>
      <c r="AJ18" s="1052"/>
      <c r="AK18" s="1052"/>
      <c r="AL18" s="1052"/>
      <c r="AM18" s="1052"/>
      <c r="AN18" s="1052"/>
      <c r="AO18" s="1052"/>
      <c r="AP18" s="1052"/>
      <c r="AQ18" s="1052"/>
      <c r="AR18" s="1479"/>
    </row>
    <row r="19" spans="2:44" ht="15" customHeight="1">
      <c r="C19" s="1468"/>
      <c r="D19" s="1469"/>
      <c r="E19" s="1474"/>
      <c r="F19" s="1052"/>
      <c r="G19" s="1052"/>
      <c r="H19" s="1052"/>
      <c r="I19" s="1052"/>
      <c r="J19" s="1052"/>
      <c r="K19" s="1052"/>
      <c r="L19" s="1052"/>
      <c r="M19" s="1052"/>
      <c r="N19" s="1052"/>
      <c r="O19" s="1052"/>
      <c r="P19" s="1052"/>
      <c r="Q19" s="1052"/>
      <c r="R19" s="1052"/>
      <c r="S19" s="1052"/>
      <c r="T19" s="1052"/>
      <c r="U19" s="1052"/>
      <c r="V19" s="1052"/>
      <c r="W19" s="398"/>
      <c r="X19" s="1068"/>
      <c r="Y19" s="1068"/>
      <c r="Z19" s="399"/>
      <c r="AA19" s="1052"/>
      <c r="AB19" s="1052"/>
      <c r="AC19" s="1052"/>
      <c r="AD19" s="1052"/>
      <c r="AE19" s="1052"/>
      <c r="AF19" s="1052"/>
      <c r="AG19" s="1052"/>
      <c r="AH19" s="1052"/>
      <c r="AI19" s="1052"/>
      <c r="AJ19" s="1052"/>
      <c r="AK19" s="1052"/>
      <c r="AL19" s="1052"/>
      <c r="AM19" s="1052"/>
      <c r="AN19" s="1052"/>
      <c r="AO19" s="1052"/>
      <c r="AP19" s="1052"/>
      <c r="AQ19" s="1052"/>
      <c r="AR19" s="1479"/>
    </row>
    <row r="20" spans="2:44" ht="15" customHeight="1">
      <c r="B20">
        <f>B18+30</f>
        <v>180</v>
      </c>
      <c r="C20" s="1468" t="str">
        <f>CONCATENATE(B20,"°")</f>
        <v>180°</v>
      </c>
      <c r="D20" s="1469"/>
      <c r="E20" s="1473"/>
      <c r="F20" s="1471"/>
      <c r="G20" s="1471"/>
      <c r="H20" s="1471"/>
      <c r="I20" s="1471"/>
      <c r="J20" s="1471"/>
      <c r="K20" s="1471"/>
      <c r="L20" s="1471"/>
      <c r="M20" s="1471"/>
      <c r="N20" s="1471"/>
      <c r="O20" s="1471"/>
      <c r="P20" s="1471"/>
      <c r="Q20" s="1471"/>
      <c r="R20" s="1471"/>
      <c r="S20" s="1471"/>
      <c r="T20" s="1471"/>
      <c r="U20" s="1471"/>
      <c r="V20" s="1471"/>
      <c r="W20" s="398"/>
      <c r="X20" s="1068"/>
      <c r="Y20" s="1068"/>
      <c r="Z20" s="399"/>
      <c r="AA20" s="1471"/>
      <c r="AB20" s="1471"/>
      <c r="AC20" s="1471"/>
      <c r="AD20" s="1471"/>
      <c r="AE20" s="1471"/>
      <c r="AF20" s="1471"/>
      <c r="AG20" s="1471"/>
      <c r="AH20" s="1471"/>
      <c r="AI20" s="1471"/>
      <c r="AJ20" s="1471"/>
      <c r="AK20" s="1471"/>
      <c r="AL20" s="1471"/>
      <c r="AM20" s="1471"/>
      <c r="AN20" s="1471"/>
      <c r="AO20" s="1471"/>
      <c r="AP20" s="1471"/>
      <c r="AQ20" s="1471"/>
      <c r="AR20" s="1478"/>
    </row>
    <row r="21" spans="2:44" ht="15" customHeight="1">
      <c r="C21" s="1468"/>
      <c r="D21" s="1469"/>
      <c r="E21" s="1475"/>
      <c r="F21" s="1476"/>
      <c r="G21" s="1476"/>
      <c r="H21" s="1476"/>
      <c r="I21" s="1476"/>
      <c r="J21" s="1476"/>
      <c r="K21" s="1476"/>
      <c r="L21" s="1476"/>
      <c r="M21" s="1476"/>
      <c r="N21" s="1476"/>
      <c r="O21" s="1476"/>
      <c r="P21" s="1476"/>
      <c r="Q21" s="1476"/>
      <c r="R21" s="1476"/>
      <c r="S21" s="1476"/>
      <c r="T21" s="1476"/>
      <c r="U21" s="1476"/>
      <c r="V21" s="1476"/>
      <c r="W21" s="398"/>
      <c r="X21" s="1068"/>
      <c r="Y21" s="1068"/>
      <c r="Z21" s="399"/>
      <c r="AA21" s="1476"/>
      <c r="AB21" s="1476"/>
      <c r="AC21" s="1476"/>
      <c r="AD21" s="1476"/>
      <c r="AE21" s="1476"/>
      <c r="AF21" s="1476"/>
      <c r="AG21" s="1476"/>
      <c r="AH21" s="1476"/>
      <c r="AI21" s="1476"/>
      <c r="AJ21" s="1476"/>
      <c r="AK21" s="1476"/>
      <c r="AL21" s="1476"/>
      <c r="AM21" s="1476"/>
      <c r="AN21" s="1476"/>
      <c r="AO21" s="1476"/>
      <c r="AP21" s="1476"/>
      <c r="AQ21" s="1476"/>
      <c r="AR21" s="1480"/>
    </row>
    <row r="22" spans="2:44" ht="15" customHeight="1">
      <c r="B22">
        <f>B20+30</f>
        <v>210</v>
      </c>
      <c r="C22" s="1468" t="str">
        <f>CONCATENATE(B22,"°")</f>
        <v>210°</v>
      </c>
      <c r="D22" s="1469"/>
      <c r="E22" s="1474"/>
      <c r="F22" s="1052"/>
      <c r="G22" s="1052"/>
      <c r="H22" s="1052"/>
      <c r="I22" s="1052"/>
      <c r="J22" s="1052"/>
      <c r="K22" s="1052"/>
      <c r="L22" s="1052"/>
      <c r="M22" s="1052"/>
      <c r="N22" s="1052"/>
      <c r="O22" s="1052"/>
      <c r="P22" s="1052"/>
      <c r="Q22" s="1052"/>
      <c r="R22" s="1052"/>
      <c r="S22" s="1052"/>
      <c r="T22" s="1052"/>
      <c r="U22" s="1052"/>
      <c r="V22" s="1052"/>
      <c r="W22" s="398"/>
      <c r="X22" s="1068"/>
      <c r="Y22" s="1068"/>
      <c r="Z22" s="399"/>
      <c r="AA22" s="1052"/>
      <c r="AB22" s="1052"/>
      <c r="AC22" s="1052"/>
      <c r="AD22" s="1052"/>
      <c r="AE22" s="1052"/>
      <c r="AF22" s="1052"/>
      <c r="AG22" s="1052"/>
      <c r="AH22" s="1052"/>
      <c r="AI22" s="1052"/>
      <c r="AJ22" s="1052"/>
      <c r="AK22" s="1052"/>
      <c r="AL22" s="1052"/>
      <c r="AM22" s="1052"/>
      <c r="AN22" s="1052"/>
      <c r="AO22" s="1052"/>
      <c r="AP22" s="1052"/>
      <c r="AQ22" s="1052"/>
      <c r="AR22" s="1479"/>
    </row>
    <row r="23" spans="2:44" ht="15" customHeight="1">
      <c r="C23" s="1468"/>
      <c r="D23" s="1469"/>
      <c r="E23" s="1474"/>
      <c r="F23" s="1052"/>
      <c r="G23" s="1052"/>
      <c r="H23" s="1052"/>
      <c r="I23" s="1052"/>
      <c r="J23" s="1052"/>
      <c r="K23" s="1052"/>
      <c r="L23" s="1052"/>
      <c r="M23" s="1052"/>
      <c r="N23" s="1052"/>
      <c r="O23" s="1052"/>
      <c r="P23" s="1052"/>
      <c r="Q23" s="1052"/>
      <c r="R23" s="1052"/>
      <c r="S23" s="1052"/>
      <c r="T23" s="1052"/>
      <c r="U23" s="1052"/>
      <c r="V23" s="1052"/>
      <c r="W23" s="398"/>
      <c r="X23" s="1068"/>
      <c r="Y23" s="1068"/>
      <c r="Z23" s="399"/>
      <c r="AA23" s="1052"/>
      <c r="AB23" s="1052"/>
      <c r="AC23" s="1052"/>
      <c r="AD23" s="1052"/>
      <c r="AE23" s="1052"/>
      <c r="AF23" s="1052"/>
      <c r="AG23" s="1052"/>
      <c r="AH23" s="1052"/>
      <c r="AI23" s="1052"/>
      <c r="AJ23" s="1052"/>
      <c r="AK23" s="1052"/>
      <c r="AL23" s="1052"/>
      <c r="AM23" s="1052"/>
      <c r="AN23" s="1052"/>
      <c r="AO23" s="1052"/>
      <c r="AP23" s="1052"/>
      <c r="AQ23" s="1052"/>
      <c r="AR23" s="1479"/>
    </row>
    <row r="24" spans="2:44" ht="15" customHeight="1">
      <c r="B24">
        <f>B22+30</f>
        <v>240</v>
      </c>
      <c r="C24" s="1468" t="str">
        <f>CONCATENATE(B24,"°")</f>
        <v>240°</v>
      </c>
      <c r="D24" s="1469"/>
      <c r="E24" s="1474"/>
      <c r="F24" s="1052"/>
      <c r="G24" s="1052"/>
      <c r="H24" s="1052"/>
      <c r="I24" s="1052"/>
      <c r="J24" s="1052"/>
      <c r="K24" s="1052"/>
      <c r="L24" s="1052"/>
      <c r="M24" s="1052"/>
      <c r="N24" s="1052"/>
      <c r="O24" s="1052"/>
      <c r="P24" s="1052"/>
      <c r="Q24" s="1052"/>
      <c r="R24" s="1052"/>
      <c r="S24" s="1052"/>
      <c r="T24" s="1052"/>
      <c r="U24" s="1052"/>
      <c r="V24" s="1052"/>
      <c r="W24" s="398"/>
      <c r="X24" s="1068"/>
      <c r="Y24" s="1068"/>
      <c r="Z24" s="399"/>
      <c r="AA24" s="1052"/>
      <c r="AB24" s="1052"/>
      <c r="AC24" s="1052"/>
      <c r="AD24" s="1052"/>
      <c r="AE24" s="1052"/>
      <c r="AF24" s="1052"/>
      <c r="AG24" s="1052"/>
      <c r="AH24" s="1052"/>
      <c r="AI24" s="1052"/>
      <c r="AJ24" s="1052"/>
      <c r="AK24" s="1052"/>
      <c r="AL24" s="1052"/>
      <c r="AM24" s="1052"/>
      <c r="AN24" s="1052"/>
      <c r="AO24" s="1052"/>
      <c r="AP24" s="1052"/>
      <c r="AQ24" s="1052"/>
      <c r="AR24" s="1479"/>
    </row>
    <row r="25" spans="2:44" ht="15" customHeight="1">
      <c r="C25" s="1468"/>
      <c r="D25" s="1469"/>
      <c r="E25" s="1474"/>
      <c r="F25" s="1052"/>
      <c r="G25" s="1052"/>
      <c r="H25" s="1052"/>
      <c r="I25" s="1052"/>
      <c r="J25" s="1052"/>
      <c r="K25" s="1052"/>
      <c r="L25" s="1052"/>
      <c r="M25" s="1052"/>
      <c r="N25" s="1052"/>
      <c r="O25" s="1052"/>
      <c r="P25" s="1052"/>
      <c r="Q25" s="1052"/>
      <c r="R25" s="1052"/>
      <c r="S25" s="1052"/>
      <c r="T25" s="1052"/>
      <c r="U25" s="1052"/>
      <c r="V25" s="1052"/>
      <c r="W25" s="398"/>
      <c r="X25" s="1068"/>
      <c r="Y25" s="1068"/>
      <c r="Z25" s="399"/>
      <c r="AA25" s="1052"/>
      <c r="AB25" s="1052"/>
      <c r="AC25" s="1052"/>
      <c r="AD25" s="1052"/>
      <c r="AE25" s="1052"/>
      <c r="AF25" s="1052"/>
      <c r="AG25" s="1052"/>
      <c r="AH25" s="1052"/>
      <c r="AI25" s="1052"/>
      <c r="AJ25" s="1052"/>
      <c r="AK25" s="1052"/>
      <c r="AL25" s="1052"/>
      <c r="AM25" s="1052"/>
      <c r="AN25" s="1052"/>
      <c r="AO25" s="1052"/>
      <c r="AP25" s="1052"/>
      <c r="AQ25" s="1052"/>
      <c r="AR25" s="1479"/>
    </row>
    <row r="26" spans="2:44" ht="15" customHeight="1">
      <c r="B26">
        <f>B24+30</f>
        <v>270</v>
      </c>
      <c r="C26" s="1468" t="str">
        <f>CONCATENATE(B26,"°")</f>
        <v>270°</v>
      </c>
      <c r="D26" s="1469"/>
      <c r="E26" s="1473"/>
      <c r="F26" s="1471"/>
      <c r="G26" s="1471"/>
      <c r="H26" s="1471"/>
      <c r="I26" s="1471"/>
      <c r="J26" s="1471"/>
      <c r="K26" s="1471"/>
      <c r="L26" s="1471"/>
      <c r="M26" s="1471"/>
      <c r="N26" s="1471"/>
      <c r="O26" s="1471"/>
      <c r="P26" s="1471"/>
      <c r="Q26" s="1471"/>
      <c r="R26" s="1471"/>
      <c r="S26" s="1471"/>
      <c r="T26" s="1471"/>
      <c r="U26" s="1471"/>
      <c r="V26" s="1471"/>
      <c r="W26" s="398"/>
      <c r="X26" s="1068"/>
      <c r="Y26" s="1068"/>
      <c r="Z26" s="399"/>
      <c r="AA26" s="1471"/>
      <c r="AB26" s="1471"/>
      <c r="AC26" s="1471"/>
      <c r="AD26" s="1471"/>
      <c r="AE26" s="1471"/>
      <c r="AF26" s="1471"/>
      <c r="AG26" s="1471"/>
      <c r="AH26" s="1471"/>
      <c r="AI26" s="1471"/>
      <c r="AJ26" s="1471"/>
      <c r="AK26" s="1471"/>
      <c r="AL26" s="1471"/>
      <c r="AM26" s="1471"/>
      <c r="AN26" s="1471"/>
      <c r="AO26" s="1471"/>
      <c r="AP26" s="1471"/>
      <c r="AQ26" s="1471"/>
      <c r="AR26" s="1478"/>
    </row>
    <row r="27" spans="2:44" ht="15" customHeight="1">
      <c r="C27" s="1468"/>
      <c r="D27" s="1469"/>
      <c r="E27" s="1475"/>
      <c r="F27" s="1476"/>
      <c r="G27" s="1476"/>
      <c r="H27" s="1476"/>
      <c r="I27" s="1476"/>
      <c r="J27" s="1476"/>
      <c r="K27" s="1476"/>
      <c r="L27" s="1476"/>
      <c r="M27" s="1476"/>
      <c r="N27" s="1476"/>
      <c r="O27" s="1476"/>
      <c r="P27" s="1476"/>
      <c r="Q27" s="1476"/>
      <c r="R27" s="1476"/>
      <c r="S27" s="1476"/>
      <c r="T27" s="1476"/>
      <c r="U27" s="1476"/>
      <c r="V27" s="1476"/>
      <c r="W27" s="398"/>
      <c r="X27" s="1068"/>
      <c r="Y27" s="1068"/>
      <c r="Z27" s="399"/>
      <c r="AA27" s="1476"/>
      <c r="AB27" s="1476"/>
      <c r="AC27" s="1476"/>
      <c r="AD27" s="1476"/>
      <c r="AE27" s="1476"/>
      <c r="AF27" s="1476"/>
      <c r="AG27" s="1476"/>
      <c r="AH27" s="1476"/>
      <c r="AI27" s="1476"/>
      <c r="AJ27" s="1476"/>
      <c r="AK27" s="1476"/>
      <c r="AL27" s="1476"/>
      <c r="AM27" s="1476"/>
      <c r="AN27" s="1476"/>
      <c r="AO27" s="1476"/>
      <c r="AP27" s="1476"/>
      <c r="AQ27" s="1476"/>
      <c r="AR27" s="1480"/>
    </row>
    <row r="28" spans="2:44" ht="15" customHeight="1">
      <c r="B28">
        <f>B26+30</f>
        <v>300</v>
      </c>
      <c r="C28" s="1468" t="str">
        <f>CONCATENATE(B28,"°")</f>
        <v>300°</v>
      </c>
      <c r="D28" s="1469"/>
      <c r="E28" s="1474"/>
      <c r="F28" s="1052"/>
      <c r="G28" s="1052"/>
      <c r="H28" s="1052"/>
      <c r="I28" s="1052"/>
      <c r="J28" s="1052"/>
      <c r="K28" s="1052"/>
      <c r="L28" s="1052"/>
      <c r="M28" s="1052"/>
      <c r="N28" s="1052"/>
      <c r="O28" s="1052"/>
      <c r="P28" s="1052"/>
      <c r="Q28" s="1052"/>
      <c r="R28" s="1052"/>
      <c r="S28" s="1052"/>
      <c r="T28" s="1052"/>
      <c r="U28" s="1052"/>
      <c r="V28" s="1052"/>
      <c r="W28" s="398"/>
      <c r="X28" s="1068"/>
      <c r="Y28" s="1068"/>
      <c r="Z28" s="399"/>
      <c r="AA28" s="1052"/>
      <c r="AB28" s="1052"/>
      <c r="AC28" s="1052"/>
      <c r="AD28" s="1052"/>
      <c r="AE28" s="1052"/>
      <c r="AF28" s="1052"/>
      <c r="AG28" s="1052"/>
      <c r="AH28" s="1052"/>
      <c r="AI28" s="1052"/>
      <c r="AJ28" s="1052"/>
      <c r="AK28" s="1052"/>
      <c r="AL28" s="1052"/>
      <c r="AM28" s="1052"/>
      <c r="AN28" s="1052"/>
      <c r="AO28" s="1052"/>
      <c r="AP28" s="1052"/>
      <c r="AQ28" s="1052"/>
      <c r="AR28" s="1479"/>
    </row>
    <row r="29" spans="2:44" ht="15" customHeight="1">
      <c r="C29" s="1468"/>
      <c r="D29" s="1469"/>
      <c r="E29" s="1474"/>
      <c r="F29" s="1052"/>
      <c r="G29" s="1052"/>
      <c r="H29" s="1052"/>
      <c r="I29" s="1052"/>
      <c r="J29" s="1052"/>
      <c r="K29" s="1052"/>
      <c r="L29" s="1052"/>
      <c r="M29" s="1052"/>
      <c r="N29" s="1052"/>
      <c r="O29" s="1052"/>
      <c r="P29" s="1052"/>
      <c r="Q29" s="1052"/>
      <c r="R29" s="1052"/>
      <c r="S29" s="1052"/>
      <c r="T29" s="1052"/>
      <c r="U29" s="1052"/>
      <c r="V29" s="1052"/>
      <c r="W29" s="398"/>
      <c r="X29" s="1068"/>
      <c r="Y29" s="1068"/>
      <c r="Z29" s="399"/>
      <c r="AA29" s="1052"/>
      <c r="AB29" s="1052"/>
      <c r="AC29" s="1052"/>
      <c r="AD29" s="1052"/>
      <c r="AE29" s="1052"/>
      <c r="AF29" s="1052"/>
      <c r="AG29" s="1052"/>
      <c r="AH29" s="1052"/>
      <c r="AI29" s="1052"/>
      <c r="AJ29" s="1052"/>
      <c r="AK29" s="1052"/>
      <c r="AL29" s="1052"/>
      <c r="AM29" s="1052"/>
      <c r="AN29" s="1052"/>
      <c r="AO29" s="1052"/>
      <c r="AP29" s="1052"/>
      <c r="AQ29" s="1052"/>
      <c r="AR29" s="1479"/>
    </row>
    <row r="30" spans="2:44" ht="15" customHeight="1">
      <c r="B30">
        <f>B28+30</f>
        <v>330</v>
      </c>
      <c r="C30" s="1468" t="str">
        <f>CONCATENATE(B30,"°")</f>
        <v>330°</v>
      </c>
      <c r="D30" s="1469"/>
      <c r="E30" s="1474"/>
      <c r="F30" s="1052"/>
      <c r="G30" s="1052"/>
      <c r="H30" s="1052"/>
      <c r="I30" s="1052"/>
      <c r="J30" s="1052"/>
      <c r="K30" s="1052"/>
      <c r="L30" s="1052"/>
      <c r="M30" s="1052"/>
      <c r="N30" s="1052"/>
      <c r="O30" s="1052"/>
      <c r="P30" s="1052"/>
      <c r="Q30" s="1052"/>
      <c r="R30" s="1052"/>
      <c r="S30" s="1052"/>
      <c r="T30" s="1052"/>
      <c r="U30" s="1052"/>
      <c r="V30" s="1052"/>
      <c r="W30" s="398"/>
      <c r="X30" s="1068"/>
      <c r="Y30" s="1068"/>
      <c r="Z30" s="399"/>
      <c r="AA30" s="1052"/>
      <c r="AB30" s="1052"/>
      <c r="AC30" s="1052"/>
      <c r="AD30" s="1052"/>
      <c r="AE30" s="1052"/>
      <c r="AF30" s="1052"/>
      <c r="AG30" s="1052"/>
      <c r="AH30" s="1052"/>
      <c r="AI30" s="1052"/>
      <c r="AJ30" s="1052"/>
      <c r="AK30" s="1052"/>
      <c r="AL30" s="1052"/>
      <c r="AM30" s="1052"/>
      <c r="AN30" s="1052"/>
      <c r="AO30" s="1052"/>
      <c r="AP30" s="1052"/>
      <c r="AQ30" s="1052"/>
      <c r="AR30" s="1479"/>
    </row>
    <row r="31" spans="2:44" ht="15" customHeight="1">
      <c r="C31" s="1468"/>
      <c r="D31" s="1469"/>
      <c r="E31" s="1474"/>
      <c r="F31" s="1052"/>
      <c r="G31" s="1052"/>
      <c r="H31" s="1052"/>
      <c r="I31" s="1052"/>
      <c r="J31" s="1052"/>
      <c r="K31" s="1052"/>
      <c r="L31" s="1052"/>
      <c r="M31" s="1052"/>
      <c r="N31" s="1052"/>
      <c r="O31" s="1052"/>
      <c r="P31" s="1052"/>
      <c r="Q31" s="1052"/>
      <c r="R31" s="1052"/>
      <c r="S31" s="1052"/>
      <c r="T31" s="1052"/>
      <c r="U31" s="1052"/>
      <c r="V31" s="1052"/>
      <c r="W31" s="398"/>
      <c r="X31" s="1068"/>
      <c r="Y31" s="1068"/>
      <c r="Z31" s="399"/>
      <c r="AA31" s="1052"/>
      <c r="AB31" s="1052"/>
      <c r="AC31" s="1052"/>
      <c r="AD31" s="1052"/>
      <c r="AE31" s="1052"/>
      <c r="AF31" s="1052"/>
      <c r="AG31" s="1052"/>
      <c r="AH31" s="1052"/>
      <c r="AI31" s="1052"/>
      <c r="AJ31" s="1052"/>
      <c r="AK31" s="1052"/>
      <c r="AL31" s="1052"/>
      <c r="AM31" s="1052"/>
      <c r="AN31" s="1052"/>
      <c r="AO31" s="1052"/>
      <c r="AP31" s="1052"/>
      <c r="AQ31" s="1052"/>
      <c r="AR31" s="1479"/>
    </row>
    <row r="32" spans="2:44" ht="15" customHeight="1">
      <c r="B32">
        <v>0</v>
      </c>
      <c r="C32" s="1468" t="str">
        <f>CONCATENATE(B32,"°")</f>
        <v>0°</v>
      </c>
      <c r="D32" s="1469"/>
      <c r="E32" s="1473"/>
      <c r="F32" s="1471"/>
      <c r="G32" s="1471"/>
      <c r="H32" s="1471"/>
      <c r="I32" s="1471"/>
      <c r="J32" s="1471"/>
      <c r="K32" s="1471"/>
      <c r="L32" s="1471"/>
      <c r="M32" s="1471"/>
      <c r="N32" s="1471"/>
      <c r="O32" s="1471"/>
      <c r="P32" s="1471"/>
      <c r="Q32" s="1471"/>
      <c r="R32" s="1471"/>
      <c r="S32" s="1471"/>
      <c r="T32" s="1471"/>
      <c r="U32" s="1471"/>
      <c r="V32" s="1471"/>
      <c r="W32" s="398"/>
      <c r="X32" s="1068"/>
      <c r="Y32" s="1068"/>
      <c r="Z32" s="399"/>
      <c r="AA32" s="1471"/>
      <c r="AB32" s="1471"/>
      <c r="AC32" s="1471"/>
      <c r="AD32" s="1471"/>
      <c r="AE32" s="1471"/>
      <c r="AF32" s="1471"/>
      <c r="AG32" s="1471"/>
      <c r="AH32" s="1471"/>
      <c r="AI32" s="1471"/>
      <c r="AJ32" s="1471"/>
      <c r="AK32" s="1471"/>
      <c r="AL32" s="1471"/>
      <c r="AM32" s="1471"/>
      <c r="AN32" s="1471"/>
      <c r="AO32" s="1471"/>
      <c r="AP32" s="1471"/>
      <c r="AQ32" s="1471"/>
      <c r="AR32" s="1478"/>
    </row>
    <row r="33" spans="1:44" ht="15" customHeight="1">
      <c r="C33" s="1468"/>
      <c r="D33" s="1469"/>
      <c r="E33" s="1475"/>
      <c r="F33" s="1476"/>
      <c r="G33" s="1476"/>
      <c r="H33" s="1476"/>
      <c r="I33" s="1476"/>
      <c r="J33" s="1476"/>
      <c r="K33" s="1476"/>
      <c r="L33" s="1476"/>
      <c r="M33" s="1476"/>
      <c r="N33" s="1476"/>
      <c r="O33" s="1476"/>
      <c r="P33" s="1476"/>
      <c r="Q33" s="1476"/>
      <c r="R33" s="1476"/>
      <c r="S33" s="1476"/>
      <c r="T33" s="1476"/>
      <c r="U33" s="1476"/>
      <c r="V33" s="1476"/>
      <c r="W33" s="398"/>
      <c r="X33" s="1068"/>
      <c r="Y33" s="1068"/>
      <c r="Z33" s="399"/>
      <c r="AA33" s="1476"/>
      <c r="AB33" s="1476"/>
      <c r="AC33" s="1476"/>
      <c r="AD33" s="1476"/>
      <c r="AE33" s="1476"/>
      <c r="AF33" s="1476"/>
      <c r="AG33" s="1476"/>
      <c r="AH33" s="1476"/>
      <c r="AI33" s="1476"/>
      <c r="AJ33" s="1476"/>
      <c r="AK33" s="1476"/>
      <c r="AL33" s="1476"/>
      <c r="AM33" s="1476"/>
      <c r="AN33" s="1476"/>
      <c r="AO33" s="1476"/>
      <c r="AP33" s="1476"/>
      <c r="AQ33" s="1476"/>
      <c r="AR33" s="1480"/>
    </row>
    <row r="34" spans="1:44" ht="15" customHeight="1">
      <c r="B34">
        <v>0</v>
      </c>
      <c r="C34" s="403"/>
      <c r="D34" s="404"/>
      <c r="E34" s="1481"/>
      <c r="F34" s="1482"/>
      <c r="G34" s="1482"/>
      <c r="H34" s="1482"/>
      <c r="I34" s="1482"/>
      <c r="J34" s="1482"/>
      <c r="K34" s="1482"/>
      <c r="L34" s="1482"/>
      <c r="M34" s="1482"/>
      <c r="N34" s="1482"/>
      <c r="O34" s="1482"/>
      <c r="P34" s="1482"/>
      <c r="Q34" s="1482"/>
      <c r="R34" s="1482"/>
      <c r="S34" s="1482"/>
      <c r="T34" s="1482"/>
      <c r="U34" s="1482"/>
      <c r="V34" s="1482"/>
      <c r="W34" s="398"/>
      <c r="Z34" s="399"/>
      <c r="AA34" s="1482"/>
      <c r="AB34" s="1482"/>
      <c r="AC34" s="1482"/>
      <c r="AD34" s="1482"/>
      <c r="AE34" s="1482"/>
      <c r="AF34" s="1482"/>
      <c r="AG34" s="1482"/>
      <c r="AH34" s="1482"/>
      <c r="AI34" s="1482"/>
      <c r="AJ34" s="1482"/>
      <c r="AK34" s="1482"/>
      <c r="AL34" s="1482"/>
      <c r="AM34" s="1482"/>
      <c r="AN34" s="1482"/>
      <c r="AO34" s="1482"/>
      <c r="AP34" s="1482"/>
      <c r="AQ34" s="1482"/>
      <c r="AR34" s="1487"/>
    </row>
    <row r="35" spans="1:44" ht="11.25" customHeight="1">
      <c r="C35" s="403"/>
      <c r="D35" s="404"/>
    </row>
    <row r="38" spans="1:44">
      <c r="A38" s="1467" t="s">
        <v>728</v>
      </c>
      <c r="B38" s="1467"/>
      <c r="C38" s="1467"/>
      <c r="D38" s="1467"/>
      <c r="E38" s="1467"/>
      <c r="F38" s="1467"/>
      <c r="G38" s="1467"/>
      <c r="H38" s="1467"/>
      <c r="I38" s="1467"/>
      <c r="J38" s="1467"/>
      <c r="K38" s="1467"/>
      <c r="L38" s="1467"/>
      <c r="M38" s="1467"/>
      <c r="N38" s="1467"/>
      <c r="O38" s="1467"/>
      <c r="P38" s="1467"/>
      <c r="Q38" s="1467"/>
      <c r="R38" s="1467"/>
      <c r="S38" s="1467"/>
      <c r="T38" s="1467"/>
      <c r="U38" s="1467"/>
      <c r="V38" s="1467"/>
      <c r="W38" s="1467"/>
      <c r="X38" s="1467"/>
      <c r="Y38" s="1467"/>
      <c r="Z38" s="1467"/>
      <c r="AA38" s="1467"/>
      <c r="AB38" s="1467"/>
    </row>
    <row r="39" spans="1:44">
      <c r="A39" s="1467"/>
      <c r="B39" s="1467"/>
      <c r="C39" s="1467"/>
      <c r="D39" s="1467"/>
      <c r="E39" s="1467"/>
      <c r="F39" s="1467"/>
      <c r="G39" s="1467"/>
      <c r="H39" s="1467"/>
      <c r="I39" s="1467"/>
      <c r="J39" s="1467"/>
      <c r="K39" s="1467"/>
      <c r="L39" s="1467"/>
      <c r="M39" s="1467"/>
      <c r="N39" s="1467"/>
      <c r="O39" s="1467"/>
      <c r="P39" s="1467"/>
      <c r="Q39" s="1467"/>
      <c r="R39" s="1467"/>
      <c r="S39" s="1467"/>
      <c r="T39" s="1467"/>
      <c r="U39" s="1467"/>
      <c r="V39" s="1467"/>
      <c r="W39" s="1467"/>
      <c r="X39" s="1467"/>
      <c r="Y39" s="1467"/>
      <c r="Z39" s="1467"/>
      <c r="AA39" s="1467"/>
      <c r="AB39" s="1467"/>
    </row>
    <row r="41" spans="1:44">
      <c r="B41" t="s">
        <v>120</v>
      </c>
    </row>
    <row r="42" spans="1:44">
      <c r="C42" s="395" t="s">
        <v>729</v>
      </c>
      <c r="D42" s="395"/>
      <c r="E42" s="395"/>
      <c r="F42" s="395"/>
      <c r="G42" s="395"/>
    </row>
    <row r="43" spans="1:44">
      <c r="D43" t="s">
        <v>730</v>
      </c>
    </row>
    <row r="44" spans="1:44">
      <c r="D44" t="s">
        <v>731</v>
      </c>
    </row>
    <row r="45" spans="1:44">
      <c r="D45" t="s">
        <v>732</v>
      </c>
    </row>
    <row r="46" spans="1:44">
      <c r="D46" s="377" t="s">
        <v>733</v>
      </c>
      <c r="E46" s="378"/>
      <c r="F46" s="378"/>
      <c r="G46" s="378"/>
    </row>
    <row r="48" spans="1:44">
      <c r="C48" s="395" t="s">
        <v>734</v>
      </c>
      <c r="D48" s="395"/>
      <c r="E48" s="395"/>
      <c r="F48" s="395"/>
      <c r="G48" s="395"/>
    </row>
    <row r="49" spans="3:7">
      <c r="D49" t="s">
        <v>735</v>
      </c>
    </row>
    <row r="51" spans="3:7">
      <c r="C51" s="395" t="s">
        <v>800</v>
      </c>
      <c r="D51" s="395"/>
      <c r="E51" s="395"/>
      <c r="F51" s="395"/>
      <c r="G51" s="395"/>
    </row>
    <row r="52" spans="3:7">
      <c r="D52" t="s">
        <v>736</v>
      </c>
    </row>
    <row r="54" spans="3:7">
      <c r="C54" t="s">
        <v>801</v>
      </c>
    </row>
    <row r="55" spans="3:7">
      <c r="D55" t="s">
        <v>802</v>
      </c>
    </row>
    <row r="56" spans="3:7">
      <c r="D56" t="s">
        <v>803</v>
      </c>
      <c r="F56" t="s">
        <v>804</v>
      </c>
    </row>
    <row r="57" spans="3:7">
      <c r="F57" t="s">
        <v>805</v>
      </c>
    </row>
    <row r="59" spans="3:7" ht="15" customHeight="1"/>
    <row r="60" spans="3:7" ht="15" customHeight="1"/>
  </sheetData>
  <mergeCells count="303">
    <mergeCell ref="AR5:AS6"/>
    <mergeCell ref="X5:Y6"/>
    <mergeCell ref="AB5:AC5"/>
    <mergeCell ref="T5:U5"/>
    <mergeCell ref="AQ33:AR34"/>
    <mergeCell ref="X8:Y9"/>
    <mergeCell ref="X10:Y11"/>
    <mergeCell ref="X12:Y13"/>
    <mergeCell ref="X14:Y15"/>
    <mergeCell ref="X16:Y17"/>
    <mergeCell ref="X18:Y19"/>
    <mergeCell ref="X20:Y21"/>
    <mergeCell ref="X22:Y23"/>
    <mergeCell ref="X24:Y25"/>
    <mergeCell ref="X26:Y27"/>
    <mergeCell ref="X28:Y29"/>
    <mergeCell ref="X30:Y31"/>
    <mergeCell ref="X32:Y33"/>
    <mergeCell ref="AG33:AH34"/>
    <mergeCell ref="AI33:AJ34"/>
    <mergeCell ref="AK33:AL34"/>
    <mergeCell ref="AM33:AN34"/>
    <mergeCell ref="AO33:AP34"/>
    <mergeCell ref="AO31:AP32"/>
    <mergeCell ref="AQ31:AR32"/>
    <mergeCell ref="E33:F34"/>
    <mergeCell ref="G33:H34"/>
    <mergeCell ref="I33:J34"/>
    <mergeCell ref="K33:L34"/>
    <mergeCell ref="M33:N34"/>
    <mergeCell ref="O33:P34"/>
    <mergeCell ref="Q33:R34"/>
    <mergeCell ref="S33:T34"/>
    <mergeCell ref="U33:V34"/>
    <mergeCell ref="AA33:AB34"/>
    <mergeCell ref="AC33:AD34"/>
    <mergeCell ref="AE33:AF34"/>
    <mergeCell ref="AE31:AF32"/>
    <mergeCell ref="AG31:AH32"/>
    <mergeCell ref="AI31:AJ32"/>
    <mergeCell ref="AK31:AL32"/>
    <mergeCell ref="AM31:AN32"/>
    <mergeCell ref="AA31:AB32"/>
    <mergeCell ref="AC31:AD32"/>
    <mergeCell ref="AM25:AN26"/>
    <mergeCell ref="AO25:AP26"/>
    <mergeCell ref="AG29:AH30"/>
    <mergeCell ref="AI29:AJ30"/>
    <mergeCell ref="AK29:AL30"/>
    <mergeCell ref="S29:T30"/>
    <mergeCell ref="U29:V30"/>
    <mergeCell ref="AA29:AB30"/>
    <mergeCell ref="E31:F32"/>
    <mergeCell ref="G31:H32"/>
    <mergeCell ref="I31:J32"/>
    <mergeCell ref="K31:L32"/>
    <mergeCell ref="M31:N32"/>
    <mergeCell ref="O31:P32"/>
    <mergeCell ref="Q31:R32"/>
    <mergeCell ref="S31:T32"/>
    <mergeCell ref="U31:V32"/>
    <mergeCell ref="M29:N30"/>
    <mergeCell ref="O29:P30"/>
    <mergeCell ref="Q29:R30"/>
    <mergeCell ref="I29:J30"/>
    <mergeCell ref="K29:L30"/>
    <mergeCell ref="AC29:AD30"/>
    <mergeCell ref="AE29:AF30"/>
    <mergeCell ref="AM29:AN30"/>
    <mergeCell ref="AO29:AP30"/>
    <mergeCell ref="AQ29:AR30"/>
    <mergeCell ref="E27:F28"/>
    <mergeCell ref="G27:H28"/>
    <mergeCell ref="I27:J28"/>
    <mergeCell ref="K27:L28"/>
    <mergeCell ref="M27:N28"/>
    <mergeCell ref="O27:P28"/>
    <mergeCell ref="Q27:R28"/>
    <mergeCell ref="S27:T28"/>
    <mergeCell ref="U27:V28"/>
    <mergeCell ref="AI27:AJ28"/>
    <mergeCell ref="AK27:AL28"/>
    <mergeCell ref="AM27:AN28"/>
    <mergeCell ref="AO27:AP28"/>
    <mergeCell ref="AQ27:AR28"/>
    <mergeCell ref="AA27:AB28"/>
    <mergeCell ref="AC27:AD28"/>
    <mergeCell ref="AE27:AF28"/>
    <mergeCell ref="AG27:AH28"/>
    <mergeCell ref="AQ23:AR24"/>
    <mergeCell ref="E25:F26"/>
    <mergeCell ref="G25:H26"/>
    <mergeCell ref="I25:J26"/>
    <mergeCell ref="K25:L26"/>
    <mergeCell ref="M25:N26"/>
    <mergeCell ref="O25:P26"/>
    <mergeCell ref="Q25:R26"/>
    <mergeCell ref="S25:T26"/>
    <mergeCell ref="U25:V26"/>
    <mergeCell ref="AA25:AB26"/>
    <mergeCell ref="AC25:AD26"/>
    <mergeCell ref="AE25:AF26"/>
    <mergeCell ref="AE23:AF24"/>
    <mergeCell ref="AG23:AH24"/>
    <mergeCell ref="AI23:AJ24"/>
    <mergeCell ref="AK23:AL24"/>
    <mergeCell ref="AM23:AN24"/>
    <mergeCell ref="AA23:AB24"/>
    <mergeCell ref="AC23:AD24"/>
    <mergeCell ref="AQ25:AR26"/>
    <mergeCell ref="AG25:AH26"/>
    <mergeCell ref="AI25:AJ26"/>
    <mergeCell ref="AK25:AL26"/>
    <mergeCell ref="AO17:AP18"/>
    <mergeCell ref="AE21:AF22"/>
    <mergeCell ref="AG21:AH22"/>
    <mergeCell ref="AI21:AJ22"/>
    <mergeCell ref="AK21:AL22"/>
    <mergeCell ref="S21:T22"/>
    <mergeCell ref="U21:V22"/>
    <mergeCell ref="AA21:AB22"/>
    <mergeCell ref="E23:F24"/>
    <mergeCell ref="G23:H24"/>
    <mergeCell ref="I23:J24"/>
    <mergeCell ref="K23:L24"/>
    <mergeCell ref="M23:N24"/>
    <mergeCell ref="O23:P24"/>
    <mergeCell ref="Q23:R24"/>
    <mergeCell ref="S23:T24"/>
    <mergeCell ref="U23:V24"/>
    <mergeCell ref="M21:N22"/>
    <mergeCell ref="O21:P22"/>
    <mergeCell ref="Q21:R22"/>
    <mergeCell ref="I21:J22"/>
    <mergeCell ref="K21:L22"/>
    <mergeCell ref="AO23:AP24"/>
    <mergeCell ref="AC21:AD22"/>
    <mergeCell ref="AM21:AN22"/>
    <mergeCell ref="AO21:AP22"/>
    <mergeCell ref="AQ21:AR22"/>
    <mergeCell ref="E19:F20"/>
    <mergeCell ref="G19:H20"/>
    <mergeCell ref="I19:J20"/>
    <mergeCell ref="K19:L20"/>
    <mergeCell ref="M19:N20"/>
    <mergeCell ref="O19:P20"/>
    <mergeCell ref="Q19:R20"/>
    <mergeCell ref="S19:T20"/>
    <mergeCell ref="U19:V20"/>
    <mergeCell ref="AI19:AJ20"/>
    <mergeCell ref="AK19:AL20"/>
    <mergeCell ref="AM19:AN20"/>
    <mergeCell ref="AO19:AP20"/>
    <mergeCell ref="AQ19:AR20"/>
    <mergeCell ref="AA19:AB20"/>
    <mergeCell ref="AC19:AD20"/>
    <mergeCell ref="AE19:AF20"/>
    <mergeCell ref="AG19:AH20"/>
    <mergeCell ref="AO15:AP16"/>
    <mergeCell ref="AQ15:AR16"/>
    <mergeCell ref="E17:F18"/>
    <mergeCell ref="G17:H18"/>
    <mergeCell ref="I17:J18"/>
    <mergeCell ref="K17:L18"/>
    <mergeCell ref="M17:N18"/>
    <mergeCell ref="O17:P18"/>
    <mergeCell ref="Q17:R18"/>
    <mergeCell ref="S17:T18"/>
    <mergeCell ref="U17:V18"/>
    <mergeCell ref="AA17:AB18"/>
    <mergeCell ref="AC17:AD18"/>
    <mergeCell ref="AE17:AF18"/>
    <mergeCell ref="AE15:AF16"/>
    <mergeCell ref="AG15:AH16"/>
    <mergeCell ref="AI15:AJ16"/>
    <mergeCell ref="AK15:AL16"/>
    <mergeCell ref="AM15:AN16"/>
    <mergeCell ref="AQ17:AR18"/>
    <mergeCell ref="AG17:AH18"/>
    <mergeCell ref="AI17:AJ18"/>
    <mergeCell ref="AK17:AL18"/>
    <mergeCell ref="AM17:AN18"/>
    <mergeCell ref="AM13:AN14"/>
    <mergeCell ref="AO13:AP14"/>
    <mergeCell ref="AQ13:AR14"/>
    <mergeCell ref="E15:F16"/>
    <mergeCell ref="G15:H16"/>
    <mergeCell ref="I15:J16"/>
    <mergeCell ref="K15:L16"/>
    <mergeCell ref="M15:N16"/>
    <mergeCell ref="O15:P16"/>
    <mergeCell ref="Q15:R16"/>
    <mergeCell ref="S15:T16"/>
    <mergeCell ref="U15:V16"/>
    <mergeCell ref="AA15:AB16"/>
    <mergeCell ref="AC15:AD16"/>
    <mergeCell ref="AC13:AD14"/>
    <mergeCell ref="AE13:AF14"/>
    <mergeCell ref="AG13:AH14"/>
    <mergeCell ref="AI13:AJ14"/>
    <mergeCell ref="AK13:AL14"/>
    <mergeCell ref="S13:T14"/>
    <mergeCell ref="U13:V14"/>
    <mergeCell ref="AA13:AB14"/>
    <mergeCell ref="I13:J14"/>
    <mergeCell ref="K13:L14"/>
    <mergeCell ref="AI11:AJ12"/>
    <mergeCell ref="AK11:AL12"/>
    <mergeCell ref="AM11:AN12"/>
    <mergeCell ref="AO11:AP12"/>
    <mergeCell ref="AQ11:AR12"/>
    <mergeCell ref="AQ9:AR10"/>
    <mergeCell ref="AA11:AB12"/>
    <mergeCell ref="AC11:AD12"/>
    <mergeCell ref="AE11:AF12"/>
    <mergeCell ref="AG11:AH12"/>
    <mergeCell ref="AG9:AH10"/>
    <mergeCell ref="AI9:AJ10"/>
    <mergeCell ref="AK9:AL10"/>
    <mergeCell ref="AM9:AN10"/>
    <mergeCell ref="AO9:AP10"/>
    <mergeCell ref="I11:J12"/>
    <mergeCell ref="K11:L12"/>
    <mergeCell ref="M11:N12"/>
    <mergeCell ref="O11:P12"/>
    <mergeCell ref="Q11:R12"/>
    <mergeCell ref="S11:T12"/>
    <mergeCell ref="U11:V12"/>
    <mergeCell ref="M13:N14"/>
    <mergeCell ref="O13:P14"/>
    <mergeCell ref="Q13:R14"/>
    <mergeCell ref="C14:D15"/>
    <mergeCell ref="C16:D17"/>
    <mergeCell ref="C18:D19"/>
    <mergeCell ref="AO7:AP8"/>
    <mergeCell ref="AQ7:AR8"/>
    <mergeCell ref="E9:F10"/>
    <mergeCell ref="G9:H10"/>
    <mergeCell ref="I9:J10"/>
    <mergeCell ref="K9:L10"/>
    <mergeCell ref="M9:N10"/>
    <mergeCell ref="O9:P10"/>
    <mergeCell ref="Q9:R10"/>
    <mergeCell ref="S9:T10"/>
    <mergeCell ref="U9:V10"/>
    <mergeCell ref="AA9:AB10"/>
    <mergeCell ref="AC9:AD10"/>
    <mergeCell ref="AE9:AF10"/>
    <mergeCell ref="AE7:AF8"/>
    <mergeCell ref="AG7:AH8"/>
    <mergeCell ref="AI7:AJ8"/>
    <mergeCell ref="AK7:AL8"/>
    <mergeCell ref="AM7:AN8"/>
    <mergeCell ref="E11:F12"/>
    <mergeCell ref="G11:H12"/>
    <mergeCell ref="F6:G6"/>
    <mergeCell ref="H6:I6"/>
    <mergeCell ref="J6:K6"/>
    <mergeCell ref="L6:M6"/>
    <mergeCell ref="P6:Q6"/>
    <mergeCell ref="R6:S6"/>
    <mergeCell ref="T6:U6"/>
    <mergeCell ref="C30:D31"/>
    <mergeCell ref="C32:D33"/>
    <mergeCell ref="E7:F8"/>
    <mergeCell ref="G7:H8"/>
    <mergeCell ref="E13:F14"/>
    <mergeCell ref="G13:H14"/>
    <mergeCell ref="E21:F22"/>
    <mergeCell ref="G21:H22"/>
    <mergeCell ref="E29:F30"/>
    <mergeCell ref="G29:H30"/>
    <mergeCell ref="C20:D21"/>
    <mergeCell ref="C22:D23"/>
    <mergeCell ref="C24:D25"/>
    <mergeCell ref="C26:D27"/>
    <mergeCell ref="C28:D29"/>
    <mergeCell ref="C10:D11"/>
    <mergeCell ref="C12:D13"/>
    <mergeCell ref="V6:W6"/>
    <mergeCell ref="Z6:AA6"/>
    <mergeCell ref="AB6:AC6"/>
    <mergeCell ref="AD6:AE6"/>
    <mergeCell ref="N5:O6"/>
    <mergeCell ref="D5:E6"/>
    <mergeCell ref="A38:AB39"/>
    <mergeCell ref="AP6:AQ6"/>
    <mergeCell ref="C1:AS2"/>
    <mergeCell ref="C8:D9"/>
    <mergeCell ref="I7:J8"/>
    <mergeCell ref="K7:L8"/>
    <mergeCell ref="M7:N8"/>
    <mergeCell ref="O7:P8"/>
    <mergeCell ref="Q7:R8"/>
    <mergeCell ref="S7:T8"/>
    <mergeCell ref="U7:V8"/>
    <mergeCell ref="AA7:AB8"/>
    <mergeCell ref="AC7:AD8"/>
    <mergeCell ref="AF6:AG6"/>
    <mergeCell ref="AJ6:AK6"/>
    <mergeCell ref="AL6:AM6"/>
    <mergeCell ref="AN6:AO6"/>
    <mergeCell ref="AH5:AI6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A2:BN31"/>
  <sheetViews>
    <sheetView topLeftCell="A15" workbookViewId="0">
      <selection activeCell="C27" sqref="C27"/>
    </sheetView>
  </sheetViews>
  <sheetFormatPr baseColWidth="10" defaultColWidth="11.42578125" defaultRowHeight="15"/>
  <cols>
    <col min="6" max="6" width="13.42578125" customWidth="1"/>
  </cols>
  <sheetData>
    <row r="2" spans="2:66" ht="15.75" thickBot="1">
      <c r="K2" s="1488" t="s">
        <v>737</v>
      </c>
      <c r="L2" s="1488"/>
      <c r="M2" s="1488"/>
      <c r="N2" s="1488"/>
      <c r="O2" s="1488"/>
      <c r="P2" s="1488"/>
      <c r="Q2" s="1488"/>
      <c r="R2" s="1488"/>
      <c r="S2" s="1488"/>
      <c r="T2" s="1488"/>
      <c r="U2" s="1488"/>
      <c r="V2" s="1488"/>
      <c r="W2" s="1488"/>
      <c r="X2" s="1488"/>
      <c r="Y2" s="1488"/>
      <c r="Z2" s="1488"/>
    </row>
    <row r="3" spans="2:66">
      <c r="C3" s="1491" t="s">
        <v>102</v>
      </c>
      <c r="D3" s="1492"/>
      <c r="E3" s="1492"/>
      <c r="F3" s="1493"/>
      <c r="J3" s="1209" t="s">
        <v>738</v>
      </c>
      <c r="K3" s="91" t="s">
        <v>314</v>
      </c>
      <c r="L3" s="91">
        <v>52</v>
      </c>
      <c r="M3" s="91">
        <v>54</v>
      </c>
      <c r="N3" s="91">
        <v>55</v>
      </c>
      <c r="O3" s="91">
        <v>55.5</v>
      </c>
      <c r="P3" s="91">
        <v>56</v>
      </c>
      <c r="Q3" s="91">
        <v>56.5</v>
      </c>
      <c r="R3" s="91">
        <v>57</v>
      </c>
      <c r="S3" s="91">
        <v>57.5</v>
      </c>
      <c r="T3" s="91">
        <v>58</v>
      </c>
      <c r="U3" s="91">
        <v>58.5</v>
      </c>
      <c r="V3" s="91">
        <v>59</v>
      </c>
      <c r="W3" s="91">
        <v>59.5</v>
      </c>
      <c r="X3" s="91">
        <v>60</v>
      </c>
      <c r="Y3" s="91">
        <v>61</v>
      </c>
      <c r="Z3" s="91">
        <v>63</v>
      </c>
    </row>
    <row r="4" spans="2:66">
      <c r="C4" s="52" t="s">
        <v>53</v>
      </c>
      <c r="D4" s="53" t="s">
        <v>90</v>
      </c>
      <c r="E4" s="54" t="s">
        <v>149</v>
      </c>
      <c r="F4" s="245">
        <f>PI()/180</f>
        <v>1.7453292519943295E-2</v>
      </c>
      <c r="J4" s="1209"/>
      <c r="K4" s="91" t="s">
        <v>739</v>
      </c>
      <c r="L4" s="91">
        <f>J9*L3+K9</f>
        <v>0.47217147409615379</v>
      </c>
      <c r="M4" s="91">
        <v>0.49</v>
      </c>
      <c r="N4" s="91">
        <v>0.5</v>
      </c>
      <c r="O4" s="91">
        <v>0.505</v>
      </c>
      <c r="P4" s="91">
        <v>0.51</v>
      </c>
      <c r="Q4" s="91">
        <v>0.51333333299999995</v>
      </c>
      <c r="R4" s="91">
        <v>0.51833333299999995</v>
      </c>
      <c r="S4" s="91">
        <v>0.52333333299999996</v>
      </c>
      <c r="T4" s="91">
        <v>0.52833333299999996</v>
      </c>
      <c r="U4" s="91">
        <v>0.53333333299999997</v>
      </c>
      <c r="V4" s="91">
        <v>0.53666666699999999</v>
      </c>
      <c r="W4" s="91">
        <v>0.54166666699999999</v>
      </c>
      <c r="X4" s="91">
        <v>0.546666667</v>
      </c>
      <c r="Y4" s="91">
        <v>0.55500000000000005</v>
      </c>
      <c r="Z4" s="91">
        <f>Z3*J9+K9</f>
        <v>0.57423878221153846</v>
      </c>
    </row>
    <row r="5" spans="2:66" ht="15.75" thickBot="1">
      <c r="C5" s="19" t="s">
        <v>91</v>
      </c>
      <c r="D5" s="55" t="s">
        <v>90</v>
      </c>
      <c r="E5" s="56" t="s">
        <v>150</v>
      </c>
      <c r="F5" s="246">
        <f>180/PI()</f>
        <v>57.295779513082323</v>
      </c>
      <c r="J5" s="1489" t="s">
        <v>743</v>
      </c>
      <c r="K5" s="1490"/>
      <c r="L5" s="91">
        <f>L3*$M$8+$O$8</f>
        <v>0.47217147409615379</v>
      </c>
      <c r="M5" s="91">
        <f t="shared" ref="M5:Z5" si="0">M3*$M$8+$O$8</f>
        <v>0.49072916648076914</v>
      </c>
      <c r="N5" s="91">
        <f t="shared" si="0"/>
        <v>0.50000801267307693</v>
      </c>
      <c r="O5" s="91">
        <f t="shared" si="0"/>
        <v>0.50464743576923077</v>
      </c>
      <c r="P5" s="91">
        <f t="shared" si="0"/>
        <v>0.50928685886538461</v>
      </c>
      <c r="Q5" s="91">
        <f t="shared" si="0"/>
        <v>0.51392628196153844</v>
      </c>
      <c r="R5" s="91">
        <f t="shared" si="0"/>
        <v>0.51856570505769228</v>
      </c>
      <c r="S5" s="91">
        <f t="shared" si="0"/>
        <v>0.52320512815384612</v>
      </c>
      <c r="T5" s="91">
        <f t="shared" si="0"/>
        <v>0.52784455124999996</v>
      </c>
      <c r="U5" s="91">
        <f t="shared" si="0"/>
        <v>0.5324839743461538</v>
      </c>
      <c r="V5" s="91">
        <f t="shared" si="0"/>
        <v>0.53712339744230764</v>
      </c>
      <c r="W5" s="91">
        <f t="shared" si="0"/>
        <v>0.54176282053846148</v>
      </c>
      <c r="X5" s="91">
        <f t="shared" si="0"/>
        <v>0.54640224363461531</v>
      </c>
      <c r="Y5" s="91">
        <f t="shared" si="0"/>
        <v>0.5556810898269231</v>
      </c>
      <c r="Z5" s="91">
        <f t="shared" si="0"/>
        <v>0.57423878221153846</v>
      </c>
    </row>
    <row r="6" spans="2:66" ht="15.75" thickBot="1">
      <c r="J6" s="1052" t="s">
        <v>744</v>
      </c>
      <c r="K6" s="1052"/>
      <c r="L6" s="91">
        <f>POWER((L4-L5),2)</f>
        <v>0</v>
      </c>
      <c r="M6" s="91">
        <f t="shared" ref="M6:Z6" si="1">POWER((M4-M5),2)</f>
        <v>5.3168375667726719E-7</v>
      </c>
      <c r="N6" s="91">
        <f t="shared" si="1"/>
        <v>6.4202929837746229E-11</v>
      </c>
      <c r="O6" s="91">
        <f t="shared" si="1"/>
        <v>1.243015368179036E-7</v>
      </c>
      <c r="P6" s="91">
        <f t="shared" si="1"/>
        <v>5.0857027788054385E-7</v>
      </c>
      <c r="Q6" s="91">
        <f t="shared" si="1"/>
        <v>3.5158847098958261E-7</v>
      </c>
      <c r="R6" s="91">
        <f t="shared" si="1"/>
        <v>5.3996773196168285E-8</v>
      </c>
      <c r="S6" s="91">
        <f t="shared" si="1"/>
        <v>1.6436482577328327E-8</v>
      </c>
      <c r="T6" s="91">
        <f t="shared" si="1"/>
        <v>2.3890759913306272E-7</v>
      </c>
      <c r="U6" s="91">
        <f t="shared" si="1"/>
        <v>7.2141012286337154E-7</v>
      </c>
      <c r="V6" s="91">
        <f t="shared" si="1"/>
        <v>2.0860269693054276E-7</v>
      </c>
      <c r="W6" s="91">
        <f t="shared" si="1"/>
        <v>9.2455029586643398E-9</v>
      </c>
      <c r="X6" s="91">
        <f t="shared" si="1"/>
        <v>6.9919716161360301E-8</v>
      </c>
      <c r="Y6" s="91">
        <f t="shared" si="1"/>
        <v>4.6388335233807518E-7</v>
      </c>
      <c r="Z6" s="91">
        <f t="shared" si="1"/>
        <v>0</v>
      </c>
      <c r="AA6">
        <f>SUM(L7:Z7)</f>
        <v>0</v>
      </c>
    </row>
    <row r="7" spans="2:66" ht="15.75" thickBot="1">
      <c r="C7" s="1494" t="s">
        <v>34</v>
      </c>
      <c r="D7" s="1495"/>
      <c r="E7" s="1496"/>
    </row>
    <row r="8" spans="2:66">
      <c r="C8" s="17" t="s">
        <v>41</v>
      </c>
      <c r="D8" s="32" t="s">
        <v>42</v>
      </c>
      <c r="E8" s="18"/>
      <c r="J8" s="1052" t="s">
        <v>740</v>
      </c>
      <c r="K8" s="1052"/>
      <c r="L8" s="371" t="s">
        <v>741</v>
      </c>
      <c r="M8" s="371">
        <f>J9</f>
        <v>9.2788461923076944E-3</v>
      </c>
      <c r="N8" s="379" t="s">
        <v>742</v>
      </c>
      <c r="O8" s="371">
        <f>K9</f>
        <v>-1.0328527903846307E-2</v>
      </c>
    </row>
    <row r="9" spans="2:66">
      <c r="C9" s="17" t="s">
        <v>3</v>
      </c>
      <c r="D9" s="32" t="s">
        <v>5</v>
      </c>
      <c r="E9" s="18">
        <v>1</v>
      </c>
      <c r="J9" s="91">
        <f t="array" ref="J9:K9">LINEST(M4:Y4,M3:Y3,TRUE,FALSE)</f>
        <v>9.2788461923076944E-3</v>
      </c>
      <c r="K9" s="91">
        <v>-1.0328527903846307E-2</v>
      </c>
    </row>
    <row r="10" spans="2:66" ht="15.75" thickBot="1">
      <c r="C10" s="19" t="s">
        <v>4</v>
      </c>
      <c r="D10" s="20" t="s">
        <v>6</v>
      </c>
      <c r="E10" s="21">
        <v>-1</v>
      </c>
    </row>
    <row r="11" spans="2:66" ht="15.75" thickBot="1"/>
    <row r="12" spans="2:66">
      <c r="C12" s="1491" t="s">
        <v>600</v>
      </c>
      <c r="D12" s="1492"/>
      <c r="E12" s="1492"/>
      <c r="F12" s="1493"/>
    </row>
    <row r="13" spans="2:66">
      <c r="B13" s="362"/>
      <c r="C13" s="52" t="s">
        <v>567</v>
      </c>
      <c r="D13" s="53" t="s">
        <v>90</v>
      </c>
      <c r="E13" s="54" t="s">
        <v>568</v>
      </c>
      <c r="F13" s="245">
        <f>1/0.3048</f>
        <v>3.280839895013123</v>
      </c>
      <c r="G13" s="251"/>
    </row>
    <row r="14" spans="2:66" ht="15.75" thickBot="1">
      <c r="B14" s="362">
        <v>15</v>
      </c>
      <c r="C14" s="19" t="s">
        <v>570</v>
      </c>
      <c r="D14" s="55" t="s">
        <v>90</v>
      </c>
      <c r="E14" s="56" t="s">
        <v>569</v>
      </c>
      <c r="F14" s="246">
        <f>0.3048</f>
        <v>0.30480000000000002</v>
      </c>
      <c r="G14" s="251">
        <f>B14*F14</f>
        <v>4.5720000000000001</v>
      </c>
    </row>
    <row r="15" spans="2:66" s="16" customFormat="1" ht="17.25" customHeight="1" thickBot="1">
      <c r="B15" s="363"/>
      <c r="C15"/>
      <c r="D15"/>
      <c r="E15"/>
      <c r="G15" s="77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2:66" s="16" customFormat="1" ht="17.25" customHeight="1">
      <c r="B16" s="363"/>
      <c r="C16" s="1491" t="s">
        <v>601</v>
      </c>
      <c r="D16" s="1492"/>
      <c r="E16" s="1492"/>
      <c r="F16" s="1493"/>
      <c r="G16" s="77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1:66" s="16" customFormat="1" ht="17.25" customHeight="1">
      <c r="B17" s="363"/>
      <c r="C17" s="52" t="s">
        <v>602</v>
      </c>
      <c r="D17" s="53" t="s">
        <v>90</v>
      </c>
      <c r="E17" s="54" t="s">
        <v>605</v>
      </c>
      <c r="F17" s="245">
        <v>0.39370100000000002</v>
      </c>
      <c r="G17" s="7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1:66" s="16" customFormat="1" ht="17.25" customHeight="1" thickBot="1">
      <c r="B18" s="363">
        <v>15</v>
      </c>
      <c r="C18" s="19" t="s">
        <v>603</v>
      </c>
      <c r="D18" s="55" t="s">
        <v>90</v>
      </c>
      <c r="E18" s="56" t="s">
        <v>604</v>
      </c>
      <c r="F18" s="246">
        <f>1/F17</f>
        <v>2.5399986284007405</v>
      </c>
      <c r="G18" s="77">
        <f>B18*F18</f>
        <v>38.09997942601111</v>
      </c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24"/>
    </row>
    <row r="19" spans="1:66" ht="15.75" thickBot="1">
      <c r="B19" s="362"/>
      <c r="G19" s="251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spans="1:66" ht="15.75" thickBot="1">
      <c r="B20" s="362"/>
      <c r="C20" s="1494" t="s">
        <v>665</v>
      </c>
      <c r="D20" s="1495"/>
      <c r="E20" s="1495"/>
      <c r="F20" s="1496"/>
      <c r="G20" s="251"/>
    </row>
    <row r="21" spans="1:66">
      <c r="B21" s="362">
        <v>7</v>
      </c>
      <c r="C21" s="17" t="s">
        <v>666</v>
      </c>
      <c r="D21" s="359" t="s">
        <v>90</v>
      </c>
      <c r="E21" s="360" t="s">
        <v>667</v>
      </c>
      <c r="F21" s="361" t="s">
        <v>668</v>
      </c>
      <c r="G21" s="251">
        <f>B21*(9/5)+32</f>
        <v>44.6</v>
      </c>
    </row>
    <row r="22" spans="1:66" ht="15.75" thickBot="1">
      <c r="B22" s="362">
        <v>44</v>
      </c>
      <c r="C22" s="19" t="s">
        <v>667</v>
      </c>
      <c r="D22" s="55" t="s">
        <v>90</v>
      </c>
      <c r="E22" s="56" t="s">
        <v>666</v>
      </c>
      <c r="F22" s="358" t="s">
        <v>669</v>
      </c>
      <c r="G22" s="251">
        <f>(B22-32)*(5/9)</f>
        <v>6.666666666666667</v>
      </c>
    </row>
    <row r="27" spans="1:66">
      <c r="A27" t="s">
        <v>865</v>
      </c>
      <c r="C27" t="s">
        <v>866</v>
      </c>
    </row>
    <row r="28" spans="1:66">
      <c r="A28" t="s">
        <v>867</v>
      </c>
    </row>
    <row r="29" spans="1:66">
      <c r="C29" t="s">
        <v>9</v>
      </c>
      <c r="D29" t="s">
        <v>868</v>
      </c>
    </row>
    <row r="30" spans="1:66">
      <c r="D30" t="s">
        <v>869</v>
      </c>
    </row>
    <row r="31" spans="1:66">
      <c r="D31" t="s">
        <v>870</v>
      </c>
      <c r="E31" t="s">
        <v>54</v>
      </c>
    </row>
  </sheetData>
  <sheetProtection selectLockedCells="1" selectUnlockedCells="1"/>
  <mergeCells count="10">
    <mergeCell ref="C3:F3"/>
    <mergeCell ref="C7:E7"/>
    <mergeCell ref="C12:F12"/>
    <mergeCell ref="C16:F16"/>
    <mergeCell ref="C20:F20"/>
    <mergeCell ref="K2:Z2"/>
    <mergeCell ref="J3:J4"/>
    <mergeCell ref="J6:K6"/>
    <mergeCell ref="J8:K8"/>
    <mergeCell ref="J5:K5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257BD-3924-4EBF-AF14-0C02ADA19886}">
  <sheetPr codeName="Sheet2"/>
  <dimension ref="B1:I13"/>
  <sheetViews>
    <sheetView workbookViewId="0">
      <selection activeCell="J13" sqref="J13"/>
    </sheetView>
  </sheetViews>
  <sheetFormatPr baseColWidth="10" defaultColWidth="11.42578125" defaultRowHeight="15"/>
  <cols>
    <col min="4" max="4" width="13.28515625" customWidth="1"/>
    <col min="5" max="5" width="15" bestFit="1" customWidth="1"/>
    <col min="6" max="6" width="13.42578125" customWidth="1"/>
    <col min="7" max="7" width="15.5703125" customWidth="1"/>
    <col min="8" max="8" width="15.28515625" customWidth="1"/>
    <col min="9" max="9" width="21.7109375" customWidth="1"/>
  </cols>
  <sheetData>
    <row r="1" spans="2:9">
      <c r="D1" t="s">
        <v>392</v>
      </c>
      <c r="E1" s="218">
        <v>31557600</v>
      </c>
      <c r="G1" s="219" t="s">
        <v>397</v>
      </c>
      <c r="H1" s="219"/>
    </row>
    <row r="3" spans="2:9">
      <c r="B3" s="10" t="s">
        <v>385</v>
      </c>
      <c r="C3" s="10" t="s">
        <v>386</v>
      </c>
      <c r="D3" s="194" t="s">
        <v>391</v>
      </c>
      <c r="E3" s="220" t="s">
        <v>393</v>
      </c>
      <c r="F3" s="194" t="s">
        <v>390</v>
      </c>
      <c r="G3" s="222" t="s">
        <v>395</v>
      </c>
      <c r="H3" s="194" t="s">
        <v>396</v>
      </c>
      <c r="I3" s="221" t="s">
        <v>398</v>
      </c>
    </row>
    <row r="4" spans="2:9">
      <c r="B4" s="223" t="s">
        <v>387</v>
      </c>
      <c r="C4" s="10">
        <v>0</v>
      </c>
      <c r="D4" s="194">
        <f>dateConvert2Decimal(B4)</f>
        <v>1696118400</v>
      </c>
      <c r="E4" s="194"/>
      <c r="F4" s="194"/>
      <c r="G4" s="222"/>
      <c r="H4" s="194"/>
      <c r="I4" s="222"/>
    </row>
    <row r="5" spans="2:9">
      <c r="B5" s="172" t="s">
        <v>388</v>
      </c>
      <c r="C5" s="10">
        <v>62</v>
      </c>
      <c r="D5" s="194">
        <f>dateConvert2Decimal(B5)</f>
        <v>1714521600</v>
      </c>
      <c r="E5" s="194">
        <f>D5-$D$4</f>
        <v>18403200</v>
      </c>
      <c r="F5" s="194">
        <f>$E$1*C5/E5</f>
        <v>106.3169014084507</v>
      </c>
      <c r="G5" s="222">
        <f>30*H5</f>
        <v>8.7323943661971821</v>
      </c>
      <c r="H5" s="194">
        <f>F5/365.25</f>
        <v>0.29107981220657275</v>
      </c>
      <c r="I5" s="222">
        <v>10</v>
      </c>
    </row>
    <row r="6" spans="2:9">
      <c r="B6" s="172" t="s">
        <v>389</v>
      </c>
      <c r="C6" s="10">
        <v>73</v>
      </c>
      <c r="D6" s="194">
        <f>dateConvert2Decimal(B6)</f>
        <v>1721606400</v>
      </c>
      <c r="E6" s="194">
        <f>D6-$D$4</f>
        <v>25488000</v>
      </c>
      <c r="F6" s="194">
        <f>$E$1*C6/E6</f>
        <v>90.383898305084742</v>
      </c>
      <c r="G6" s="222">
        <f>30*H6</f>
        <v>7.4237288135593218</v>
      </c>
      <c r="H6" s="194">
        <f>F6/365.25</f>
        <v>0.24745762711864405</v>
      </c>
      <c r="I6" s="222">
        <v>12</v>
      </c>
    </row>
    <row r="7" spans="2:9">
      <c r="B7" s="223" t="s">
        <v>394</v>
      </c>
      <c r="C7" s="10">
        <v>86</v>
      </c>
      <c r="D7" s="194">
        <f>dateConvert2Decimal(B7)</f>
        <v>1722816000</v>
      </c>
      <c r="E7" s="194">
        <f>D7-$D$4</f>
        <v>26697600</v>
      </c>
      <c r="F7" s="194">
        <f>$E$1*C7/E7</f>
        <v>101.65533980582525</v>
      </c>
      <c r="G7" s="222">
        <f>30*H7</f>
        <v>8.3495145631067977</v>
      </c>
      <c r="H7" s="194">
        <f>F7/365.25</f>
        <v>0.27831715210355989</v>
      </c>
      <c r="I7" s="222">
        <v>14</v>
      </c>
    </row>
    <row r="8" spans="2:9">
      <c r="B8" s="11" t="s">
        <v>745</v>
      </c>
      <c r="C8" s="381">
        <v>152</v>
      </c>
      <c r="D8" s="194">
        <f>dateConvert2Decimal(B8)</f>
        <v>1743292800</v>
      </c>
      <c r="E8" s="194">
        <f>D8-$D$4</f>
        <v>47174400</v>
      </c>
      <c r="F8" s="194">
        <f>$E$1*C8/E8</f>
        <v>101.68131868131869</v>
      </c>
      <c r="G8" s="222">
        <f>30*H8</f>
        <v>8.3516483516483522</v>
      </c>
      <c r="H8" s="194">
        <f>F8/365.25</f>
        <v>0.2783882783882784</v>
      </c>
      <c r="I8" s="222">
        <v>14</v>
      </c>
    </row>
    <row r="9" spans="2:9">
      <c r="C9" s="380"/>
    </row>
    <row r="13" spans="2:9">
      <c r="F13" s="382" t="s">
        <v>746</v>
      </c>
      <c r="G13" s="382">
        <f>AVERAGE(G5:G12)</f>
        <v>8.2143215236279143</v>
      </c>
      <c r="H13" s="382" t="s">
        <v>747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F128-B9E6-429D-AE86-414DB320301E}">
  <sheetPr codeName="Sheet6"/>
  <dimension ref="E5:I10"/>
  <sheetViews>
    <sheetView workbookViewId="0">
      <selection activeCell="I10" sqref="I10"/>
    </sheetView>
  </sheetViews>
  <sheetFormatPr baseColWidth="10" defaultColWidth="9.140625" defaultRowHeight="15"/>
  <sheetData>
    <row r="5" spans="5:9">
      <c r="E5" s="11" t="s">
        <v>489</v>
      </c>
      <c r="F5" cm="1">
        <f t="array" ref="F5">heureConvert2Decimal(E5)</f>
        <v>12.336944444444445</v>
      </c>
    </row>
    <row r="6" spans="5:9">
      <c r="E6" s="11" t="s">
        <v>487</v>
      </c>
      <c r="F6" cm="1">
        <f t="array" ref="F6">heureConvert2Decimal(E6)</f>
        <v>8.5013888888888882</v>
      </c>
    </row>
    <row r="7" spans="5:9">
      <c r="E7" s="11" t="s">
        <v>488</v>
      </c>
      <c r="F7" cm="1">
        <f t="array" ref="F7">heureConvert2Decimal(E7)</f>
        <v>6.2694444444444448</v>
      </c>
    </row>
    <row r="9" spans="5:9">
      <c r="F9">
        <f>F6-F7</f>
        <v>2.2319444444444434</v>
      </c>
      <c r="G9">
        <f>F5-F6</f>
        <v>3.8355555555555565</v>
      </c>
    </row>
    <row r="10" spans="5:9">
      <c r="G10">
        <v>15</v>
      </c>
      <c r="H10">
        <f>$G$10*F9</f>
        <v>33.47916666666665</v>
      </c>
      <c r="I10">
        <f>$G$10*G9</f>
        <v>57.533333333333346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7</vt:i4>
      </vt:variant>
    </vt:vector>
  </HeadingPairs>
  <TitlesOfParts>
    <vt:vector size="20" baseType="lpstr">
      <vt:lpstr>Droite de hauteur-soleil</vt:lpstr>
      <vt:lpstr>Meridienne</vt:lpstr>
      <vt:lpstr>Meridienne Longitude par paire</vt:lpstr>
      <vt:lpstr>Droite de hauteur-lune</vt:lpstr>
      <vt:lpstr>Droite de hauteur-etoileplanete</vt:lpstr>
      <vt:lpstr>Latitude Polaire</vt:lpstr>
      <vt:lpstr>DistanceLunaire</vt:lpstr>
      <vt:lpstr>RecalageAstroCompas (2)</vt:lpstr>
      <vt:lpstr>RecalageAstroCompas</vt:lpstr>
      <vt:lpstr>GrilleCompas</vt:lpstr>
      <vt:lpstr>Outils</vt:lpstr>
      <vt:lpstr>Montre</vt:lpstr>
      <vt:lpstr>Brouillon</vt:lpstr>
      <vt:lpstr>'Droite de hauteur-etoileplanete'!Zone_d_impression</vt:lpstr>
      <vt:lpstr>'Droite de hauteur-lune'!Zone_d_impression</vt:lpstr>
      <vt:lpstr>'Droite de hauteur-soleil'!Zone_d_impression</vt:lpstr>
      <vt:lpstr>GrilleCompas!Zone_d_impression</vt:lpstr>
      <vt:lpstr>'Latitude Polaire'!Zone_d_impression</vt:lpstr>
      <vt:lpstr>Meridienne!Zone_d_impression</vt:lpstr>
      <vt:lpstr>'Meridienne Longitude par paire'!Zone_d_impression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pierre fages</cp:lastModifiedBy>
  <cp:lastPrinted>2025-04-07T16:51:52Z</cp:lastPrinted>
  <dcterms:created xsi:type="dcterms:W3CDTF">2023-12-16T12:20:09Z</dcterms:created>
  <dcterms:modified xsi:type="dcterms:W3CDTF">2025-05-10T22:06:06Z</dcterms:modified>
</cp:coreProperties>
</file>