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A428C938-09B7-4D3D-B09F-F44039D536FC}" xr6:coauthVersionLast="47" xr6:coauthVersionMax="47" xr10:uidLastSave="{00000000-0000-0000-0000-000000000000}"/>
  <bookViews>
    <workbookView xWindow="0" yWindow="540" windowWidth="28800" windowHeight="15060" tabRatio="921" activeTab="9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5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hauteur-lune'!$B$206:$Q$261</definedName>
    <definedName name="_xlnm.Print_Area" localSheetId="0">'Droite de hauteur-soleil'!$B$179:$Q$231</definedName>
    <definedName name="_xlnm.Print_Area" localSheetId="5">'Latitude Polaire'!$B$125:$Q$159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8" l="1"/>
  <c r="G8" i="18"/>
  <c r="G7" i="18"/>
  <c r="G6" i="18"/>
  <c r="G5" i="18"/>
  <c r="C5" i="18"/>
  <c r="C6" i="18"/>
  <c r="C7" i="18"/>
  <c r="C9" i="18"/>
  <c r="C8" i="18"/>
  <c r="Q175" i="25"/>
  <c r="K185" i="25"/>
  <c r="J95" i="25"/>
  <c r="I169" i="25" s="1"/>
  <c r="I170" i="25" s="1"/>
  <c r="I172" i="25" a="1"/>
  <c r="D9" i="18"/>
  <c r="I172" i="25" l="1"/>
  <c r="D114" i="25"/>
  <c r="AD110" i="25"/>
  <c r="AE108" i="25"/>
  <c r="AD115" i="25"/>
  <c r="AE107" i="25"/>
  <c r="AD160" i="25" l="1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S107" i="25"/>
  <c r="P160" i="25"/>
  <c r="AD134" i="25" a="1"/>
  <c r="E8" i="25" a="1"/>
  <c r="K135" i="25" a="1"/>
  <c r="K156" i="25" a="1"/>
  <c r="AE47" i="25" a="1"/>
  <c r="AD99" i="25" a="1"/>
  <c r="K56" i="25" a="1"/>
  <c r="AE48" i="25" a="1"/>
  <c r="E93" i="25" a="1"/>
  <c r="AE147" i="25" a="1"/>
  <c r="K35" i="25" a="1"/>
  <c r="AE148" i="25" a="1"/>
  <c r="S109" i="25"/>
  <c r="AD12" i="25" a="1"/>
  <c r="T8" i="25"/>
  <c r="AE127" i="25" a="1"/>
  <c r="AD19" i="25" a="1"/>
  <c r="AD17" i="25" a="1"/>
  <c r="T93" i="25"/>
  <c r="R60" i="25"/>
  <c r="AD155" i="25" a="1"/>
  <c r="M14" i="15"/>
  <c r="M13" i="15"/>
  <c r="AE126" i="25" a="1"/>
  <c r="D156" i="25" a="1"/>
  <c r="AD40" i="25" a="1"/>
  <c r="D135" i="25" a="1"/>
  <c r="AD157" i="25" a="1"/>
  <c r="AD55" i="25" a="1"/>
  <c r="D116" i="25"/>
  <c r="AD140" i="25" a="1"/>
  <c r="AD36" i="25" a="1"/>
  <c r="AD136" i="25" a="1"/>
  <c r="AD57" i="25" a="1"/>
  <c r="N15" i="15"/>
  <c r="R160" i="25"/>
  <c r="P60" i="25"/>
  <c r="AD9" i="25" a="1"/>
  <c r="AD34" i="25" a="1"/>
  <c r="D56" i="25" a="1"/>
  <c r="AD101" i="25" a="1"/>
  <c r="AE27" i="25" a="1"/>
  <c r="AE26" i="25" a="1"/>
  <c r="AD109" i="25" l="1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AD49" i="11" a="1"/>
  <c r="K28" i="21" a="1"/>
  <c r="F11" i="17"/>
  <c r="F85" i="21" a="1"/>
  <c r="J17" i="21" a="1"/>
  <c r="D141" i="25" a="1"/>
  <c r="AD55" i="11" a="1"/>
  <c r="AE41" i="11" a="1"/>
  <c r="N35" i="25" a="1"/>
  <c r="F88" i="21" a="1"/>
  <c r="P100" i="25" a="1"/>
  <c r="K50" i="11" a="1"/>
  <c r="S47" i="25" a="1"/>
  <c r="F90" i="21" a="1"/>
  <c r="P18" i="25" a="1"/>
  <c r="F92" i="21" a="1"/>
  <c r="N156" i="25" a="1"/>
  <c r="J60" i="25"/>
  <c r="N56" i="25" a="1"/>
  <c r="S128" i="25" a="1"/>
  <c r="I93" i="25" a="1"/>
  <c r="AD101" i="11" a="1"/>
  <c r="F86" i="21" a="1"/>
  <c r="J20" i="21"/>
  <c r="S126" i="25" a="1"/>
  <c r="F91" i="21" a="1"/>
  <c r="J21" i="21" a="1"/>
  <c r="S147" i="25" a="1"/>
  <c r="AD105" i="11" a="1"/>
  <c r="P16" i="25" a="1"/>
  <c r="J15" i="21" a="1"/>
  <c r="N135" i="25" a="1"/>
  <c r="AE91" i="11" a="1"/>
  <c r="F89" i="21" a="1"/>
  <c r="K26" i="21" a="1"/>
  <c r="R22" i="21"/>
  <c r="AE42" i="11" a="1"/>
  <c r="S56" i="25" a="1"/>
  <c r="K100" i="11" a="1"/>
  <c r="M10" i="21"/>
  <c r="AD51" i="11" a="1"/>
  <c r="AE62" i="11" a="1"/>
  <c r="J22" i="21" a="1"/>
  <c r="J16" i="21" a="1"/>
  <c r="S81" i="11" a="1"/>
  <c r="F56" i="21" a="1"/>
  <c r="S35" i="25" a="1"/>
  <c r="S156" i="25" a="1"/>
  <c r="D71" i="11" a="1"/>
  <c r="J160" i="25"/>
  <c r="S83" i="11" a="1"/>
  <c r="E10" i="21" a="1"/>
  <c r="P98" i="25" a="1"/>
  <c r="K30" i="21" a="1"/>
  <c r="S135" i="25" a="1"/>
  <c r="K35" i="21" a="1"/>
  <c r="AE92" i="11" a="1"/>
  <c r="D41" i="25" a="1"/>
  <c r="F87" i="21" a="1"/>
  <c r="AD99" i="11" a="1"/>
  <c r="AE63" i="11" a="1"/>
  <c r="S26" i="25" a="1"/>
  <c r="S28" i="25" a="1"/>
  <c r="D8" i="18"/>
  <c r="AF48" i="25" l="1"/>
  <c r="Q15" i="15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49" i="25"/>
  <c r="AD28" i="25"/>
  <c r="L15" i="1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S49" i="25" a="1"/>
  <c r="S91" i="11" a="1"/>
  <c r="N100" i="11" a="1"/>
  <c r="S100" i="11" a="1"/>
  <c r="M15" i="15"/>
  <c r="S41" i="11" a="1"/>
  <c r="P30" i="21"/>
  <c r="P35" i="21"/>
  <c r="S50" i="11" a="1"/>
  <c r="P15" i="21" a="1"/>
  <c r="H233" i="11" a="1"/>
  <c r="D106" i="11" a="1"/>
  <c r="G56" i="21"/>
  <c r="S62" i="11" a="1"/>
  <c r="I8" i="25" a="1"/>
  <c r="S149" i="25" a="1"/>
  <c r="N50" i="11" a="1"/>
  <c r="L103" i="25"/>
  <c r="AD61" i="25" a="1"/>
  <c r="S64" i="11" a="1"/>
  <c r="J45" i="21"/>
  <c r="S43" i="11" a="1"/>
  <c r="D56" i="11" a="1"/>
  <c r="P28" i="21"/>
  <c r="D110" i="25"/>
  <c r="K19" i="21"/>
  <c r="O45" i="21"/>
  <c r="AD161" i="25" a="1"/>
  <c r="E13" i="25" a="1"/>
  <c r="F40" i="21" a="1"/>
  <c r="P26" i="21"/>
  <c r="S49" i="25" l="1"/>
  <c r="K90" i="21" a="1"/>
  <c r="AD161" i="25"/>
  <c r="AD61" i="25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0" i="25"/>
  <c r="D160" i="25"/>
  <c r="AD31" i="25"/>
  <c r="D26" i="25" s="1"/>
  <c r="F22" i="25" s="1"/>
  <c r="Q70" i="25" s="1"/>
  <c r="Q16" i="15"/>
  <c r="K90" i="2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K56" i="21"/>
  <c r="J49" i="21"/>
  <c r="D162" i="25" a="1"/>
  <c r="O49" i="21"/>
  <c r="D62" i="25" a="1"/>
  <c r="M16" i="15"/>
  <c r="S93" i="11" a="1"/>
  <c r="F39" i="21" a="1"/>
  <c r="D50" i="25" a="1"/>
  <c r="F45" i="21"/>
  <c r="K22" i="25" a="1"/>
  <c r="D29" i="25" a="1"/>
  <c r="D35" i="25" a="1"/>
  <c r="D35" i="25" l="1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52" i="21"/>
  <c r="AD35" i="11" a="1"/>
  <c r="AD33" i="11" a="1"/>
  <c r="D100" i="11" a="1"/>
  <c r="AD66" i="25" a="1"/>
  <c r="F49" i="21"/>
  <c r="J24" i="11" a="1"/>
  <c r="D94" i="11" a="1"/>
  <c r="G39" i="21"/>
  <c r="AD66" i="25" l="1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K135" i="13" a="1"/>
  <c r="AD140" i="13" a="1"/>
  <c r="AD11" i="13" a="1"/>
  <c r="AD74" i="13"/>
  <c r="T7" i="16"/>
  <c r="AD108" i="16" a="1"/>
  <c r="F16" i="13" a="1"/>
  <c r="E230" i="11" a="1"/>
  <c r="P83" i="16" a="1"/>
  <c r="AH149" i="16" a="1"/>
  <c r="P115" i="13" a="1"/>
  <c r="AG74" i="13"/>
  <c r="E231" i="11" a="1"/>
  <c r="K72" i="1" a="1"/>
  <c r="T6" i="13"/>
  <c r="K51" i="1" a="1"/>
  <c r="AE63" i="1" a="1"/>
  <c r="AE95" i="16" a="1"/>
  <c r="AG146" i="16" a="1"/>
  <c r="AH144" i="16" a="1"/>
  <c r="F20" i="13"/>
  <c r="AD104" i="16" a="1"/>
  <c r="AH141" i="16" a="1"/>
  <c r="AF146" i="16" a="1"/>
  <c r="AE94" i="16" a="1"/>
  <c r="P32" i="11" a="1"/>
  <c r="G40" i="21"/>
  <c r="K103" i="16" a="1"/>
  <c r="AD136" i="13" a="1"/>
  <c r="AD102" i="16" a="1"/>
  <c r="P25" i="1" a="1"/>
  <c r="F8" i="13"/>
  <c r="AH143" i="16" a="1"/>
  <c r="AE127" i="13" a="1"/>
  <c r="AG145" i="16" a="1"/>
  <c r="AF145" i="16" a="1"/>
  <c r="L6" i="13"/>
  <c r="AH148" i="16" a="1"/>
  <c r="F55" i="21"/>
  <c r="AE126" i="13" a="1"/>
  <c r="AD13" i="13" a="1"/>
  <c r="AH142" i="16" a="1"/>
  <c r="AE64" i="1" a="1"/>
  <c r="AD134" i="13" a="1"/>
  <c r="P34" i="11" a="1"/>
  <c r="R65" i="25" a="1"/>
  <c r="D135" i="13" a="1"/>
  <c r="D129" i="13" a="1"/>
  <c r="R65" i="25" l="1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O16" i="13" a="1"/>
  <c r="K52" i="21"/>
  <c r="S96" i="16" a="1"/>
  <c r="S128" i="13" a="1"/>
  <c r="N103" i="16" a="1"/>
  <c r="AH146" i="16" a="1"/>
  <c r="AH147" i="16" a="1"/>
  <c r="O20" i="13"/>
  <c r="AD110" i="11" a="1"/>
  <c r="N135" i="13" a="1"/>
  <c r="S115" i="13" a="1"/>
  <c r="S126" i="13" a="1"/>
  <c r="D109" i="16" a="1"/>
  <c r="O10" i="13" a="1"/>
  <c r="AD164" i="13" a="1"/>
  <c r="S135" i="13" a="1"/>
  <c r="S103" i="16" a="1"/>
  <c r="P87" i="16" a="1"/>
  <c r="P119" i="13" a="1"/>
  <c r="AH145" i="16" a="1"/>
  <c r="S94" i="16" a="1"/>
  <c r="Y27" i="11" a="1"/>
  <c r="D141" i="13" a="1"/>
  <c r="O8" i="13"/>
  <c r="I70" i="25"/>
  <c r="T79" i="25"/>
  <c r="I72" i="25" a="1"/>
  <c r="I72" i="25" l="1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S119" i="13" a="1"/>
  <c r="J78" i="16"/>
  <c r="R109" i="11" a="1"/>
  <c r="O12" i="13" a="1"/>
  <c r="J55" i="21"/>
  <c r="AI146" i="16" a="1"/>
  <c r="F7" i="19" a="1"/>
  <c r="J117" i="13" a="1"/>
  <c r="AD77" i="1" a="1"/>
  <c r="D103" i="16" a="1"/>
  <c r="F5" i="19" a="1"/>
  <c r="AI145" i="16" a="1"/>
  <c r="D97" i="16" a="1"/>
  <c r="F6" i="19" a="1"/>
  <c r="J113" i="13" a="1"/>
  <c r="F23" i="17" a="1"/>
  <c r="O55" i="21"/>
  <c r="E267" i="13" a="1"/>
  <c r="K122" i="13" a="1"/>
  <c r="T80" i="25" a="1"/>
  <c r="AD56" i="1" a="1"/>
  <c r="T80" i="25" l="1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O19" i="17"/>
  <c r="J20" i="11" a="1"/>
  <c r="J110" i="13" a="1"/>
  <c r="AG78" i="13"/>
  <c r="U148" i="13" a="1"/>
  <c r="R179" i="13" a="1"/>
  <c r="G212" i="13" a="1"/>
  <c r="M21" i="17"/>
  <c r="T7" i="1"/>
  <c r="F30" i="17"/>
  <c r="M76" i="11"/>
  <c r="AH84" i="13"/>
  <c r="P76" i="11"/>
  <c r="E6" i="17"/>
  <c r="M19" i="17"/>
  <c r="K90" i="16" a="1"/>
  <c r="F10" i="17"/>
  <c r="M22" i="17"/>
  <c r="T20" i="17"/>
  <c r="G21" i="17"/>
  <c r="F61" i="17" a="1"/>
  <c r="R148" i="11" a="1"/>
  <c r="AH87" i="13"/>
  <c r="O76" i="11"/>
  <c r="K36" i="17"/>
  <c r="O179" i="13" a="1"/>
  <c r="J17" i="1" a="1"/>
  <c r="H76" i="11"/>
  <c r="D50" i="17" a="1"/>
  <c r="U116" i="11" a="1"/>
  <c r="J59" i="17" a="1"/>
  <c r="V59" i="17" a="1"/>
  <c r="E214" i="11" a="1"/>
  <c r="I23" i="17"/>
  <c r="O23" i="17"/>
  <c r="F31" i="17"/>
  <c r="O21" i="17"/>
  <c r="AE164" i="13" a="1"/>
  <c r="D78" i="1" a="1"/>
  <c r="J106" i="13" a="1"/>
  <c r="E76" i="11"/>
  <c r="H217" i="11" a="1"/>
  <c r="J73" i="16" a="1"/>
  <c r="J21" i="11" a="1"/>
  <c r="E196" i="16" a="1"/>
  <c r="G180" i="16" a="1"/>
  <c r="AD8" i="11" a="1"/>
  <c r="E7" i="11" a="1"/>
  <c r="K76" i="11"/>
  <c r="J109" i="13" a="1"/>
  <c r="Q76" i="11"/>
  <c r="E187" i="1" a="1"/>
  <c r="P120" i="13" a="1"/>
  <c r="E194" i="16" a="1"/>
  <c r="O148" i="11" a="1"/>
  <c r="M20" i="17"/>
  <c r="I20" i="17"/>
  <c r="T6" i="17"/>
  <c r="G193" i="11" a="1"/>
  <c r="I19" i="17"/>
  <c r="AH85" i="13"/>
  <c r="F29" i="17"/>
  <c r="AE86" i="13"/>
  <c r="P43" i="13"/>
  <c r="AE87" i="13"/>
  <c r="F28" i="17"/>
  <c r="K204" i="1" a="1"/>
  <c r="I22" i="17"/>
  <c r="K35" i="17"/>
  <c r="J17" i="11" a="1"/>
  <c r="AG77" i="13"/>
  <c r="AD11" i="11" a="1"/>
  <c r="AH86" i="13"/>
  <c r="N59" i="17" a="1"/>
  <c r="E7" i="1" a="1"/>
  <c r="M23" i="17"/>
  <c r="F76" i="11"/>
  <c r="R59" i="17" a="1"/>
  <c r="I76" i="11"/>
  <c r="AD75" i="13"/>
  <c r="AD78" i="13"/>
  <c r="F13" i="17" a="1"/>
  <c r="AE83" i="13"/>
  <c r="G181" i="16" a="1"/>
  <c r="J105" i="13" a="1"/>
  <c r="O22" i="17"/>
  <c r="L7" i="16"/>
  <c r="T21" i="17"/>
  <c r="AD77" i="13"/>
  <c r="E132" i="10" a="1"/>
  <c r="J16" i="11" a="1"/>
  <c r="AG76" i="13"/>
  <c r="G194" i="11" a="1"/>
  <c r="AG75" i="13"/>
  <c r="L76" i="11"/>
  <c r="AH83" i="13"/>
  <c r="E212" i="11" a="1"/>
  <c r="G213" i="13" a="1"/>
  <c r="K43" i="13"/>
  <c r="AD59" i="13" a="1"/>
  <c r="O20" i="17"/>
  <c r="I21" i="17"/>
  <c r="E131" i="10" a="1"/>
  <c r="T19" i="17"/>
  <c r="AD76" i="13"/>
  <c r="J76" i="11"/>
  <c r="P116" i="13" a="1"/>
  <c r="AE85" i="13"/>
  <c r="N76" i="11"/>
  <c r="F59" i="17" a="1"/>
  <c r="AE84" i="13"/>
  <c r="G76" i="11"/>
  <c r="D57" i="1" a="1"/>
  <c r="D6" i="18"/>
  <c r="D4" i="18"/>
  <c r="D5" i="18"/>
  <c r="D7" i="18"/>
  <c r="E9" i="18" l="1"/>
  <c r="F9" i="18" s="1"/>
  <c r="I9" i="18" s="1"/>
  <c r="H9" i="18" s="1"/>
  <c r="E8" i="18"/>
  <c r="F8" i="18" s="1"/>
  <c r="I8" i="18" s="1"/>
  <c r="H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I5" i="18" s="1"/>
  <c r="H5" i="18" s="1"/>
  <c r="E6" i="18"/>
  <c r="F6" i="18" s="1"/>
  <c r="I6" i="18" s="1"/>
  <c r="H6" i="18" s="1"/>
  <c r="AM39" i="17"/>
  <c r="AM37" i="17"/>
  <c r="E7" i="18"/>
  <c r="F7" i="18" s="1"/>
  <c r="I7" i="18" s="1"/>
  <c r="H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F77" i="11" a="1"/>
  <c r="K232" i="11" a="1"/>
  <c r="P77" i="11" a="1"/>
  <c r="AN36" i="17"/>
  <c r="D54" i="17" a="1"/>
  <c r="J76" i="17" a="1"/>
  <c r="G75" i="13"/>
  <c r="N77" i="11" a="1"/>
  <c r="G20" i="17"/>
  <c r="N86" i="17" a="1"/>
  <c r="K77" i="11" a="1"/>
  <c r="K19" i="17"/>
  <c r="D53" i="17" a="1"/>
  <c r="J10" i="17"/>
  <c r="J237" i="11" a="1"/>
  <c r="G19" i="17"/>
  <c r="P21" i="11" a="1"/>
  <c r="J84" i="13"/>
  <c r="F86" i="17" a="1"/>
  <c r="G76" i="13"/>
  <c r="L77" i="11" a="1"/>
  <c r="E77" i="11" a="1"/>
  <c r="G22" i="17"/>
  <c r="G23" i="17"/>
  <c r="J11" i="17"/>
  <c r="J236" i="11" a="1"/>
  <c r="P16" i="11" a="1"/>
  <c r="P17" i="1" a="1"/>
  <c r="J83" i="13"/>
  <c r="N73" i="17" a="1"/>
  <c r="V76" i="17" a="1"/>
  <c r="G77" i="11" a="1"/>
  <c r="I77" i="11" a="1"/>
  <c r="R86" i="17" a="1"/>
  <c r="F76" i="17" a="1"/>
  <c r="P105" i="13" a="1"/>
  <c r="J87" i="13"/>
  <c r="AD165" i="13" a="1"/>
  <c r="AN37" i="17"/>
  <c r="R73" i="17" a="1"/>
  <c r="R76" i="17" a="1"/>
  <c r="N76" i="17" a="1"/>
  <c r="J13" i="17" a="1"/>
  <c r="F27" i="17"/>
  <c r="J86" i="17" a="1"/>
  <c r="G78" i="13"/>
  <c r="V73" i="17" a="1"/>
  <c r="J77" i="11" a="1"/>
  <c r="F60" i="17" a="1"/>
  <c r="Q77" i="11" a="1"/>
  <c r="H77" i="11" a="1"/>
  <c r="AN38" i="17"/>
  <c r="P110" i="13" a="1"/>
  <c r="S29" i="17"/>
  <c r="P25" i="11" a="1"/>
  <c r="P20" i="11" a="1"/>
  <c r="G77" i="13"/>
  <c r="J86" i="13"/>
  <c r="O77" i="11" a="1"/>
  <c r="J85" i="13"/>
  <c r="P58" i="17" a="1"/>
  <c r="H58" i="17" a="1"/>
  <c r="M77" i="11" a="1"/>
  <c r="P17" i="11" a="1"/>
  <c r="F73" i="17" a="1"/>
  <c r="P109" i="13" a="1"/>
  <c r="J73" i="17" a="1"/>
  <c r="P106" i="13" a="1"/>
  <c r="P73" i="16" a="1"/>
  <c r="V86" i="17" a="1"/>
  <c r="G74" i="13"/>
  <c r="I95" i="13"/>
  <c r="I94" i="13"/>
  <c r="O27" i="17" l="1"/>
  <c r="N86" i="17"/>
  <c r="AD57" i="1"/>
  <c r="AE57" i="1"/>
  <c r="AC57" i="1"/>
  <c r="AA7" i="1"/>
  <c r="N76" i="17"/>
  <c r="H13" i="18"/>
  <c r="O30" i="17"/>
  <c r="R69" i="17" s="1"/>
  <c r="R70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F69" i="17"/>
  <c r="F60" i="17"/>
  <c r="J237" i="11"/>
  <c r="J236" i="11"/>
  <c r="K233" i="11"/>
  <c r="K232" i="11"/>
  <c r="P17" i="1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N60" i="17" a="1"/>
  <c r="T58" i="17" a="1"/>
  <c r="W179" i="13" a="1"/>
  <c r="J74" i="16" a="1"/>
  <c r="K21" i="17"/>
  <c r="S31" i="17"/>
  <c r="L58" i="17" a="1"/>
  <c r="K23" i="17"/>
  <c r="K20" i="17"/>
  <c r="V60" i="17" a="1"/>
  <c r="J18" i="11" a="1"/>
  <c r="J60" i="17" a="1"/>
  <c r="E12" i="11" a="1"/>
  <c r="J107" i="13" a="1"/>
  <c r="K22" i="17"/>
  <c r="AN39" i="17"/>
  <c r="S30" i="17"/>
  <c r="U152" i="13" a="1"/>
  <c r="X58" i="17" a="1"/>
  <c r="L28" i="17"/>
  <c r="L29" i="17"/>
  <c r="P69" i="17" a="1"/>
  <c r="S27" i="17"/>
  <c r="U147" i="13" a="1"/>
  <c r="P28" i="1" a="1"/>
  <c r="U114" i="11" a="1"/>
  <c r="U115" i="11" a="1"/>
  <c r="W148" i="11" a="1"/>
  <c r="U146" i="13" a="1"/>
  <c r="R60" i="17" a="1"/>
  <c r="T70" i="17" a="1"/>
  <c r="H236" i="13" a="1"/>
  <c r="S28" i="17"/>
  <c r="L27" i="17"/>
  <c r="I7" i="11" a="1"/>
  <c r="X70" i="17" a="1"/>
  <c r="L70" i="17" a="1"/>
  <c r="P70" i="17" a="1"/>
  <c r="I96" i="13"/>
  <c r="I93" i="13"/>
  <c r="I92" i="13"/>
  <c r="P30" i="17" l="1"/>
  <c r="P28" i="1"/>
  <c r="T58" i="17"/>
  <c r="Q30" i="17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T69" i="17" a="1"/>
  <c r="L179" i="13" a="1"/>
  <c r="U118" i="11" a="1"/>
  <c r="H70" i="17" a="1"/>
  <c r="E216" i="11" a="1"/>
  <c r="P107" i="13" a="1"/>
  <c r="D44" i="11" a="1"/>
  <c r="X69" i="17" a="1"/>
  <c r="L148" i="11" a="1"/>
  <c r="D65" i="11" a="1"/>
  <c r="U162" i="13" a="1"/>
  <c r="H69" i="17" a="1"/>
  <c r="F71" i="17" a="1"/>
  <c r="U150" i="13" a="1"/>
  <c r="L30" i="17"/>
  <c r="AN40" i="17"/>
  <c r="P74" i="16" a="1"/>
  <c r="N71" i="17" a="1"/>
  <c r="L69" i="17" a="1"/>
  <c r="P18" i="11" a="1"/>
  <c r="I98" i="13"/>
  <c r="T69" i="17" l="1"/>
  <c r="R30" i="17"/>
  <c r="T30" i="17" s="1"/>
  <c r="R28" i="17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V29" i="17"/>
  <c r="V27" i="17"/>
  <c r="E216" i="11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D50" i="11" a="1"/>
  <c r="F74" i="17" a="1"/>
  <c r="AB29" i="17" a="1"/>
  <c r="U181" i="13" a="1"/>
  <c r="E238" i="11" a="1"/>
  <c r="N72" i="17" a="1"/>
  <c r="F87" i="17" a="1"/>
  <c r="K58" i="11" a="1"/>
  <c r="V74" i="17" a="1"/>
  <c r="AB27" i="17" a="1"/>
  <c r="AB31" i="17" a="1"/>
  <c r="F72" i="17" a="1"/>
  <c r="V87" i="17" a="1"/>
  <c r="I154" i="11" a="1"/>
  <c r="K37" i="11" a="1"/>
  <c r="E239" i="11" a="1"/>
  <c r="U150" i="11" a="1"/>
  <c r="J75" i="16" a="1"/>
  <c r="J71" i="17" a="1"/>
  <c r="R71" i="17" a="1"/>
  <c r="V71" i="17" a="1"/>
  <c r="N74" i="17" a="1"/>
  <c r="S28" i="11"/>
  <c r="L31" i="17"/>
  <c r="N87" i="17" a="1"/>
  <c r="S98" i="13"/>
  <c r="R71" i="17" l="1"/>
  <c r="V30" i="17"/>
  <c r="U30" i="17"/>
  <c r="W30" i="17" s="1"/>
  <c r="U31" i="17"/>
  <c r="W31" i="17" s="1"/>
  <c r="U28" i="17"/>
  <c r="W28" i="17" s="1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N72" i="17"/>
  <c r="N87" i="17"/>
  <c r="N74" i="17"/>
  <c r="AB29" i="17"/>
  <c r="V87" i="17"/>
  <c r="V74" i="17"/>
  <c r="AB31" i="17"/>
  <c r="J71" i="17"/>
  <c r="F74" i="17"/>
  <c r="F87" i="17"/>
  <c r="AB27" i="17"/>
  <c r="V28" i="17"/>
  <c r="E238" i="11"/>
  <c r="W27" i="17"/>
  <c r="V160" i="11"/>
  <c r="W29" i="17"/>
  <c r="U150" i="11"/>
  <c r="U181" i="13"/>
  <c r="J75" i="16"/>
  <c r="J76" i="16"/>
  <c r="X160" i="11"/>
  <c r="J72" i="17" a="1"/>
  <c r="V75" i="17" a="1"/>
  <c r="X28" i="17" a="1"/>
  <c r="AC30" i="17" a="1"/>
  <c r="N75" i="17" a="1"/>
  <c r="R72" i="17" a="1"/>
  <c r="V72" i="17" a="1"/>
  <c r="AB28" i="17" a="1"/>
  <c r="F75" i="17" a="1"/>
  <c r="R87" i="17" a="1"/>
  <c r="AB30" i="17" a="1"/>
  <c r="J74" i="17" a="1"/>
  <c r="X27" i="17" a="1"/>
  <c r="R74" i="17" a="1"/>
  <c r="X31" i="17" a="1"/>
  <c r="AS30" i="11" a="1"/>
  <c r="E234" i="11" a="1"/>
  <c r="R75" i="17" a="1"/>
  <c r="AC31" i="17" a="1"/>
  <c r="AC28" i="17" a="1"/>
  <c r="J75" i="17" a="1"/>
  <c r="U121" i="11" a="1"/>
  <c r="J87" i="17" a="1"/>
  <c r="AC27" i="17" a="1"/>
  <c r="V161" i="11" a="1"/>
  <c r="P75" i="16" a="1"/>
  <c r="J26" i="11" a="1"/>
  <c r="P248" i="11" a="1"/>
  <c r="X29" i="17" a="1"/>
  <c r="J77" i="16" a="1"/>
  <c r="AC29" i="17" a="1"/>
  <c r="X30" i="17" a="1"/>
  <c r="H219" i="11" a="1"/>
  <c r="S100" i="13"/>
  <c r="P198" i="13"/>
  <c r="R72" i="17" l="1"/>
  <c r="AB30" i="17"/>
  <c r="R74" i="17"/>
  <c r="R87" i="17"/>
  <c r="V72" i="17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29" i="11" a="1"/>
  <c r="P249" i="11" a="1"/>
  <c r="X161" i="11"/>
  <c r="P77" i="16" a="1"/>
  <c r="F96" i="17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T176" i="11" a="1"/>
  <c r="P78" i="16" a="1"/>
  <c r="E246" i="11" a="1"/>
  <c r="D84" i="11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P261" i="11"/>
  <c r="J81" i="16" a="1"/>
  <c r="S83" i="16" a="1"/>
  <c r="E240" i="11" a="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J85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6" i="16" a="1"/>
  <c r="U114" i="16" a="1"/>
  <c r="U115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E198" i="16" a="1"/>
  <c r="U120" i="16" a="1"/>
  <c r="U118" i="16" a="1"/>
  <c r="AD131" i="16" a="1"/>
  <c r="AD131" i="16" l="1"/>
  <c r="AD126" i="16"/>
  <c r="H202" i="16"/>
  <c r="E198" i="16"/>
  <c r="U120" i="16"/>
  <c r="U118" i="16"/>
  <c r="AD130" i="16"/>
  <c r="O130" i="16" l="1"/>
  <c r="U130" i="16" a="1"/>
  <c r="H203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5" i="1" a="1"/>
  <c r="F17" i="16"/>
  <c r="AD12" i="16" a="1"/>
  <c r="G166" i="1" a="1"/>
  <c r="F21" i="16"/>
  <c r="F9" i="16"/>
  <c r="AD14" i="16" a="1"/>
  <c r="U175" i="25" l="1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H201" i="16" a="1"/>
  <c r="N62" i="17" a="1"/>
  <c r="U121" i="16" a="1"/>
  <c r="O9" i="16"/>
  <c r="O11" i="16" a="1"/>
  <c r="V62" i="17" a="1"/>
  <c r="G58" i="21"/>
  <c r="O13" i="16" a="1"/>
  <c r="H200" i="16" a="1"/>
  <c r="U153" i="13" a="1"/>
  <c r="U126" i="16" a="1"/>
  <c r="I25" i="13" a="1"/>
  <c r="R62" i="17" a="1"/>
  <c r="K58" i="21"/>
  <c r="U127" i="11" a="1"/>
  <c r="O17" i="16" a="1"/>
  <c r="J62" i="17" a="1"/>
  <c r="U158" i="13" a="1"/>
  <c r="O21" i="16"/>
  <c r="F62" i="17" a="1"/>
  <c r="H218" i="11" a="1"/>
  <c r="F66" i="17" a="1"/>
  <c r="K31" i="17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V65" i="17" a="1"/>
  <c r="H220" i="11" a="1"/>
  <c r="F64" i="17" a="1"/>
  <c r="K28" i="17"/>
  <c r="N64" i="17" a="1"/>
  <c r="F239" i="13" a="1"/>
  <c r="N82" i="17" a="1"/>
  <c r="K57" i="21"/>
  <c r="R66" i="17" a="1"/>
  <c r="G57" i="21"/>
  <c r="M28" i="17"/>
  <c r="J64" i="17" a="1"/>
  <c r="H68" i="13" a="1"/>
  <c r="M29" i="17"/>
  <c r="F240" i="13" a="1"/>
  <c r="V111" i="16" a="1"/>
  <c r="K30" i="17"/>
  <c r="V143" i="13" a="1"/>
  <c r="AD60" i="16" a="1"/>
  <c r="F65" i="17" a="1"/>
  <c r="K27" i="17"/>
  <c r="N66" i="17" a="1"/>
  <c r="R65" i="17" a="1"/>
  <c r="V82" i="17" a="1"/>
  <c r="J65" i="17" a="1"/>
  <c r="F206" i="16" a="1"/>
  <c r="V66" i="17" a="1"/>
  <c r="M31" i="17"/>
  <c r="P44" i="16"/>
  <c r="F207" i="16" a="1"/>
  <c r="U139" i="16" a="1"/>
  <c r="F241" i="13" a="1"/>
  <c r="M27" i="17"/>
  <c r="R82" i="17" a="1"/>
  <c r="M30" i="17"/>
  <c r="K44" i="16"/>
  <c r="R64" i="17" a="1"/>
  <c r="J66" i="17" a="1"/>
  <c r="F205" i="16" a="1"/>
  <c r="U122" i="11" a="1"/>
  <c r="F224" i="11" a="1"/>
  <c r="F82" i="17" a="1"/>
  <c r="U171" i="13" a="1"/>
  <c r="N65" i="17" a="1"/>
  <c r="K29" i="17"/>
  <c r="V64" i="17" a="1"/>
  <c r="I26" i="16" a="1"/>
  <c r="J82" i="17" a="1"/>
  <c r="F240" i="13" l="1"/>
  <c r="F69" i="2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R99" i="10" a="1"/>
  <c r="AE41" i="10" a="1"/>
  <c r="H69" i="16" a="1"/>
  <c r="AD29" i="10" a="1"/>
  <c r="N27" i="17"/>
  <c r="N33" i="10" a="1"/>
  <c r="U140" i="11" a="1"/>
  <c r="E204" i="16" a="1"/>
  <c r="R63" i="17" a="1"/>
  <c r="N63" i="17" a="1"/>
  <c r="F61" i="21"/>
  <c r="AD23" i="10" a="1"/>
  <c r="V111" i="11" a="1"/>
  <c r="F226" i="11" a="1"/>
  <c r="F83" i="17" a="1"/>
  <c r="AD8" i="10" a="1"/>
  <c r="K59" i="21"/>
  <c r="N99" i="10" a="1"/>
  <c r="N29" i="17"/>
  <c r="H269" i="13" a="1"/>
  <c r="N31" i="17"/>
  <c r="G59" i="21"/>
  <c r="J16" i="10" a="1"/>
  <c r="F63" i="17" a="1"/>
  <c r="E227" i="16" a="1"/>
  <c r="U68" i="10" a="1"/>
  <c r="AE40" i="10" a="1"/>
  <c r="J63" i="17" a="1"/>
  <c r="V63" i="17" a="1"/>
  <c r="AD51" i="10" a="1"/>
  <c r="I156" i="11" a="1"/>
  <c r="J61" i="21"/>
  <c r="F225" i="11" a="1"/>
  <c r="AD11" i="10" a="1"/>
  <c r="H135" i="10" a="1"/>
  <c r="AD25" i="10" a="1"/>
  <c r="E238" i="13" a="1"/>
  <c r="J17" i="10" a="1"/>
  <c r="N28" i="17"/>
  <c r="N30" i="17"/>
  <c r="AD49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27" i="17"/>
  <c r="J83" i="17" a="1"/>
  <c r="P16" i="10" a="1"/>
  <c r="AD71" i="1" a="1"/>
  <c r="P52" i="10" a="1"/>
  <c r="E145" i="10" a="1"/>
  <c r="S28" i="1" a="1"/>
  <c r="U41" i="10" a="1"/>
  <c r="X59" i="13"/>
  <c r="AD33" i="1" a="1"/>
  <c r="N96" i="17" a="1"/>
  <c r="E144" i="10" a="1"/>
  <c r="Q28" i="10" a="1"/>
  <c r="S25" i="1" a="1"/>
  <c r="F90" i="17" a="1"/>
  <c r="V83" i="17" a="1"/>
  <c r="AE86" i="10" a="1"/>
  <c r="N83" i="17" a="1"/>
  <c r="Y30" i="17"/>
  <c r="U52" i="10" a="1"/>
  <c r="K146" i="10" a="1"/>
  <c r="AD35" i="1" a="1"/>
  <c r="Y31" i="17"/>
  <c r="R120" i="1" a="1"/>
  <c r="K147" i="10" a="1"/>
  <c r="P24" i="10" a="1"/>
  <c r="O120" i="1" a="1"/>
  <c r="U74" i="10" a="1"/>
  <c r="H232" i="16" a="1"/>
  <c r="V96" i="17" a="1"/>
  <c r="R83" i="17" a="1"/>
  <c r="E223" i="11" a="1"/>
  <c r="AD50" i="1" a="1"/>
  <c r="Y29" i="17"/>
  <c r="X61" i="13"/>
  <c r="P22" i="10" a="1"/>
  <c r="J96" i="17" a="1"/>
  <c r="I111" i="11"/>
  <c r="R96" i="17" a="1"/>
  <c r="Q33" i="10" a="1"/>
  <c r="U43" i="10" a="1"/>
  <c r="J90" i="17" a="1"/>
  <c r="AD52" i="1" a="1"/>
  <c r="U67" i="10" a="1"/>
  <c r="Y28" i="17"/>
  <c r="AD73" i="1" a="1"/>
  <c r="V90" i="17" a="1"/>
  <c r="AE42" i="1" a="1"/>
  <c r="AE43" i="1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P32" i="1" a="1"/>
  <c r="S65" i="1" a="1"/>
  <c r="H67" i="13" a="1"/>
  <c r="I160" i="11" a="1"/>
  <c r="E203" i="1" a="1"/>
  <c r="E149" i="10" a="1"/>
  <c r="P34" i="1" a="1"/>
  <c r="E152" i="10" a="1"/>
  <c r="E12" i="10" a="1"/>
  <c r="S63" i="1" a="1"/>
  <c r="S51" i="1" a="1"/>
  <c r="I187" i="13" a="1"/>
  <c r="N72" i="1" a="1"/>
  <c r="I168" i="11" a="1"/>
  <c r="G7" i="10" a="1"/>
  <c r="U84" i="10" a="1"/>
  <c r="M65" i="13"/>
  <c r="I155" i="16" a="1"/>
  <c r="L99" i="10" a="1"/>
  <c r="E233" i="16"/>
  <c r="N51" i="1" a="1"/>
  <c r="E202" i="1" a="1"/>
  <c r="W99" i="10" a="1"/>
  <c r="J27" i="10" a="1"/>
  <c r="E270" i="13"/>
  <c r="S72" i="1" a="1"/>
  <c r="N90" i="17" a="1"/>
  <c r="R90" i="17" a="1"/>
  <c r="J208" i="1" a="1"/>
  <c r="S42" i="1" a="1"/>
  <c r="S44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T177" i="11" a="1"/>
  <c r="E247" i="11" a="1"/>
  <c r="X78" i="13"/>
  <c r="X75" i="13"/>
  <c r="X62" i="16"/>
  <c r="X74" i="13"/>
  <c r="E261" i="11" a="1"/>
  <c r="J229" i="16" a="1"/>
  <c r="X76" i="13"/>
  <c r="E244" i="16"/>
  <c r="F52" i="10" a="1"/>
  <c r="W120" i="1" a="1"/>
  <c r="J16" i="1" a="1"/>
  <c r="F45" i="10" a="1"/>
  <c r="X60" i="16"/>
  <c r="F78" i="21"/>
  <c r="X77" i="13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J21" i="1" s="1"/>
  <c r="G84" i="13"/>
  <c r="G83" i="13"/>
  <c r="H68" i="16" a="1"/>
  <c r="H106" i="10" a="1"/>
  <c r="G86" i="13"/>
  <c r="G85" i="13"/>
  <c r="G87" i="13"/>
  <c r="I154" i="10" a="1"/>
  <c r="O84" i="21"/>
  <c r="E230" i="16" a="1"/>
  <c r="E148" i="10" a="1"/>
  <c r="P16" i="1" a="1"/>
  <c r="M66" i="16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H190" i="1"/>
  <c r="AD11" i="1" a="1"/>
  <c r="P17" i="10" a="1"/>
  <c r="U89" i="1" a="1"/>
  <c r="I56" i="10" a="1"/>
  <c r="J20" i="1" a="1"/>
  <c r="AD8" i="1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U66" i="10" a="1"/>
  <c r="U183" i="11" a="1"/>
  <c r="E134" i="10" a="1"/>
  <c r="E150" i="10" a="1"/>
  <c r="P20" i="1" a="1"/>
  <c r="M164" i="16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I7" i="1" a="1"/>
  <c r="E243" i="16" a="1"/>
  <c r="U101" i="10" a="1"/>
  <c r="E12" i="1" a="1"/>
  <c r="AD104" i="1" a="1"/>
  <c r="P164" i="16"/>
  <c r="M196" i="13" a="1"/>
  <c r="U184" i="11" a="1"/>
  <c r="U70" i="10" a="1"/>
  <c r="P165" i="16"/>
  <c r="AF57" i="1" l="1"/>
  <c r="AG57" i="1" s="1"/>
  <c r="AH57" i="1" s="1"/>
  <c r="M196" i="13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U193" i="11" a="1"/>
  <c r="U75" i="10" a="1"/>
  <c r="I61" i="10" a="1"/>
  <c r="J27" i="1" a="1"/>
  <c r="P197" i="13"/>
  <c r="P196" i="13"/>
  <c r="U171" i="16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H136" i="10" a="1"/>
  <c r="P29" i="1" a="1"/>
  <c r="U80" i="10" a="1"/>
  <c r="P26" i="1" a="1"/>
  <c r="U203" i="13" a="1"/>
  <c r="E151" i="10" a="1"/>
  <c r="H194" i="1" a="1"/>
  <c r="F139" i="10" a="1"/>
  <c r="U181" i="16" a="1"/>
  <c r="U180" i="16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Y63" i="10" a="1"/>
  <c r="U213" i="13" a="1"/>
  <c r="U194" i="11" a="1"/>
  <c r="U212" i="13" a="1"/>
  <c r="F140" i="10" a="1"/>
  <c r="E137" i="10" a="1"/>
  <c r="F138" i="10" a="1"/>
  <c r="J63" i="10" a="1"/>
  <c r="U9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D66" i="1" a="1"/>
  <c r="U88" i="1" a="1"/>
  <c r="D66" i="1" l="1"/>
  <c r="H193" i="1"/>
  <c r="D70" i="1"/>
  <c r="F59" i="1" s="1"/>
  <c r="U88" i="1"/>
  <c r="AD88" i="1"/>
  <c r="O93" i="1"/>
  <c r="L119" i="1"/>
  <c r="U139" i="1"/>
  <c r="U127" i="1"/>
  <c r="D72" i="1" a="1"/>
  <c r="L120" i="1" a="1"/>
  <c r="U93" i="1" a="1"/>
  <c r="J211" i="1" l="1"/>
  <c r="J212" i="1"/>
  <c r="D72" i="1"/>
  <c r="L120" i="1"/>
  <c r="U93" i="1"/>
  <c r="E206" i="1" a="1"/>
  <c r="V133" i="1" a="1"/>
  <c r="U103" i="1" a="1"/>
  <c r="V133" i="1" l="1"/>
  <c r="E206" i="1"/>
  <c r="AD81" i="1"/>
  <c r="U103" i="1"/>
  <c r="P18" i="1" a="1"/>
  <c r="X133" i="1"/>
  <c r="P219" i="1" a="1"/>
  <c r="AD82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J209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E207" i="1" a="1"/>
  <c r="I138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H118" i="10" a="1"/>
  <c r="U87" i="1" a="1"/>
  <c r="E159" i="10" a="1"/>
  <c r="E216" i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U122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F198" i="1"/>
  <c r="U99" i="1" a="1"/>
  <c r="H191" i="1"/>
  <c r="F197" i="1" a="1"/>
  <c r="T149" i="1" a="1"/>
  <c r="E231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U112" i="1" a="1"/>
  <c r="V84" i="1" a="1"/>
  <c r="E195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D129" i="25" a="1"/>
  <c r="K122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  <c r="L90" i="2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<sst xmlns="http://schemas.openxmlformats.org/spreadsheetml/2006/main" count="2860" uniqueCount="863">
  <si>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</si>
  <si>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</si>
  <si>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</si>
  <si>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</si>
  <si>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</si>
  <si>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</si>
  <si>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</si>
  <si>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</si>
  <si>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</si>
  <si>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</si>
  <si>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</si>
  <si>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</si>
  <si>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</si>
  <si>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</si>
  <si>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</si>
  <si>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</si>
  <si>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</si>
  <si>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</si>
  <si>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</si>
  <si>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</si>
  <si>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</si>
  <si>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</si>
  <si>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</si>
  <si>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</si>
  <si>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</si>
  <si>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</si>
  <si>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</si>
  <si>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</si>
  <si>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</si>
  <si>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</si>
  <si>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</si>
  <si>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</si>
  <si>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</si>
  <si>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</si>
  <si>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</si>
  <si>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</si>
  <si>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</si>
  <si>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</si>
  <si>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</si>
  <si>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</si>
  <si>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</si>
  <si>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</si>
  <si>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</si>
  <si>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</si>
  <si>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</si>
  <si>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</si>
  <si>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</si>
  <si>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</si>
  <si>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</si>
  <si>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</si>
  <si>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</si>
  <si>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</si>
  <si>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</si>
  <si>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</si>
  <si>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</si>
  <si>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</si>
  <si>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</si>
  <si>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</si>
  <si>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</si>
  <si>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</si>
  <si>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</si>
  <si>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</si>
  <si>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</si>
  <si>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</si>
  <si>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</si>
  <si>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</si>
  <si>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</si>
  <si>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</si>
  <si>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</si>
  <si>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</si>
  <si>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</si>
  <si>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</si>
  <si>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</si>
  <si>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</si>
  <si>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</si>
  <si>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</si>
  <si>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</si>
  <si>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</si>
  <si>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</si>
  <si>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</si>
  <si>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</si>
  <si>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</si>
  <si>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</si>
  <si>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</si>
  <si>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</si>
  <si>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</si>
  <si>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</si>
  <si>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</si>
  <si>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</si>
  <si>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</si>
  <si>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</si>
  <si>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</si>
  <si>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</si>
  <si>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</si>
  <si>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</si>
  <si>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</si>
  <si>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</si>
  <si>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</si>
  <si>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</si>
  <si>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</si>
  <si>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</si>
  <si>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</si>
  <si>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</si>
  <si>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</si>
  <si>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</si>
  <si>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</si>
  <si>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</si>
  <si>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</si>
  <si>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</si>
  <si>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</si>
  <si>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</si>
  <si>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</si>
  <si>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</si>
  <si>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</si>
  <si>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</si>
  <si>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</si>
  <si>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</si>
  <si>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</si>
  <si>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</si>
  <si>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</si>
  <si>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</si>
  <si>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</si>
  <si>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</si>
  <si>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</si>
  <si>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</si>
  <si>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</si>
  <si>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</si>
  <si>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</si>
  <si>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</si>
  <si>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</si>
  <si>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</si>
  <si>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</si>
  <si>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</si>
  <si>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</si>
  <si>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</si>
  <si>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</si>
  <si>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</si>
  <si>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</si>
  <si>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</si>
  <si>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</si>
  <si>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</si>
  <si>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</si>
  <si>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</si>
  <si>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</si>
  <si>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</si>
  <si>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</si>
  <si>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</si>
  <si>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</si>
  <si>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</si>
  <si>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</si>
  <si>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</si>
  <si>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</si>
  <si>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</si>
  <si>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</si>
  <si>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</si>
  <si>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</si>
  <si>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</si>
  <si>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</si>
  <si>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</si>
  <si>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</si>
  <si>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</si>
  <si>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</si>
  <si>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</si>
  <si>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</si>
  <si>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</si>
  <si>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</si>
  <si>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</si>
  <si>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</si>
  <si>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</si>
  <si>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</si>
  <si>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</si>
  <si>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</si>
  <si>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</si>
  <si>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</si>
  <si>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</si>
  <si>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</si>
  <si>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</si>
  <si>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</si>
  <si>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</si>
  <si>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</si>
  <si>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</si>
  <si>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</si>
  <si>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</si>
  <si>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</si>
  <si>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</si>
  <si>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</si>
  <si>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</si>
  <si>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</si>
  <si>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</si>
  <si>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</si>
  <si>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</si>
  <si>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</si>
  <si>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</si>
  <si>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</si>
  <si>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</si>
  <si>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</si>
  <si>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</si>
  <si>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</si>
  <si>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</si>
  <si>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</si>
  <si>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</si>
  <si>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</si>
  <si>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</si>
  <si>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</si>
  <si>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</si>
  <si>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</si>
  <si>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</si>
  <si>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</si>
  <si>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</si>
  <si>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</si>
  <si>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</si>
  <si>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</si>
  <si>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</si>
  <si>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</si>
  <si>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</si>
  <si>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</si>
  <si>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</si>
  <si>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</si>
  <si>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</si>
  <si>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</si>
  <si>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</si>
  <si>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</si>
  <si>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</si>
  <si>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</si>
  <si>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</si>
  <si>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</si>
  <si>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</si>
  <si>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</si>
  <si>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</si>
  <si>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</si>
  <si>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</si>
  <si>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</si>
  <si>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</si>
  <si>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</si>
  <si>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</si>
  <si>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</si>
  <si>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</si>
  <si>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</si>
  <si>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</si>
  <si>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</si>
  <si>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</si>
  <si>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</si>
  <si>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</si>
  <si>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</si>
  <si>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</si>
  <si>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</si>
  <si>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</si>
  <si>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</si>
  <si>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</si>
  <si>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</si>
  <si>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</si>
  <si>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</si>
  <si>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</si>
  <si>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</si>
  <si>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</si>
  <si>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</si>
  <si>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</si>
  <si>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</si>
  <si>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</si>
  <si>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</si>
  <si>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</si>
  <si>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</si>
  <si>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</si>
  <si>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</si>
  <si>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</si>
  <si>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</si>
  <si>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</si>
  <si>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</si>
  <si>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</si>
  <si>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</si>
  <si>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</si>
  <si>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</si>
  <si>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</si>
  <si>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</si>
  <si>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</si>
  <si>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</si>
  <si>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</si>
  <si>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</si>
  <si>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</si>
  <si>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</si>
  <si>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</si>
  <si>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</si>
  <si>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</si>
  <si>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</si>
  <si>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</si>
  <si>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</si>
  <si>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</si>
  <si>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</si>
  <si>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</si>
  <si>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</si>
  <si>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</si>
  <si>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</si>
  <si>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</si>
  <si>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</si>
  <si>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</si>
  <si>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</si>
  <si>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</si>
  <si>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</si>
  <si>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</si>
  <si>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</si>
  <si>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</si>
  <si>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</si>
  <si>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</si>
  <si>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</si>
  <si>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</si>
  <si>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</si>
  <si>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</si>
  <si>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</si>
  <si>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</si>
  <si>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</si>
  <si>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</si>
  <si>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</si>
  <si>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</si>
  <si>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</si>
  <si>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</si>
  <si>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</si>
  <si>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</si>
  <si>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</si>
  <si>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</si>
  <si>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</si>
  <si>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</si>
  <si>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</si>
  <si>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</si>
  <si>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</si>
  <si>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</si>
  <si>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</si>
  <si>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</si>
  <si>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</si>
  <si>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</si>
  <si>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</si>
  <si>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</si>
  <si>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</si>
  <si>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</si>
  <si>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</si>
  <si>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</si>
  <si>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</si>
  <si>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</si>
  <si>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</si>
  <si>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</si>
  <si>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</si>
  <si>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</si>
  <si>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</si>
  <si>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</si>
  <si>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</si>
  <si>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</si>
  <si>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</si>
  <si>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</si>
  <si>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</si>
  <si>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</si>
  <si>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</si>
  <si>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</si>
  <si>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</si>
  <si>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</si>
  <si>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</si>
  <si>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</si>
  <si>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</si>
  <si>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</si>
  <si>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</si>
  <si>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</si>
  <si>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</si>
  <si>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</si>
  <si>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</si>
  <si>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</si>
  <si>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</si>
  <si>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</si>
  <si>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</si>
  <si>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</si>
  <si>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</si>
  <si>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</si>
  <si>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</si>
  <si>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</si>
  <si>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</si>
  <si>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</si>
  <si>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</si>
  <si>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</si>
  <si>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</si>
  <si>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</si>
  <si>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</si>
  <si>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</si>
  <si>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</si>
  <si>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</si>
  <si>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</si>
  <si>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</si>
  <si>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</si>
  <si>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</si>
  <si>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</si>
  <si>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</si>
  <si>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</si>
  <si>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</si>
  <si>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</si>
  <si>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</si>
  <si>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</si>
  <si>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</si>
  <si>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</si>
  <si>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</si>
  <si>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</si>
  <si>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</si>
  <si>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</si>
  <si>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</si>
  <si>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</si>
  <si>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</si>
  <si>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</si>
  <si>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</si>
  <si>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</si>
  <si>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</si>
  <si>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</si>
  <si>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</si>
  <si>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</si>
  <si>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</si>
  <si>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</si>
  <si>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</si>
  <si>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</si>
  <si>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</si>
  <si>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</si>
  <si>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</si>
  <si>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</si>
  <si>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</si>
  <si>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</si>
  <si>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</si>
  <si>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</si>
  <si>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</si>
  <si>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</si>
  <si>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</si>
  <si>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</si>
  <si>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</si>
  <si>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</si>
  <si>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</si>
  <si>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</si>
  <si>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</si>
  <si>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</si>
  <si>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</si>
  <si>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</si>
  <si>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</si>
  <si>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</si>
  <si>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</si>
  <si>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</si>
  <si>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</si>
  <si>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</si>
  <si>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</si>
  <si>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</si>
  <si>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</si>
  <si>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</si>
  <si>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</si>
  <si>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</si>
  <si>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</si>
  <si>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</si>
  <si>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</si>
  <si>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</si>
  <si>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</si>
  <si>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</si>
  <si>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</si>
  <si>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</si>
  <si>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</si>
  <si>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</si>
  <si>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</si>
  <si>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</si>
  <si>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</si>
  <si>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</si>
  <si>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</si>
  <si>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</si>
  <si>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</si>
  <si>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</si>
  <si>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</si>
  <si>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</si>
  <si>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</si>
  <si>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</si>
  <si>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</si>
  <si>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</si>
  <si>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</si>
  <si>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</si>
  <si>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</si>
  <si>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</si>
  <si>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</si>
  <si>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</si>
  <si>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</si>
  <si>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</si>
  <si>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</si>
  <si>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</si>
  <si>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</si>
  <si>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</si>
  <si>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</si>
  <si>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</si>
  <si>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</si>
  <si>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</si>
  <si>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</si>
  <si>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</si>
  <si>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</si>
  <si>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</si>
  <si>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</si>
  <si>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</si>
  <si>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</si>
  <si>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</si>
  <si>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</si>
  <si>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</si>
  <si>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</si>
  <si>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</si>
  <si>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</si>
  <si>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</si>
  <si>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</si>
  <si>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</si>
  <si>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</si>
  <si>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</si>
  <si>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</si>
  <si>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</si>
  <si>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</si>
  <si>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</si>
  <si>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</si>
  <si>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</si>
  <si>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</si>
  <si>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</si>
  <si>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</si>
  <si>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</si>
  <si>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</si>
  <si>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</si>
  <si>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</si>
  <si>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</si>
  <si>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</si>
  <si>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</si>
  <si>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</si>
  <si>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</si>
  <si>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</si>
  <si>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</si>
  <si>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</si>
  <si>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</si>
  <si>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</si>
  <si>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</si>
  <si>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</si>
  <si>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</si>
  <si>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</si>
  <si>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</si>
  <si>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</si>
  <si>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</si>
  <si>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</si>
  <si>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</si>
  <si>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</si>
  <si>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</si>
  <si>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</si>
  <si>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</si>
  <si>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</si>
  <si>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</si>
  <si>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</si>
  <si>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</si>
  <si>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</si>
  <si>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</si>
  <si>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</si>
  <si>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</si>
  <si>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</si>
  <si>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</si>
  <si>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</si>
  <si>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</si>
  <si>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</si>
  <si>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</si>
  <si>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</si>
  <si>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</si>
  <si>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</si>
  <si>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</si>
  <si>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</si>
  <si>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</si>
  <si>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</si>
  <si>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</si>
  <si>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</si>
  <si>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</si>
  <si>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</si>
  <si>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</si>
  <si>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</si>
  <si>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</si>
  <si>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</si>
  <si>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</si>
  <si>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</si>
  <si>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</si>
  <si>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</si>
  <si>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</si>
  <si>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</si>
  <si>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</si>
  <si>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</si>
  <si>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</si>
  <si>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</si>
  <si>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</si>
  <si>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</si>
  <si>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</si>
  <si>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</si>
  <si>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</si>
  <si>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</si>
  <si>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</si>
  <si>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</si>
  <si>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</si>
  <si>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</si>
  <si>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</si>
  <si>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</si>
  <si>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</si>
  <si>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</si>
  <si>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</si>
  <si>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</si>
  <si>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</si>
  <si>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</si>
  <si>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</si>
  <si>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</si>
  <si>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</si>
  <si>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</si>
  <si>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</si>
  <si>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</si>
  <si>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</si>
  <si>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</si>
  <si>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</si>
  <si>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</si>
  <si>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</si>
  <si>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</si>
  <si>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</si>
  <si>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</si>
  <si>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</si>
  <si>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</si>
  <si>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</si>
  <si>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</si>
  <si>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</si>
  <si>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</si>
  <si>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</si>
  <si>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</si>
  <si>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</si>
  <si>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</si>
  <si>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</si>
  <si>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</si>
  <si>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</si>
  <si>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</si>
  <si>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</si>
  <si>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</si>
  <si>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</si>
  <si>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</si>
  <si>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</si>
  <si>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</si>
  <si>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</si>
  <si>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</si>
  <si>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</si>
  <si>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</si>
  <si>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</si>
  <si>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</si>
  <si>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</si>
  <si>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</si>
  <si>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</si>
  <si>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</si>
  <si>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</si>
  <si>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</si>
  <si>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</si>
  <si>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</si>
  <si>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</si>
  <si>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</si>
  <si>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</si>
  <si>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</si>
  <si>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</si>
  <si>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</si>
  <si>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</si>
  <si>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</si>
  <si>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</si>
  <si>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</si>
  <si>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</si>
  <si>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</si>
  <si>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</si>
  <si>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</si>
  <si>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</si>
  <si>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</si>
  <si>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</si>
  <si>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</si>
  <si>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</si>
  <si>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</si>
  <si>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</si>
  <si>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</si>
  <si>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</si>
  <si>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</si>
  <si>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</si>
  <si>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</si>
  <si>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</si>
  <si>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</si>
  <si>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</si>
  <si>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</si>
  <si>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</si>
  <si>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</si>
  <si>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</si>
  <si>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</si>
  <si>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</si>
  <si>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</si>
  <si>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</si>
  <si>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</si>
  <si>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</si>
  <si>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</si>
  <si>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</si>
  <si>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</si>
  <si>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</si>
  <si>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</si>
  <si>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</si>
  <si>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</si>
  <si>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</si>
  <si>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</si>
  <si>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</si>
  <si>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</si>
  <si>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</si>
  <si>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</si>
  <si>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</si>
  <si>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</si>
  <si>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</si>
  <si>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</si>
  <si>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</si>
  <si>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</si>
  <si>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</si>
  <si>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</si>
  <si>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</si>
  <si>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</si>
  <si>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</si>
  <si>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</si>
  <si>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</si>
  <si>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</si>
  <si>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</si>
  <si>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</si>
  <si>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</si>
  <si>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</si>
  <si>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</si>
  <si>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</si>
  <si>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</si>
  <si>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</si>
  <si>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</si>
  <si>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</si>
  <si>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</si>
  <si>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</si>
  <si>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</si>
  <si>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</si>
  <si>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</si>
  <si>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</si>
  <si>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</si>
  <si>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</si>
  <si>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</si>
  <si>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</si>
  <si>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</si>
  <si>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</si>
  <si>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</si>
  <si>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</si>
  <si>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</si>
  <si>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</si>
  <si>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</si>
  <si>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</si>
  <si>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</si>
  <si>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</si>
  <si>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</si>
  <si>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</si>
  <si>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</si>
  <si>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</si>
  <si>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</si>
  <si>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</si>
  <si>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</si>
  <si>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</si>
  <si>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</si>
  <si>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</si>
  <si>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</si>
  <si>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</si>
  <si>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</si>
  <si>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</si>
  <si>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</si>
  <si>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</si>
  <si>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</si>
  <si>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</si>
  <si>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</si>
  <si>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</si>
  <si>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</si>
  <si>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</si>
  <si>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</si>
  <si>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</si>
  <si>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</si>
  <si>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</si>
  <si>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</si>
  <si>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</si>
  <si>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</si>
  <si>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</si>
  <si>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</si>
  <si>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</si>
  <si>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</si>
  <si>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</si>
  <si>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</si>
  <si>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</si>
  <si>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</si>
  <si>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</si>
  <si>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</si>
  <si>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</si>
  <si>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</si>
  <si>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</si>
  <si>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</si>
  <si>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</si>
  <si>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</si>
  <si>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</si>
  <si>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</si>
  <si>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</si>
  <si>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</si>
  <si>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</si>
  <si>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</si>
  <si>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</si>
  <si>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</si>
  <si>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</si>
  <si>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</si>
  <si>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</si>
  <si>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</si>
  <si>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6:0</t>
  </si>
  <si>
    <t>17:43</t>
  </si>
  <si>
    <t>0°08</t>
  </si>
  <si>
    <t>64°44'</t>
  </si>
  <si>
    <t>Python Path</t>
  </si>
  <si>
    <t>Python Script</t>
  </si>
  <si>
    <t>DEC</t>
  </si>
  <si>
    <t>27/0/2025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</si>
  <si>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</si>
  <si>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</si>
  <si>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</si>
  <si>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</si>
  <si>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</si>
  <si>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</si>
  <si>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</si>
  <si>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</si>
  <si>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</si>
  <si>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</si>
  <si>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</si>
  <si>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</si>
  <si>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</si>
  <si>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</si>
  <si>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</si>
  <si>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</si>
  <si>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</si>
  <si>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</si>
  <si>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</si>
  <si>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</si>
  <si>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</si>
  <si>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</si>
  <si>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</si>
  <si>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</si>
  <si>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</si>
  <si>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</si>
  <si>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</si>
  <si>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</si>
  <si>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</si>
  <si>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</si>
  <si>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</si>
  <si>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</si>
  <si>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</si>
  <si>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</si>
  <si>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</si>
  <si>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</si>
  <si>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</si>
  <si>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</si>
  <si>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</si>
  <si>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</si>
  <si>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</si>
  <si>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</si>
  <si>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</si>
  <si>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</si>
  <si>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</si>
  <si>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</si>
  <si>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</si>
  <si>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</si>
  <si>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</si>
  <si>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</si>
  <si>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</si>
  <si>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</si>
  <si>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</si>
  <si>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</si>
  <si>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</si>
  <si>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</si>
  <si>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</si>
  <si>
    <t>25/9/2025</t>
  </si>
  <si>
    <t>min/an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</si>
</sst>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  <numFmt numFmtId="172" formatCode="0.000000000000"/>
  </numFmts>
  <fonts count="10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92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60" xfId="1" applyNumberFormat="1" applyBorder="1" applyAlignment="1"/>
    <xf numFmtId="165" fontId="1" fillId="2" borderId="161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70" fontId="0" fillId="0" borderId="0" xfId="0" applyNumberFormat="1"/>
    <xf numFmtId="172" fontId="0" fillId="0" borderId="0" xfId="0" applyNumberFormat="1"/>
    <xf numFmtId="1" fontId="25" fillId="10" borderId="49" xfId="0" applyNumberFormat="1" applyFont="1" applyFill="1" applyBorder="1" applyAlignment="1">
      <alignment horizontal="center" vertical="center"/>
    </xf>
    <xf numFmtId="165" fontId="33" fillId="10" borderId="89" xfId="0" quotePrefix="1" applyNumberFormat="1" applyFont="1" applyFill="1" applyBorder="1" applyAlignment="1">
      <alignment horizontal="center"/>
    </xf>
    <xf numFmtId="170" fontId="33" fillId="10" borderId="50" xfId="0" quotePrefix="1" applyNumberFormat="1" applyFont="1" applyFill="1" applyBorder="1" applyAlignment="1">
      <alignment horizontal="center"/>
    </xf>
    <xf numFmtId="0" fontId="38" fillId="51" borderId="0" xfId="0" applyFont="1" applyFill="1"/>
    <xf numFmtId="0" fontId="97" fillId="0" borderId="0" xfId="0" applyFont="1"/>
    <xf numFmtId="0" fontId="77" fillId="0" borderId="0" xfId="0" applyFont="1"/>
    <xf numFmtId="165" fontId="10" fillId="0" borderId="22" xfId="0" applyNumberFormat="1" applyFont="1" applyBorder="1"/>
    <xf numFmtId="165" fontId="4" fillId="3" borderId="0" xfId="3" applyNumberFormat="1" applyFill="1" applyBorder="1" applyAlignment="1" applyProtection="1"/>
    <xf numFmtId="165" fontId="10" fillId="21" borderId="14" xfId="0" applyNumberFormat="1" applyFont="1" applyFill="1" applyBorder="1"/>
    <xf numFmtId="0" fontId="0" fillId="38" borderId="2" xfId="0" applyFill="1" applyBorder="1"/>
    <xf numFmtId="165" fontId="10" fillId="0" borderId="0" xfId="0" applyNumberFormat="1" applyFont="1" applyAlignment="1">
      <alignment wrapText="1"/>
    </xf>
    <xf numFmtId="0" fontId="18" fillId="0" borderId="0" xfId="0" applyFont="1" applyAlignment="1">
      <alignment horizontal="center" vertical="center"/>
    </xf>
    <xf numFmtId="165" fontId="56" fillId="4" borderId="2" xfId="0" applyNumberFormat="1" applyFont="1" applyFill="1" applyBorder="1" applyAlignment="1">
      <alignment horizontal="center" textRotation="255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71" fillId="4" borderId="2" xfId="0" applyNumberFormat="1" applyFont="1" applyFill="1" applyBorder="1" applyAlignment="1">
      <alignment horizontal="center" textRotation="255"/>
    </xf>
    <xf numFmtId="165" fontId="15" fillId="2" borderId="2" xfId="1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6" fillId="6" borderId="39" xfId="4" applyNumberFormat="1" applyBorder="1" applyAlignment="1" applyProtection="1">
      <alignment horizontal="center"/>
    </xf>
    <xf numFmtId="0" fontId="0" fillId="4" borderId="29" xfId="0" applyFill="1" applyBorder="1" applyAlignment="1">
      <alignment horizontal="center"/>
    </xf>
    <xf numFmtId="165" fontId="0" fillId="4" borderId="2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8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/>
    </xf>
    <xf numFmtId="165" fontId="22" fillId="6" borderId="40" xfId="4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 vertical="center"/>
    </xf>
    <xf numFmtId="165" fontId="82" fillId="44" borderId="23" xfId="0" applyNumberFormat="1" applyFont="1" applyFill="1" applyBorder="1" applyAlignment="1">
      <alignment horizontal="center"/>
    </xf>
    <xf numFmtId="165" fontId="82" fillId="44" borderId="2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56" fillId="27" borderId="2" xfId="0" applyFont="1" applyFill="1" applyBorder="1" applyAlignment="1">
      <alignment horizontal="center"/>
    </xf>
    <xf numFmtId="165" fontId="56" fillId="27" borderId="2" xfId="0" applyNumberFormat="1" applyFont="1" applyFill="1" applyBorder="1" applyAlignment="1">
      <alignment horizont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/>
    </xf>
    <xf numFmtId="165" fontId="22" fillId="6" borderId="24" xfId="4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5" fontId="3" fillId="13" borderId="1" xfId="2" applyNumberFormat="1" applyAlignment="1" applyProtection="1">
      <alignment horizontal="center"/>
      <protection locked="0"/>
    </xf>
    <xf numFmtId="165" fontId="20" fillId="11" borderId="2" xfId="6" applyNumberFormat="1" applyFont="1" applyBorder="1" applyAlignment="1" applyProtection="1">
      <alignment horizontal="center"/>
    </xf>
    <xf numFmtId="165" fontId="10" fillId="0" borderId="0" xfId="0" applyNumberFormat="1" applyFont="1" applyAlignment="1">
      <alignment horizontal="center"/>
    </xf>
    <xf numFmtId="165" fontId="15" fillId="2" borderId="35" xfId="1" applyNumberFormat="1" applyFont="1" applyBorder="1" applyAlignment="1" applyProtection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5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13" xfId="1" applyNumberFormat="1" applyFont="1" applyBorder="1" applyAlignment="1" applyProtection="1">
      <alignment horizontal="center"/>
    </xf>
    <xf numFmtId="165" fontId="57" fillId="27" borderId="2" xfId="0" applyNumberFormat="1" applyFont="1" applyFill="1" applyBorder="1" applyAlignment="1">
      <alignment horizontal="center" vertic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165" fontId="6" fillId="6" borderId="79" xfId="4" applyNumberForma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5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8" fillId="0" borderId="0" xfId="0" applyFont="1"/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5" fontId="22" fillId="6" borderId="24" xfId="4" applyNumberFormat="1" applyFont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165" fontId="15" fillId="2" borderId="153" xfId="1" applyNumberFormat="1" applyFont="1" applyBorder="1" applyAlignment="1" applyProtection="1">
      <alignment horizontal="center"/>
    </xf>
    <xf numFmtId="165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9" borderId="0" xfId="0" applyNumberFormat="1" applyFont="1" applyFill="1" applyAlignment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5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69" fillId="4" borderId="2" xfId="0" applyNumberFormat="1" applyFont="1" applyFill="1" applyBorder="1" applyAlignment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0" fontId="23" fillId="7" borderId="58" xfId="5" applyFont="1" applyBorder="1" applyAlignment="1" applyProtection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5" fontId="15" fillId="2" borderId="2" xfId="1" applyNumberFormat="1" applyFont="1" applyBorder="1" applyAlignment="1" applyProtection="1">
      <alignment horizontal="left"/>
    </xf>
    <xf numFmtId="167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5" fontId="0" fillId="3" borderId="25" xfId="5" applyNumberFormat="1" applyFont="1" applyFill="1" applyAlignment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71" fillId="0" borderId="2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0" borderId="88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71" fillId="37" borderId="89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71" fillId="46" borderId="25" xfId="5" applyNumberFormat="1" applyFont="1" applyFill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0" borderId="5" xfId="0" applyNumberFormat="1" applyFont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7" borderId="2" xfId="5" quotePrefix="1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56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5" fillId="11" borderId="2" xfId="6" applyNumberFormat="1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17" fillId="2" borderId="2" xfId="1" applyNumberFormat="1" applyFont="1" applyBorder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7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8" xfId="4" applyNumberFormat="1" applyBorder="1" applyAlignment="1" applyProtection="1">
      <alignment horizontal="center" vertical="center"/>
    </xf>
    <xf numFmtId="165" fontId="6" fillId="6" borderId="159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94" fillId="6" borderId="24" xfId="4" applyFont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5" fontId="13" fillId="9" borderId="14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" fillId="2" borderId="43" xfId="1" applyNumberFormat="1" applyBorder="1" applyAlignment="1">
      <alignment horizontal="center"/>
    </xf>
    <xf numFmtId="165" fontId="1" fillId="2" borderId="18" xfId="1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2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0" fontId="3" fillId="13" borderId="2" xfId="2" quotePrefix="1" applyBorder="1" applyAlignment="1" applyProtection="1">
      <alignment horizontal="center"/>
      <protection locked="0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3" fillId="13" borderId="2" xfId="2" applyNumberFormat="1" applyBorder="1" applyAlignment="1" applyProtection="1">
      <alignment horizontal="center"/>
    </xf>
    <xf numFmtId="165" fontId="6" fillId="6" borderId="24" xfId="4" applyNumberFormat="1" applyAlignment="1">
      <alignment horizontal="center"/>
    </xf>
    <xf numFmtId="0" fontId="1" fillId="2" borderId="2" xfId="1" applyBorder="1" applyAlignment="1">
      <alignment horizontal="center" vertical="center"/>
    </xf>
    <xf numFmtId="0" fontId="6" fillId="6" borderId="24" xfId="4" applyAlignment="1">
      <alignment horizont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165" fontId="1" fillId="2" borderId="13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165" fontId="6" fillId="6" borderId="40" xfId="4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4" fillId="5" borderId="2" xfId="3" applyBorder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55" xfId="1" applyNumberFormat="1" applyBorder="1" applyAlignment="1">
      <alignment horizontal="center"/>
    </xf>
    <xf numFmtId="0" fontId="87" fillId="50" borderId="0" xfId="13" quotePrefix="1" applyAlignment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0" fontId="4" fillId="5" borderId="2" xfId="3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 applyProtection="1">
      <alignment horizontal="center" vertical="center"/>
    </xf>
    <xf numFmtId="0" fontId="95" fillId="51" borderId="0" xfId="0" applyFont="1" applyFill="1" applyAlignment="1">
      <alignment horizontal="center"/>
    </xf>
    <xf numFmtId="165" fontId="21" fillId="21" borderId="15" xfId="3" applyNumberFormat="1" applyFont="1" applyFill="1" applyBorder="1" applyAlignment="1" applyProtection="1">
      <alignment horizontal="center"/>
    </xf>
    <xf numFmtId="165" fontId="20" fillId="21" borderId="15" xfId="6" applyNumberFormat="1" applyFont="1" applyFill="1" applyBorder="1" applyAlignment="1" applyProtection="1">
      <alignment horizontal="center"/>
    </xf>
    <xf numFmtId="0" fontId="10" fillId="15" borderId="29" xfId="8" applyFont="1" applyBorder="1" applyAlignment="1" applyProtection="1">
      <alignment horizontal="right" vertical="center"/>
    </xf>
    <xf numFmtId="0" fontId="10" fillId="15" borderId="2" xfId="8" applyFont="1" applyBorder="1" applyAlignment="1" applyProtection="1">
      <alignment horizontal="center"/>
    </xf>
    <xf numFmtId="165" fontId="10" fillId="15" borderId="98" xfId="8" applyNumberFormat="1" applyFont="1" applyBorder="1" applyAlignment="1" applyProtection="1">
      <alignment horizontal="center"/>
    </xf>
    <xf numFmtId="165" fontId="10" fillId="15" borderId="99" xfId="8" applyNumberFormat="1" applyFont="1" applyBorder="1" applyAlignment="1" applyProtection="1">
      <alignment horizontal="center"/>
    </xf>
    <xf numFmtId="165" fontId="10" fillId="9" borderId="103" xfId="0" applyNumberFormat="1" applyFon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158" xfId="0" applyNumberForma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9" fillId="13" borderId="80" xfId="2" quotePrefix="1" applyNumberFormat="1" applyFont="1" applyBorder="1" applyAlignment="1" applyProtection="1">
      <alignment horizontal="center" vertical="center"/>
      <protection locked="0"/>
    </xf>
    <xf numFmtId="49" fontId="19" fillId="13" borderId="17" xfId="2" quotePrefix="1" applyNumberFormat="1" applyFont="1" applyBorder="1" applyAlignment="1" applyProtection="1">
      <alignment horizontal="center" vertical="center"/>
      <protection locked="0"/>
    </xf>
    <xf numFmtId="49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165" fontId="0" fillId="7" borderId="25" xfId="5" applyNumberFormat="1" applyFont="1" applyAlignment="1">
      <alignment horizont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165" fontId="25" fillId="10" borderId="91" xfId="0" applyNumberFormat="1" applyFont="1" applyFill="1" applyBorder="1" applyAlignment="1">
      <alignment horizontal="center" vertical="center"/>
    </xf>
    <xf numFmtId="165" fontId="25" fillId="10" borderId="106" xfId="0" applyNumberFormat="1" applyFont="1" applyFill="1" applyBorder="1" applyAlignment="1">
      <alignment horizontal="center" vertical="center"/>
    </xf>
    <xf numFmtId="165" fontId="25" fillId="10" borderId="92" xfId="0" applyNumberFormat="1" applyFont="1" applyFill="1" applyBorder="1" applyAlignment="1">
      <alignment horizontal="center" vertical="center"/>
    </xf>
    <xf numFmtId="165" fontId="25" fillId="10" borderId="12" xfId="0" applyNumberFormat="1" applyFont="1" applyFill="1" applyBorder="1" applyAlignment="1">
      <alignment horizontal="center" vertical="center"/>
    </xf>
    <xf numFmtId="0" fontId="93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6" fillId="0" borderId="2" xfId="12" applyBorder="1" applyAlignment="1">
      <alignment horizontal="center"/>
    </xf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00FF00"/>
      <color rgb="FFD5FFDA"/>
      <color rgb="FFEBFFED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107463</xdr:rowOff>
    </xdr:from>
    <xdr:to>
      <xdr:col>16</xdr:col>
      <xdr:colOff>142875</xdr:colOff>
      <xdr:row>129</xdr:row>
      <xdr:rowOff>195387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7672813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169312</xdr:colOff>
      <xdr:row>125</xdr:row>
      <xdr:rowOff>160972</xdr:rowOff>
    </xdr:from>
    <xdr:to>
      <xdr:col>16</xdr:col>
      <xdr:colOff>241791</xdr:colOff>
      <xdr:row>128</xdr:row>
      <xdr:rowOff>90576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60687" y="27154822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48" zoomScaleNormal="100" workbookViewId="0">
      <selection activeCell="P52" sqref="P52"/>
    </sheetView>
  </sheetViews>
  <sheetFormatPr baseColWidth="10"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</row>
    <row r="2" spans="2:66" ht="17.25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</row>
    <row r="3" spans="2:66" ht="17.25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</row>
    <row r="4" spans="2:66" ht="17.25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2024/12/27</v>
      </c>
      <c r="F7" s="94"/>
      <c r="G7" s="95"/>
      <c r="H7" s="96"/>
      <c r="I7" s="94" t="str" cm="1">
        <f t="array" ref="I7">heureDecimal2Txt(E11)</f>
        <v>15:48:59.99(15.8166)</v>
      </c>
      <c r="J7" s="94"/>
      <c r="K7" s="94"/>
      <c r="L7" s="26"/>
      <c r="M7" s="26"/>
      <c r="N7" s="26" t="s">
        <v>316</v>
      </c>
      <c r="O7" s="26"/>
      <c r="P7" s="26"/>
      <c r="Q7" s="26"/>
      <c r="R7" s="26"/>
      <c r="S7" s="26" t="s">
        <v>317</v>
      </c>
      <c r="T7" s="807">
        <f>dateConvert2Decimal(E8)</f>
        <v>1735257600</v>
      </c>
      <c r="U7" s="807"/>
      <c r="V7" s="807"/>
      <c r="W7" s="26" t="s">
        <v>318</v>
      </c>
      <c r="X7" s="783">
        <f>(T7/86400)+DATE(1970,1,1)</f>
        <v>45653</v>
      </c>
      <c r="Y7" s="783"/>
      <c r="Z7" s="26" t="s">
        <v>319</v>
      </c>
      <c r="AA7" s="247">
        <f>INT(MONTH(X7))</f>
        <v>12</v>
      </c>
      <c r="AB7" s="62"/>
    </row>
    <row r="8" spans="2:66" ht="17.25" customHeight="1">
      <c r="C8" s="742" t="s">
        <v>1</v>
      </c>
      <c r="D8" s="743"/>
      <c r="E8" s="780" t="s">
        <v>803</v>
      </c>
      <c r="F8" s="781"/>
      <c r="G8" s="781"/>
      <c r="H8" s="59"/>
      <c r="I8" s="771"/>
      <c r="J8" s="771"/>
      <c r="K8" s="771"/>
      <c r="L8" s="771"/>
      <c r="M8" s="771"/>
      <c r="N8" s="771"/>
      <c r="O8" s="771"/>
      <c r="AC8" s="3" t="s">
        <v>162</v>
      </c>
      <c r="AD8" s="3" cm="1">
        <f t="array" ref="AD8">heureConvert2Decimal(I11)</f>
        <v>17.716666666666665</v>
      </c>
    </row>
    <row r="9" spans="2:66" ht="17.25" customHeight="1" thickBot="1">
      <c r="C9" s="744" t="s">
        <v>11</v>
      </c>
      <c r="D9" s="416"/>
      <c r="E9" s="744" t="s">
        <v>2</v>
      </c>
      <c r="F9" s="752"/>
      <c r="G9" s="752"/>
      <c r="H9" s="416"/>
      <c r="I9" s="651" t="s">
        <v>228</v>
      </c>
      <c r="J9" s="651"/>
      <c r="K9" s="651"/>
      <c r="L9" s="651" t="s">
        <v>224</v>
      </c>
      <c r="M9" s="651"/>
      <c r="N9" s="651"/>
      <c r="O9" s="651"/>
      <c r="P9" s="651"/>
      <c r="Q9" s="651" t="s">
        <v>225</v>
      </c>
      <c r="R9" s="651"/>
      <c r="S9" s="651"/>
      <c r="T9" s="651"/>
      <c r="U9" s="651"/>
      <c r="V9" s="674" t="s">
        <v>122</v>
      </c>
      <c r="W9" s="675"/>
      <c r="X9" s="675"/>
      <c r="Y9" s="676"/>
      <c r="AB9" s="63"/>
      <c r="AC9" s="3" t="s">
        <v>163</v>
      </c>
      <c r="AD9" s="67">
        <f>L11</f>
        <v>-2</v>
      </c>
    </row>
    <row r="10" spans="2:66" ht="17.25" customHeight="1">
      <c r="C10" s="434"/>
      <c r="D10" s="745"/>
      <c r="E10" s="417"/>
      <c r="F10" s="433"/>
      <c r="G10" s="433"/>
      <c r="H10" s="418"/>
      <c r="I10" s="651"/>
      <c r="J10" s="651"/>
      <c r="K10" s="651"/>
      <c r="L10" s="651"/>
      <c r="M10" s="651"/>
      <c r="N10" s="651"/>
      <c r="O10" s="651"/>
      <c r="P10" s="651"/>
      <c r="Q10" s="651"/>
      <c r="R10" s="651"/>
      <c r="S10" s="651"/>
      <c r="T10" s="651"/>
      <c r="U10" s="651"/>
      <c r="V10" s="677"/>
      <c r="W10" s="678"/>
      <c r="X10" s="678"/>
      <c r="Y10" s="679"/>
      <c r="AC10" s="3" t="s">
        <v>164</v>
      </c>
      <c r="AD10" s="3">
        <f>Q11/3600</f>
        <v>0</v>
      </c>
    </row>
    <row r="11" spans="2:66" ht="17.25" customHeight="1" thickBot="1">
      <c r="C11" s="417"/>
      <c r="D11" s="418"/>
      <c r="E11" s="687">
        <f>AD8+AD9+AD10+AD11</f>
        <v>15.816666666666665</v>
      </c>
      <c r="F11" s="688"/>
      <c r="G11" s="688"/>
      <c r="H11" s="689"/>
      <c r="I11" s="680" t="s">
        <v>797</v>
      </c>
      <c r="J11" s="680"/>
      <c r="K11" s="680"/>
      <c r="L11" s="670">
        <v>-2</v>
      </c>
      <c r="M11" s="670"/>
      <c r="N11" s="670"/>
      <c r="O11" s="670"/>
      <c r="P11" s="670"/>
      <c r="Q11" s="670">
        <v>0</v>
      </c>
      <c r="R11" s="670"/>
      <c r="S11" s="670"/>
      <c r="T11" s="670"/>
      <c r="U11" s="671"/>
      <c r="V11" s="669" t="s">
        <v>796</v>
      </c>
      <c r="W11" s="669"/>
      <c r="X11" s="669"/>
      <c r="Y11" s="669"/>
      <c r="AC11" s="3" t="s">
        <v>29</v>
      </c>
      <c r="AD11" s="3" cm="1">
        <f t="array" ref="AD11">heureConvert2Decimal(V11) / 60</f>
        <v>0.1</v>
      </c>
    </row>
    <row r="12" spans="2:66" customFormat="1" ht="17.25" customHeight="1" thickTop="1" thickBot="1">
      <c r="B12" s="16"/>
      <c r="E12" s="681" t="str" cm="1">
        <f t="array" ref="E12">heureDecimal2Txt(E11)</f>
        <v>15:48:59.99(15.8166)</v>
      </c>
      <c r="F12" s="682"/>
      <c r="G12" s="682"/>
      <c r="H12" s="683"/>
      <c r="I12" s="11"/>
      <c r="J12" s="11"/>
      <c r="K12" s="11"/>
      <c r="M12" t="s">
        <v>794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795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61" t="s">
        <v>165</v>
      </c>
      <c r="D15" s="662"/>
      <c r="E15" s="662"/>
      <c r="F15" s="662"/>
      <c r="G15" s="662"/>
      <c r="H15" s="662"/>
      <c r="I15" s="663"/>
      <c r="J15" s="664" t="s">
        <v>166</v>
      </c>
      <c r="K15" s="665"/>
      <c r="L15" s="665"/>
      <c r="M15" s="665"/>
      <c r="N15" s="665"/>
      <c r="O15" s="666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57" t="s">
        <v>127</v>
      </c>
      <c r="D16" s="658"/>
      <c r="E16" s="658"/>
      <c r="F16" s="658"/>
      <c r="G16" s="658"/>
      <c r="H16" s="658"/>
      <c r="I16" s="658"/>
      <c r="J16" s="659" cm="1">
        <f t="array" ref="J16">angleConvert2Decimal(M16)</f>
        <v>64.733333333333334</v>
      </c>
      <c r="K16" s="660"/>
      <c r="L16" s="660"/>
      <c r="M16" s="672" t="s">
        <v>799</v>
      </c>
      <c r="N16" s="673"/>
      <c r="O16" s="673"/>
      <c r="P16" s="472" t="str" cm="1">
        <f t="array" ref="P16">angleDecimal2Txt(J16)</f>
        <v>+64°44.00 (+64.7333) [+64°44'00.00]</v>
      </c>
      <c r="Q16" s="557"/>
      <c r="R16" s="557"/>
      <c r="S16" s="557"/>
      <c r="T16" s="557"/>
      <c r="U16" s="557"/>
      <c r="V16" s="557"/>
      <c r="W16" s="557"/>
      <c r="X16" s="557"/>
      <c r="Y16" s="14"/>
    </row>
    <row r="17" spans="2:34" ht="15" customHeight="1" outlineLevel="1" thickTop="1" thickBot="1">
      <c r="C17" s="652" t="s">
        <v>378</v>
      </c>
      <c r="D17" s="652"/>
      <c r="E17" s="652"/>
      <c r="F17" s="652"/>
      <c r="G17" s="652"/>
      <c r="H17" s="652"/>
      <c r="I17" s="652"/>
      <c r="J17" s="556" cm="1">
        <f t="array" ref="J17">angleConvert2Decimal(M17)</f>
        <v>0</v>
      </c>
      <c r="K17" s="653"/>
      <c r="L17" s="813"/>
      <c r="M17" s="672">
        <v>0</v>
      </c>
      <c r="N17" s="672"/>
      <c r="O17" s="672"/>
      <c r="P17" s="472" t="str" cm="1">
        <f t="array" ref="P17">angleDecimal2Txt(J17)</f>
        <v>+00°00.00 (+00.0000) [+00°00'00.00]</v>
      </c>
      <c r="Q17" s="557"/>
      <c r="R17" s="557"/>
      <c r="S17" s="557"/>
      <c r="T17" s="557"/>
      <c r="U17" s="557"/>
      <c r="V17" s="557"/>
      <c r="W17" s="557"/>
      <c r="X17" s="557"/>
      <c r="Y17" s="14"/>
    </row>
    <row r="18" spans="2:34" ht="15" customHeight="1" outlineLevel="1" thickTop="1" thickBot="1">
      <c r="C18" s="652" t="s">
        <v>135</v>
      </c>
      <c r="D18" s="652"/>
      <c r="E18" s="652"/>
      <c r="F18" s="652"/>
      <c r="G18" s="652"/>
      <c r="H18" s="652"/>
      <c r="I18" s="652"/>
      <c r="J18" s="667">
        <f>J16/2</f>
        <v>32.366666666666667</v>
      </c>
      <c r="K18" s="667"/>
      <c r="L18" s="667"/>
      <c r="M18" s="755">
        <v>0</v>
      </c>
      <c r="N18" s="755"/>
      <c r="O18" s="755"/>
      <c r="P18" s="557" t="str" cm="1">
        <f t="array" ref="P18">angleDecimal2Txt(J18)</f>
        <v>+32°22.00 (+32.3666) [+32°22'00.00]</v>
      </c>
      <c r="Q18" s="557"/>
      <c r="R18" s="557"/>
      <c r="S18" s="557"/>
      <c r="T18" s="557"/>
      <c r="U18" s="557"/>
      <c r="V18" s="557"/>
      <c r="W18" s="557"/>
      <c r="X18" s="557"/>
      <c r="Y18" s="14"/>
    </row>
    <row r="19" spans="2:34" ht="15" customHeight="1" thickTop="1" thickBot="1">
      <c r="C19" s="668" t="s">
        <v>19</v>
      </c>
      <c r="D19" s="668"/>
      <c r="E19" s="668"/>
      <c r="F19" s="668"/>
      <c r="G19" s="668"/>
      <c r="H19" s="668"/>
      <c r="I19" s="668"/>
      <c r="J19" s="654">
        <f>M19</f>
        <v>0</v>
      </c>
      <c r="K19" s="655"/>
      <c r="L19" s="656"/>
      <c r="M19" s="716">
        <v>0</v>
      </c>
      <c r="N19" s="716"/>
      <c r="O19" s="7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84" t="s">
        <v>559</v>
      </c>
      <c r="D20" s="685"/>
      <c r="E20" s="685"/>
      <c r="F20" s="685"/>
      <c r="G20" s="685"/>
      <c r="H20" s="685"/>
      <c r="I20" s="686"/>
      <c r="J20" s="556" cm="1">
        <f t="array" ref="J20">angleConvert2Decimal(M20)</f>
        <v>0.13333333333333333</v>
      </c>
      <c r="K20" s="653"/>
      <c r="L20" s="653"/>
      <c r="M20" s="715" t="s">
        <v>798</v>
      </c>
      <c r="N20" s="716"/>
      <c r="O20" s="716"/>
      <c r="P20" s="557" t="str" cm="1">
        <f t="array" ref="P20">angleDecimal2Txt(J20)</f>
        <v>+00°08.00 (+00.1333) [+00°08'00.00]</v>
      </c>
      <c r="Q20" s="557"/>
      <c r="R20" s="557"/>
      <c r="S20" s="557"/>
      <c r="T20" s="557"/>
      <c r="U20" s="557"/>
      <c r="V20" s="557"/>
      <c r="W20" s="557"/>
      <c r="X20" s="557"/>
      <c r="Y20" s="14"/>
    </row>
    <row r="21" spans="2:34" ht="15" customHeight="1" thickTop="1" thickBot="1">
      <c r="C21" s="794" t="s">
        <v>26</v>
      </c>
      <c r="D21" s="794"/>
      <c r="E21" s="794"/>
      <c r="F21" s="794"/>
      <c r="G21" s="794"/>
      <c r="H21" s="794"/>
      <c r="I21" s="794"/>
      <c r="J21" s="556">
        <f>IF(J15=AC15,J18,angleConvert2Decimal(M21))</f>
        <v>32.366666666666667</v>
      </c>
      <c r="K21" s="653"/>
      <c r="L21" s="653"/>
      <c r="M21" s="715" t="s">
        <v>614</v>
      </c>
      <c r="N21" s="716"/>
      <c r="O21" s="716"/>
      <c r="P21" s="557" t="str" cm="1">
        <f t="array" ref="P21">angleDecimal2Txt(J21)</f>
        <v>+32°22.00 (+32.3666) [+32°22'00.00]</v>
      </c>
      <c r="Q21" s="557"/>
      <c r="R21" s="557"/>
      <c r="S21" s="557"/>
      <c r="T21" s="557"/>
      <c r="U21" s="557"/>
      <c r="V21" s="557"/>
      <c r="W21" s="557"/>
      <c r="X21" s="557"/>
      <c r="Y21" s="14"/>
    </row>
    <row r="22" spans="2:34" ht="15" hidden="1" customHeight="1" outlineLevel="1" thickTop="1">
      <c r="C22" s="763" t="s">
        <v>30</v>
      </c>
      <c r="D22" s="763"/>
      <c r="E22" s="763"/>
      <c r="F22" s="763"/>
      <c r="G22" s="763"/>
      <c r="H22" s="763"/>
      <c r="I22" s="763"/>
      <c r="J22" s="532" t="str">
        <f>M22</f>
        <v>Soleil</v>
      </c>
      <c r="K22" s="533"/>
      <c r="L22" s="534"/>
      <c r="M22" s="795" t="s">
        <v>31</v>
      </c>
      <c r="N22" s="796"/>
      <c r="O22" s="797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721" t="s">
        <v>56</v>
      </c>
      <c r="D23" s="721"/>
      <c r="E23" s="721"/>
      <c r="F23" s="721"/>
      <c r="G23" s="721"/>
      <c r="H23" s="721"/>
      <c r="I23" s="721"/>
      <c r="J23" s="592" t="str">
        <f>M23</f>
        <v>BordInf</v>
      </c>
      <c r="K23" s="592"/>
      <c r="L23" s="592"/>
      <c r="M23" s="673" t="s">
        <v>57</v>
      </c>
      <c r="N23" s="673"/>
      <c r="O23" s="673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757" t="s">
        <v>151</v>
      </c>
      <c r="D24" s="758"/>
      <c r="E24" s="758"/>
      <c r="F24" s="706" t="s">
        <v>152</v>
      </c>
      <c r="G24" s="706"/>
      <c r="H24" s="706"/>
      <c r="I24" s="707"/>
      <c r="J24" s="436" cm="1">
        <f t="array" ref="J24">angleConvert2Decimal(M24)</f>
        <v>2.8833333333333302E-3</v>
      </c>
      <c r="K24" s="421"/>
      <c r="L24" s="422"/>
      <c r="M24" s="723">
        <f>P25</f>
        <v>2.8833333333333302E-3</v>
      </c>
      <c r="N24" s="724"/>
      <c r="O24" s="724"/>
      <c r="P24" s="604" t="s">
        <v>97</v>
      </c>
      <c r="Q24" s="605"/>
      <c r="R24" s="606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759"/>
      <c r="D25" s="760"/>
      <c r="E25" s="760"/>
      <c r="F25" s="708"/>
      <c r="G25" s="708"/>
      <c r="H25" s="708"/>
      <c r="I25" s="709"/>
      <c r="J25" s="437"/>
      <c r="K25" s="423"/>
      <c r="L25" s="424"/>
      <c r="M25" s="725"/>
      <c r="N25" s="726"/>
      <c r="O25" s="726"/>
      <c r="P25" s="720" cm="1">
        <f t="array" ref="P25">astroHPSoleilEnDegre()</f>
        <v>2.8833333333333302E-3</v>
      </c>
      <c r="Q25" s="720"/>
      <c r="R25" s="720"/>
      <c r="S25" s="718" t="str" cm="1">
        <f t="array" ref="S25">angleDecimal2Txt(angleConvert2Decimal(P25))</f>
        <v>+00°00.17 (+00.0028) [+00°00'10.37]</v>
      </c>
      <c r="T25" s="718"/>
      <c r="U25" s="718"/>
      <c r="V25" s="718"/>
      <c r="W25" s="718"/>
      <c r="X25" s="719"/>
      <c r="Y25" s="14"/>
    </row>
    <row r="26" spans="2:34" ht="15" customHeight="1" thickTop="1" thickBot="1">
      <c r="C26" s="761"/>
      <c r="D26" s="762"/>
      <c r="E26" s="762"/>
      <c r="F26" s="710"/>
      <c r="G26" s="710"/>
      <c r="H26" s="710"/>
      <c r="I26" s="711"/>
      <c r="J26" s="808"/>
      <c r="K26" s="809"/>
      <c r="L26" s="810"/>
      <c r="M26" s="727"/>
      <c r="N26" s="728"/>
      <c r="O26" s="728"/>
      <c r="P26" s="622" t="str" cm="1">
        <f t="array" ref="P26">angleDecimal2Txt(J24)</f>
        <v>+00°00.17 (+00.0028) [+00°00'10.37]</v>
      </c>
      <c r="Q26" s="622"/>
      <c r="R26" s="622"/>
      <c r="S26" s="557"/>
      <c r="T26" s="557"/>
      <c r="U26" s="557"/>
      <c r="V26" s="557"/>
      <c r="W26" s="557"/>
      <c r="X26" s="557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798" t="s">
        <v>100</v>
      </c>
      <c r="D27" s="799"/>
      <c r="E27" s="799"/>
      <c r="F27" s="799"/>
      <c r="G27" s="799"/>
      <c r="H27" s="799"/>
      <c r="I27" s="800"/>
      <c r="J27" s="436" cm="1">
        <f t="array" ref="J27">angleConvert2Decimal(M27)</f>
        <v>0.54333333299999997</v>
      </c>
      <c r="K27" s="421"/>
      <c r="L27" s="422"/>
      <c r="M27" s="723">
        <f>P28</f>
        <v>0.54333333299999997</v>
      </c>
      <c r="N27" s="724"/>
      <c r="O27" s="724"/>
      <c r="P27" s="703" t="s">
        <v>97</v>
      </c>
      <c r="Q27" s="704"/>
      <c r="R27" s="705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801"/>
      <c r="D28" s="802"/>
      <c r="E28" s="802"/>
      <c r="F28" s="802"/>
      <c r="G28" s="802"/>
      <c r="H28" s="802"/>
      <c r="I28" s="803"/>
      <c r="J28" s="437"/>
      <c r="K28" s="423"/>
      <c r="L28" s="424"/>
      <c r="M28" s="725"/>
      <c r="N28" s="726"/>
      <c r="O28" s="726"/>
      <c r="P28" s="720" cm="1">
        <f t="array" ref="P28">astroDiametreSoleilEnDegre(AA7)</f>
        <v>0.54333333299999997</v>
      </c>
      <c r="Q28" s="720"/>
      <c r="R28" s="720"/>
      <c r="S28" s="718" t="str" cm="1">
        <f t="array" ref="S28">angleDecimal2Txt(angleConvert2Decimal(P28))</f>
        <v>+00°32.59 (+00.5433) [+00°32'35.99]</v>
      </c>
      <c r="T28" s="718"/>
      <c r="U28" s="718"/>
      <c r="V28" s="718"/>
      <c r="W28" s="718"/>
      <c r="X28" s="719"/>
      <c r="Y28" s="14"/>
    </row>
    <row r="29" spans="2:34" ht="15" customHeight="1" thickTop="1" thickBot="1">
      <c r="C29" s="804"/>
      <c r="D29" s="805"/>
      <c r="E29" s="805"/>
      <c r="F29" s="805"/>
      <c r="G29" s="805"/>
      <c r="H29" s="805"/>
      <c r="I29" s="806"/>
      <c r="J29" s="808"/>
      <c r="K29" s="809"/>
      <c r="L29" s="810"/>
      <c r="M29" s="727"/>
      <c r="N29" s="728"/>
      <c r="O29" s="728"/>
      <c r="P29" s="622" t="str" cm="1">
        <f t="array" ref="P29">angleDecimal2Txt(J27)</f>
        <v>+00°32.59 (+00.5433) [+00°32'35.99]</v>
      </c>
      <c r="Q29" s="622"/>
      <c r="R29" s="622"/>
      <c r="S29" s="557"/>
      <c r="T29" s="557"/>
      <c r="U29" s="557"/>
      <c r="V29" s="557"/>
      <c r="W29" s="557"/>
      <c r="X29" s="557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714" t="s">
        <v>7</v>
      </c>
      <c r="D32" s="714"/>
      <c r="E32" s="714"/>
      <c r="F32" s="714"/>
      <c r="G32" s="561">
        <f>AD33</f>
        <v>-27.5</v>
      </c>
      <c r="H32" s="562"/>
      <c r="I32" s="562"/>
      <c r="J32" s="620" t="s">
        <v>4</v>
      </c>
      <c r="K32" s="717" t="s">
        <v>615</v>
      </c>
      <c r="L32" s="620"/>
      <c r="M32" s="620"/>
      <c r="N32" s="620"/>
      <c r="O32" s="620"/>
      <c r="P32" s="722" t="str" cm="1">
        <f t="array" ref="P32">latitudeDecimal2Txt(G32)</f>
        <v>S 27°30.00 (S 27.5000) [S 27°30'00.00]</v>
      </c>
      <c r="Q32" s="722"/>
      <c r="R32" s="722"/>
      <c r="S32" s="722"/>
      <c r="T32" s="722"/>
      <c r="U32" s="722"/>
      <c r="V32" s="722"/>
      <c r="W32" s="722"/>
      <c r="X32" s="722"/>
      <c r="Y32" s="72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7" t="s">
        <v>129</v>
      </c>
      <c r="B33" s="311" t="s">
        <v>130</v>
      </c>
      <c r="C33" s="714"/>
      <c r="D33" s="714"/>
      <c r="E33" s="714"/>
      <c r="F33" s="714"/>
      <c r="G33" s="562"/>
      <c r="H33" s="562"/>
      <c r="I33" s="562"/>
      <c r="J33" s="620"/>
      <c r="K33" s="620"/>
      <c r="L33" s="620"/>
      <c r="M33" s="620"/>
      <c r="N33" s="620"/>
      <c r="O33" s="620"/>
      <c r="P33" s="722"/>
      <c r="Q33" s="722"/>
      <c r="R33" s="722"/>
      <c r="S33" s="722"/>
      <c r="T33" s="722"/>
      <c r="U33" s="722"/>
      <c r="V33" s="722"/>
      <c r="W33" s="722"/>
      <c r="X33" s="722"/>
      <c r="Y33" s="72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7"/>
      <c r="B34" s="311" t="s">
        <v>138</v>
      </c>
      <c r="C34" s="563" t="s">
        <v>8</v>
      </c>
      <c r="D34" s="563"/>
      <c r="E34" s="563"/>
      <c r="F34" s="563"/>
      <c r="G34" s="561">
        <f>AD35</f>
        <v>63</v>
      </c>
      <c r="H34" s="562"/>
      <c r="I34" s="562"/>
      <c r="J34" s="620" t="s">
        <v>5</v>
      </c>
      <c r="K34" s="717" t="s">
        <v>616</v>
      </c>
      <c r="L34" s="620"/>
      <c r="M34" s="620"/>
      <c r="N34" s="620"/>
      <c r="O34" s="620"/>
      <c r="P34" s="722" t="str" cm="1">
        <f t="array" ref="P34">longitudeDecimal2Txt(G34)</f>
        <v>E 63°00.00 (E 63.0000) [E 63°00'00.00]</v>
      </c>
      <c r="Q34" s="722"/>
      <c r="R34" s="722"/>
      <c r="S34" s="722"/>
      <c r="T34" s="722"/>
      <c r="U34" s="722"/>
      <c r="V34" s="722"/>
      <c r="W34" s="722"/>
      <c r="X34" s="722"/>
      <c r="Y34" s="72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3"/>
      <c r="D35" s="563"/>
      <c r="E35" s="563"/>
      <c r="F35" s="563"/>
      <c r="G35" s="562"/>
      <c r="H35" s="562"/>
      <c r="I35" s="562"/>
      <c r="J35" s="620"/>
      <c r="K35" s="620"/>
      <c r="L35" s="620"/>
      <c r="M35" s="620"/>
      <c r="N35" s="620"/>
      <c r="O35" s="620"/>
      <c r="P35" s="722"/>
      <c r="Q35" s="722"/>
      <c r="R35" s="722"/>
      <c r="S35" s="722"/>
      <c r="T35" s="722"/>
      <c r="U35" s="722"/>
      <c r="V35" s="722"/>
      <c r="W35" s="722"/>
      <c r="X35" s="722"/>
      <c r="Y35" s="72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751">
        <f>IF(G39=AD39,D42,IF(G39=AD38,D55,D49))</f>
        <v>23.122277777777775</v>
      </c>
      <c r="G38" s="647"/>
      <c r="H38" s="647"/>
      <c r="I38" s="26"/>
      <c r="J38" s="26"/>
      <c r="K38" s="26" t="str" cm="1">
        <f t="array" ref="K38">latitudeDecimal2Txt(F38)</f>
        <v>N 23°07.33 (N 23.1222) [N 23°07'20.19]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555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634" t="s">
        <v>35</v>
      </c>
      <c r="D39" s="634"/>
      <c r="E39" s="634"/>
      <c r="F39" s="634"/>
      <c r="G39" s="753" t="s">
        <v>10</v>
      </c>
      <c r="H39" s="513"/>
      <c r="I39" s="754"/>
      <c r="AB39" s="65"/>
      <c r="AC39" s="510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408" t="s">
        <v>10</v>
      </c>
      <c r="D40" s="419" t="s">
        <v>9</v>
      </c>
      <c r="E40" s="420"/>
      <c r="F40" s="420"/>
      <c r="G40" s="420"/>
      <c r="H40" s="420"/>
      <c r="I40" s="415" t="s">
        <v>619</v>
      </c>
      <c r="J40" s="416"/>
      <c r="K40" s="415" t="s">
        <v>13</v>
      </c>
      <c r="L40" s="432"/>
      <c r="M40" s="612"/>
      <c r="N40" s="430" t="s">
        <v>15</v>
      </c>
      <c r="O40" s="430"/>
      <c r="P40" s="430"/>
      <c r="Q40" s="430"/>
      <c r="R40" s="430"/>
      <c r="S40" s="14"/>
      <c r="AC40" s="510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408"/>
      <c r="D41" s="419"/>
      <c r="E41" s="420"/>
      <c r="F41" s="420"/>
      <c r="G41" s="420"/>
      <c r="H41" s="420"/>
      <c r="I41" s="417"/>
      <c r="J41" s="418"/>
      <c r="K41" s="613"/>
      <c r="L41" s="614"/>
      <c r="M41" s="615"/>
      <c r="N41" s="430"/>
      <c r="O41" s="430"/>
      <c r="P41" s="430"/>
      <c r="Q41" s="430"/>
      <c r="R41" s="430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08"/>
      <c r="D42" s="421">
        <f>IF(G39=AD39,AD47,"---")</f>
        <v>23.122277777777775</v>
      </c>
      <c r="E42" s="421"/>
      <c r="F42" s="421"/>
      <c r="G42" s="421"/>
      <c r="H42" s="422"/>
      <c r="I42" s="409">
        <f>E11</f>
        <v>15.816666666666665</v>
      </c>
      <c r="J42" s="410"/>
      <c r="K42" s="787">
        <v>10</v>
      </c>
      <c r="L42" s="616"/>
      <c r="M42" s="788"/>
      <c r="N42" s="620" t="s">
        <v>3</v>
      </c>
      <c r="O42" s="680" t="s">
        <v>539</v>
      </c>
      <c r="P42" s="815"/>
      <c r="Q42" s="815"/>
      <c r="R42" s="815"/>
      <c r="S42" s="722" t="str" cm="1">
        <f t="array" ref="S42">angleDecimal2Txt(AE42)</f>
        <v>+23°08.50 (+23.1416) [+23°08'30.00]</v>
      </c>
      <c r="T42" s="729"/>
      <c r="U42" s="729"/>
      <c r="V42" s="729"/>
      <c r="W42" s="729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08"/>
      <c r="D43" s="423"/>
      <c r="E43" s="423"/>
      <c r="F43" s="423"/>
      <c r="G43" s="423"/>
      <c r="H43" s="424"/>
      <c r="I43" s="411"/>
      <c r="J43" s="412"/>
      <c r="K43" s="767"/>
      <c r="L43" s="768"/>
      <c r="M43" s="769"/>
      <c r="N43" s="620"/>
      <c r="O43" s="793"/>
      <c r="P43" s="793"/>
      <c r="Q43" s="793"/>
      <c r="R43" s="793"/>
      <c r="S43" s="729"/>
      <c r="T43" s="729"/>
      <c r="U43" s="729"/>
      <c r="V43" s="729"/>
      <c r="W43" s="729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408"/>
      <c r="D44" s="423"/>
      <c r="E44" s="423"/>
      <c r="F44" s="423"/>
      <c r="G44" s="423"/>
      <c r="H44" s="424"/>
      <c r="I44" s="411"/>
      <c r="J44" s="412"/>
      <c r="K44" s="764">
        <v>11</v>
      </c>
      <c r="L44" s="765"/>
      <c r="M44" s="766"/>
      <c r="N44" s="620" t="s">
        <v>3</v>
      </c>
      <c r="O44" s="792" t="s">
        <v>540</v>
      </c>
      <c r="P44" s="793"/>
      <c r="Q44" s="793"/>
      <c r="R44" s="793"/>
      <c r="S44" s="722" t="str" cm="1">
        <f t="array" ref="S44">angleDecimal2Txt((AE43))</f>
        <v>+23°08.30 (+23.1383) [+23°08'18.00]</v>
      </c>
      <c r="T44" s="729"/>
      <c r="U44" s="729"/>
      <c r="V44" s="729"/>
      <c r="W44" s="729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408"/>
      <c r="D45" s="425" t="str" cm="1">
        <f t="array" ref="D45">latitudeDecimal2Txt(D42)</f>
        <v>N 23°07.33 (N 23.1222) [N 23°07'20.19]</v>
      </c>
      <c r="E45" s="426"/>
      <c r="F45" s="426"/>
      <c r="G45" s="426"/>
      <c r="H45" s="426"/>
      <c r="I45" s="413"/>
      <c r="J45" s="414"/>
      <c r="K45" s="767"/>
      <c r="L45" s="768"/>
      <c r="M45" s="769"/>
      <c r="N45" s="620"/>
      <c r="O45" s="793"/>
      <c r="P45" s="793"/>
      <c r="Q45" s="793"/>
      <c r="R45" s="793"/>
      <c r="S45" s="729"/>
      <c r="T45" s="729"/>
      <c r="U45" s="729"/>
      <c r="V45" s="729"/>
      <c r="W45" s="729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5.8166666666666647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27" t="s">
        <v>14</v>
      </c>
      <c r="D47" s="420" t="s">
        <v>9</v>
      </c>
      <c r="E47" s="420"/>
      <c r="F47" s="420"/>
      <c r="G47" s="420"/>
      <c r="H47" s="420"/>
      <c r="I47" s="415" t="s">
        <v>619</v>
      </c>
      <c r="J47" s="416"/>
      <c r="K47" s="415" t="s">
        <v>611</v>
      </c>
      <c r="L47" s="432"/>
      <c r="M47" s="612"/>
      <c r="N47" s="430" t="s">
        <v>16</v>
      </c>
      <c r="O47" s="430"/>
      <c r="P47" s="430"/>
      <c r="Q47" s="430"/>
      <c r="R47" s="430"/>
      <c r="S47" s="430" t="s">
        <v>131</v>
      </c>
      <c r="T47" s="430"/>
      <c r="U47" s="430"/>
      <c r="V47" s="430"/>
      <c r="W47" s="430"/>
      <c r="AA47" s="14"/>
      <c r="AC47" s="3" t="s">
        <v>37</v>
      </c>
      <c r="AD47" s="3">
        <f>AE42+(AD44/AD45)*AD46</f>
        <v>23.122277777777775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27"/>
      <c r="D48" s="420"/>
      <c r="E48" s="420"/>
      <c r="F48" s="420"/>
      <c r="G48" s="420"/>
      <c r="H48" s="420"/>
      <c r="I48" s="417"/>
      <c r="J48" s="418"/>
      <c r="K48" s="613"/>
      <c r="L48" s="614"/>
      <c r="M48" s="615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427"/>
      <c r="D49" s="421" t="str">
        <f>IF(G39=AD40,AD53,"---")</f>
        <v>---</v>
      </c>
      <c r="E49" s="421"/>
      <c r="F49" s="421"/>
      <c r="G49" s="421"/>
      <c r="H49" s="421"/>
      <c r="I49" s="429">
        <f>E11</f>
        <v>15.816666666666665</v>
      </c>
      <c r="J49" s="429"/>
      <c r="K49" s="608">
        <v>0</v>
      </c>
      <c r="L49" s="608"/>
      <c r="M49" s="609"/>
      <c r="N49" s="620" t="s">
        <v>3</v>
      </c>
      <c r="O49" s="618" t="s">
        <v>610</v>
      </c>
      <c r="P49" s="619"/>
      <c r="Q49" s="619"/>
      <c r="R49" s="619"/>
      <c r="S49" s="620" t="s">
        <v>3</v>
      </c>
      <c r="T49" s="618">
        <f>0.2/60</f>
        <v>3.3333333333333335E-3</v>
      </c>
      <c r="U49" s="619"/>
      <c r="V49" s="619"/>
      <c r="W49" s="619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427"/>
      <c r="D50" s="423"/>
      <c r="E50" s="423"/>
      <c r="F50" s="423"/>
      <c r="G50" s="423"/>
      <c r="H50" s="423"/>
      <c r="I50" s="429"/>
      <c r="J50" s="429"/>
      <c r="K50" s="610"/>
      <c r="L50" s="610"/>
      <c r="M50" s="611"/>
      <c r="N50" s="620"/>
      <c r="O50" s="620"/>
      <c r="P50" s="620"/>
      <c r="Q50" s="620"/>
      <c r="R50" s="620"/>
      <c r="S50" s="620"/>
      <c r="T50" s="620"/>
      <c r="U50" s="620"/>
      <c r="V50" s="620"/>
      <c r="W50" s="620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427"/>
      <c r="D51" s="425" t="e" cm="1">
        <f t="array" ref="D51">latitudeDecimal2Txt(D49)</f>
        <v>#VALUE!</v>
      </c>
      <c r="E51" s="426"/>
      <c r="F51" s="426"/>
      <c r="G51" s="426"/>
      <c r="H51" s="640"/>
      <c r="I51" s="429"/>
      <c r="J51" s="429"/>
      <c r="K51" s="440" t="str" cm="1">
        <f t="array" ref="K51">heureDecimal2Txt(K49)</f>
        <v>00:00:00.00(00.0000)</v>
      </c>
      <c r="L51" s="440"/>
      <c r="M51" s="425"/>
      <c r="N51" s="557" t="str" cm="1">
        <f t="array" ref="N51">angleDecimal2Txt(AD50)</f>
        <v>+23°10.59 (+23.1766) [+23°10'36.00]</v>
      </c>
      <c r="O51" s="557"/>
      <c r="P51" s="557"/>
      <c r="Q51" s="557"/>
      <c r="R51" s="557"/>
      <c r="S51" s="557" t="str" cm="1">
        <f t="array" ref="S51">angleDecimal2Txt(AD52)</f>
        <v>+00°00.19 (+00.0033) [+00°00'11.99]</v>
      </c>
      <c r="T51" s="621"/>
      <c r="U51" s="621"/>
      <c r="V51" s="621"/>
      <c r="W51" s="621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537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427" t="s">
        <v>620</v>
      </c>
      <c r="D53" s="420" t="s">
        <v>9</v>
      </c>
      <c r="E53" s="420"/>
      <c r="F53" s="420"/>
      <c r="G53" s="420"/>
      <c r="H53" s="420"/>
      <c r="I53" s="522" t="s">
        <v>556</v>
      </c>
      <c r="J53" s="523"/>
      <c r="K53" s="523"/>
      <c r="L53" s="523"/>
      <c r="M53" s="524"/>
      <c r="AC53" s="3" t="s">
        <v>179</v>
      </c>
      <c r="AD53" s="3">
        <f>AD50+AD52*(I49-K49)</f>
        <v>23.229388888888888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427"/>
      <c r="D54" s="420"/>
      <c r="E54" s="420"/>
      <c r="F54" s="420"/>
      <c r="G54" s="420"/>
      <c r="H54" s="420"/>
      <c r="I54" s="782"/>
      <c r="J54" s="526"/>
      <c r="K54" s="526"/>
      <c r="L54" s="526"/>
      <c r="M54" s="527"/>
      <c r="R54" s="406" t="s">
        <v>860</v>
      </c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427"/>
      <c r="D55" s="437" t="str">
        <f>IF(G39=AD38,AD56,"---")</f>
        <v>---</v>
      </c>
      <c r="E55" s="423"/>
      <c r="F55" s="423"/>
      <c r="G55" s="423"/>
      <c r="H55" s="423"/>
      <c r="I55" s="791" t="s">
        <v>3</v>
      </c>
      <c r="J55" s="431" t="s">
        <v>618</v>
      </c>
      <c r="K55" s="431"/>
      <c r="L55" s="431"/>
      <c r="M55" s="431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427"/>
      <c r="D56" s="468"/>
      <c r="E56" s="469"/>
      <c r="F56" s="469"/>
      <c r="G56" s="469"/>
      <c r="H56" s="469"/>
      <c r="I56" s="791"/>
      <c r="J56" s="431"/>
      <c r="K56" s="431"/>
      <c r="L56" s="431"/>
      <c r="M56" s="431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395"/>
    </row>
    <row r="57" spans="1:52" ht="17.25" hidden="1" customHeight="1" outlineLevel="1" thickTop="1" thickBot="1">
      <c r="C57" s="427"/>
      <c r="D57" s="426" t="str" cm="1">
        <f t="array" ref="D57">latitudeDecimal2Txt(AD56)</f>
        <v>N 14°43.70 (N 14.7283) [N 14°43'42.00]</v>
      </c>
      <c r="E57" s="426"/>
      <c r="F57" s="426"/>
      <c r="G57" s="426"/>
      <c r="H57" s="426"/>
      <c r="I57"/>
      <c r="J57"/>
      <c r="K57"/>
      <c r="L57"/>
      <c r="N57"/>
      <c r="O57"/>
      <c r="U57"/>
      <c r="V57"/>
      <c r="W57"/>
      <c r="X57"/>
      <c r="Y57"/>
      <c r="AC57">
        <f>YEAR($X$7)</f>
        <v>2024</v>
      </c>
      <c r="AD57">
        <f>MONTH($X$7)</f>
        <v>12</v>
      </c>
      <c r="AE57">
        <f>DAY($X$7)</f>
        <v>27</v>
      </c>
      <c r="AF57" s="215">
        <f>INT(E11)</f>
        <v>15</v>
      </c>
      <c r="AG57" s="215">
        <f>INT(((3600*E11-3600*AF57)/60)+0.000001)</f>
        <v>49</v>
      </c>
      <c r="AH57" s="394">
        <f>((E11*3600 - AG57*60 -AF57*3600))</f>
        <v>-7.2759576141834259E-12</v>
      </c>
      <c r="AI57" t="s">
        <v>802</v>
      </c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751">
        <f>IF(G60=AD60,D63,IF(G60=AD59,D76,D70))</f>
        <v>416.30530555555555</v>
      </c>
      <c r="G59" s="647"/>
      <c r="H59" s="647"/>
      <c r="I59" s="26"/>
      <c r="J59" s="26"/>
      <c r="K59" s="26"/>
      <c r="L59" s="750">
        <f>F59-360</f>
        <v>56.305305555555549</v>
      </c>
      <c r="M59" s="750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554</v>
      </c>
    </row>
    <row r="60" spans="1:52" ht="17.25" customHeight="1">
      <c r="B60" s="33"/>
      <c r="C60" s="634" t="s">
        <v>35</v>
      </c>
      <c r="D60" s="634"/>
      <c r="E60" s="634"/>
      <c r="F60" s="634"/>
      <c r="G60" s="712" t="s">
        <v>10</v>
      </c>
      <c r="H60" s="712"/>
      <c r="I60" s="71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510" t="s">
        <v>36</v>
      </c>
      <c r="AD60" s="68" t="s">
        <v>10</v>
      </c>
    </row>
    <row r="61" spans="1:52" ht="17.25" customHeight="1" outlineLevel="1">
      <c r="C61" s="408" t="s">
        <v>10</v>
      </c>
      <c r="D61" s="434" t="s">
        <v>415</v>
      </c>
      <c r="E61" s="435"/>
      <c r="F61" s="435"/>
      <c r="G61" s="435"/>
      <c r="H61" s="435"/>
      <c r="I61" s="432" t="s">
        <v>619</v>
      </c>
      <c r="J61" s="416"/>
      <c r="K61" s="415" t="s">
        <v>13</v>
      </c>
      <c r="L61" s="432"/>
      <c r="M61" s="612"/>
      <c r="N61" s="522" t="s">
        <v>15</v>
      </c>
      <c r="O61" s="523"/>
      <c r="P61" s="523"/>
      <c r="Q61" s="523"/>
      <c r="R61" s="524"/>
      <c r="S61" s="14"/>
      <c r="AC61" s="510"/>
      <c r="AD61" s="68" t="s">
        <v>14</v>
      </c>
    </row>
    <row r="62" spans="1:52" ht="17.25" customHeight="1" outlineLevel="1" thickBot="1">
      <c r="C62" s="408"/>
      <c r="D62" s="417"/>
      <c r="E62" s="433"/>
      <c r="F62" s="433"/>
      <c r="G62" s="433"/>
      <c r="H62" s="433"/>
      <c r="I62" s="433"/>
      <c r="J62" s="418"/>
      <c r="K62" s="613"/>
      <c r="L62" s="614"/>
      <c r="M62" s="615"/>
      <c r="N62" s="525"/>
      <c r="O62" s="526"/>
      <c r="P62" s="526"/>
      <c r="Q62" s="526"/>
      <c r="R62" s="527"/>
      <c r="S62" s="14"/>
      <c r="AD62" s="71" t="s">
        <v>73</v>
      </c>
      <c r="AE62" s="3" t="s">
        <v>622</v>
      </c>
      <c r="AF62" s="3" t="s">
        <v>180</v>
      </c>
    </row>
    <row r="63" spans="1:52" ht="17.25" customHeight="1" outlineLevel="1" thickTop="1" thickBot="1">
      <c r="C63" s="408"/>
      <c r="D63" s="436">
        <f>IF(G60=AD60,AF68,"---")</f>
        <v>416.30530555555555</v>
      </c>
      <c r="E63" s="421"/>
      <c r="F63" s="421"/>
      <c r="G63" s="421"/>
      <c r="H63" s="422"/>
      <c r="I63" s="409">
        <f>E11</f>
        <v>15.816666666666665</v>
      </c>
      <c r="J63" s="410"/>
      <c r="K63" s="789">
        <v>10</v>
      </c>
      <c r="L63" s="608"/>
      <c r="M63" s="790"/>
      <c r="N63" s="429" t="s">
        <v>5</v>
      </c>
      <c r="O63" s="635" t="s">
        <v>541</v>
      </c>
      <c r="P63" s="635"/>
      <c r="Q63" s="635"/>
      <c r="R63" s="636"/>
      <c r="S63" s="738" t="str" cm="1">
        <f t="array" ref="S63">angleDecimal2Txt(AF63)</f>
        <v>+329°03.89 (+329.0649) [+329°03'54.00]</v>
      </c>
      <c r="T63" s="738"/>
      <c r="U63" s="738"/>
      <c r="V63" s="738"/>
      <c r="W63" s="738"/>
      <c r="X63" s="738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408"/>
      <c r="D64" s="437"/>
      <c r="E64" s="423"/>
      <c r="F64" s="423"/>
      <c r="G64" s="423"/>
      <c r="H64" s="424"/>
      <c r="I64" s="411"/>
      <c r="J64" s="412"/>
      <c r="K64" s="632"/>
      <c r="L64" s="610"/>
      <c r="M64" s="633"/>
      <c r="N64" s="429"/>
      <c r="O64" s="637"/>
      <c r="P64" s="637"/>
      <c r="Q64" s="637"/>
      <c r="R64" s="638"/>
      <c r="S64" s="738"/>
      <c r="T64" s="738"/>
      <c r="U64" s="738"/>
      <c r="V64" s="738"/>
      <c r="W64" s="738"/>
      <c r="X64" s="738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408"/>
      <c r="D65" s="437"/>
      <c r="E65" s="423"/>
      <c r="F65" s="423"/>
      <c r="G65" s="423"/>
      <c r="H65" s="424"/>
      <c r="I65" s="411"/>
      <c r="J65" s="412"/>
      <c r="K65" s="629">
        <v>11</v>
      </c>
      <c r="L65" s="630"/>
      <c r="M65" s="631"/>
      <c r="N65" s="429" t="s">
        <v>5</v>
      </c>
      <c r="O65" s="739" t="s">
        <v>542</v>
      </c>
      <c r="P65" s="739"/>
      <c r="Q65" s="739"/>
      <c r="R65" s="740"/>
      <c r="S65" s="738" t="str" cm="1">
        <f t="array" ref="S65">angleDecimal2Txt((AF64))</f>
        <v>+344°03.79 (+344.0633) [+344°03'48.00]</v>
      </c>
      <c r="T65" s="738"/>
      <c r="U65" s="738"/>
      <c r="V65" s="738"/>
      <c r="W65" s="738"/>
      <c r="X65" s="738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408"/>
      <c r="D66" s="426" t="str" cm="1">
        <f t="array" ref="D66">angleDecimal2Txt(D63)</f>
        <v>+416°18.31 (+416.3053) [+416°18'19.09]</v>
      </c>
      <c r="E66" s="426"/>
      <c r="F66" s="426"/>
      <c r="G66" s="426"/>
      <c r="H66" s="426"/>
      <c r="I66" s="413"/>
      <c r="J66" s="414"/>
      <c r="K66" s="632"/>
      <c r="L66" s="610"/>
      <c r="M66" s="633"/>
      <c r="N66" s="429"/>
      <c r="O66" s="637"/>
      <c r="P66" s="637"/>
      <c r="Q66" s="637"/>
      <c r="R66" s="638"/>
      <c r="S66" s="738"/>
      <c r="T66" s="738"/>
      <c r="U66" s="738"/>
      <c r="V66" s="738"/>
      <c r="W66" s="738"/>
      <c r="X66" s="738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5.8166666666666647</v>
      </c>
    </row>
    <row r="68" spans="1:66" ht="17.25" hidden="1" customHeight="1" outlineLevel="1">
      <c r="C68" s="438" t="s">
        <v>14</v>
      </c>
      <c r="D68" s="420" t="s">
        <v>415</v>
      </c>
      <c r="E68" s="420"/>
      <c r="F68" s="420"/>
      <c r="G68" s="420"/>
      <c r="H68" s="420"/>
      <c r="I68" s="439" t="s">
        <v>619</v>
      </c>
      <c r="J68" s="420"/>
      <c r="K68" s="432" t="s">
        <v>611</v>
      </c>
      <c r="L68" s="432"/>
      <c r="M68" s="612"/>
      <c r="N68" s="522" t="s">
        <v>16</v>
      </c>
      <c r="O68" s="523"/>
      <c r="P68" s="523"/>
      <c r="Q68" s="523"/>
      <c r="R68" s="524"/>
      <c r="S68" s="522" t="s">
        <v>94</v>
      </c>
      <c r="T68" s="523"/>
      <c r="U68" s="523"/>
      <c r="V68" s="523"/>
      <c r="W68" s="524"/>
      <c r="Z68"/>
      <c r="AA68" s="14"/>
      <c r="AC68" s="3" t="s">
        <v>267</v>
      </c>
      <c r="AD68" s="3">
        <f>IF(AF68&gt;360,AF68-360,AF68)</f>
        <v>56.305305555555549</v>
      </c>
      <c r="AE68" s="3" t="s">
        <v>37</v>
      </c>
      <c r="AF68" s="3">
        <f>(AF63+(AD65/AD66)*AD67)</f>
        <v>416.30530555555555</v>
      </c>
    </row>
    <row r="69" spans="1:66" ht="17.25" hidden="1" customHeight="1" outlineLevel="1">
      <c r="C69" s="438"/>
      <c r="D69" s="420"/>
      <c r="E69" s="420"/>
      <c r="F69" s="420"/>
      <c r="G69" s="420"/>
      <c r="H69" s="420"/>
      <c r="I69" s="420"/>
      <c r="J69" s="420"/>
      <c r="K69" s="614"/>
      <c r="L69" s="614"/>
      <c r="M69" s="615"/>
      <c r="N69" s="525"/>
      <c r="O69" s="526"/>
      <c r="P69" s="526"/>
      <c r="Q69" s="526"/>
      <c r="R69" s="527"/>
      <c r="S69" s="525"/>
      <c r="T69" s="528"/>
      <c r="U69" s="528"/>
      <c r="V69" s="528"/>
      <c r="W69" s="529"/>
      <c r="Z69"/>
      <c r="AA69" s="14"/>
    </row>
    <row r="70" spans="1:66" ht="17.25" hidden="1" customHeight="1" outlineLevel="1">
      <c r="C70" s="438"/>
      <c r="D70" s="428" t="str">
        <f>IF(G60=AD61,AF74,"---")</f>
        <v>---</v>
      </c>
      <c r="E70" s="428"/>
      <c r="F70" s="428"/>
      <c r="G70" s="428"/>
      <c r="H70" s="428"/>
      <c r="I70" s="429">
        <f>E11</f>
        <v>15.816666666666665</v>
      </c>
      <c r="J70" s="429"/>
      <c r="K70" s="608">
        <v>0</v>
      </c>
      <c r="L70" s="608"/>
      <c r="M70" s="790"/>
      <c r="N70" s="429" t="s">
        <v>5</v>
      </c>
      <c r="O70" s="616" t="s">
        <v>612</v>
      </c>
      <c r="P70" s="616"/>
      <c r="Q70" s="616"/>
      <c r="R70" s="616"/>
      <c r="S70" s="429" t="s">
        <v>5</v>
      </c>
      <c r="T70" s="560">
        <v>14.997999999999999</v>
      </c>
      <c r="U70" s="429"/>
      <c r="V70" s="429"/>
      <c r="W70" s="429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38"/>
      <c r="D71" s="428"/>
      <c r="E71" s="428"/>
      <c r="F71" s="428"/>
      <c r="G71" s="428"/>
      <c r="H71" s="428"/>
      <c r="I71" s="429"/>
      <c r="J71" s="429"/>
      <c r="K71" s="610"/>
      <c r="L71" s="610"/>
      <c r="M71" s="633"/>
      <c r="N71" s="429"/>
      <c r="O71" s="617"/>
      <c r="P71" s="617"/>
      <c r="Q71" s="617"/>
      <c r="R71" s="617"/>
      <c r="S71" s="429"/>
      <c r="T71" s="429"/>
      <c r="U71" s="429"/>
      <c r="V71" s="429"/>
      <c r="W71" s="429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38"/>
      <c r="D72" s="426" t="e" cm="1">
        <f t="array" ref="D72">angleDecimal2Txt(D70)</f>
        <v>#VALUE!</v>
      </c>
      <c r="E72" s="426"/>
      <c r="F72" s="426"/>
      <c r="G72" s="426"/>
      <c r="H72" s="426"/>
      <c r="I72" s="429"/>
      <c r="J72" s="429"/>
      <c r="K72" s="440" t="str" cm="1">
        <f t="array" ref="K72">heureDecimal2Txt(K70)</f>
        <v>00:00:00.00(00.0000)</v>
      </c>
      <c r="L72" s="440"/>
      <c r="M72" s="425"/>
      <c r="N72" s="622" t="str" cm="1">
        <f t="array" ref="N72">angleDecimal2Txt(AD71)</f>
        <v>+180°02.00 (+180.0333) [+180°02'00.00]</v>
      </c>
      <c r="O72" s="557"/>
      <c r="P72" s="557"/>
      <c r="Q72" s="557"/>
      <c r="R72" s="557"/>
      <c r="S72" s="622" t="str" cm="1">
        <f t="array" ref="S72">angleDecimal2Txt(AD73)</f>
        <v>+14°59.87 (+14.9979) [+14°59'52.79]</v>
      </c>
      <c r="T72" s="623"/>
      <c r="U72" s="623"/>
      <c r="V72" s="623"/>
      <c r="W72" s="623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537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427" t="s">
        <v>620</v>
      </c>
      <c r="D74" s="420" t="s">
        <v>415</v>
      </c>
      <c r="E74" s="420"/>
      <c r="F74" s="420"/>
      <c r="G74" s="420"/>
      <c r="H74" s="420"/>
      <c r="I74" s="430" t="s">
        <v>556</v>
      </c>
      <c r="J74" s="430"/>
      <c r="K74" s="430"/>
      <c r="L74" s="430"/>
      <c r="M74" s="430"/>
      <c r="AC74" s="3" t="s">
        <v>267</v>
      </c>
      <c r="AD74" s="3">
        <f>IF(AF74&gt;360,AF74-360,AF74)</f>
        <v>57.251699999999971</v>
      </c>
      <c r="AE74" s="3" t="s">
        <v>37</v>
      </c>
      <c r="AF74" s="3">
        <f>MOD(AD71+AD73*(I70-K70),360)</f>
        <v>57.251699999999971</v>
      </c>
    </row>
    <row r="75" spans="1:66" ht="17.25" hidden="1" customHeight="1" outlineLevel="1">
      <c r="C75" s="427"/>
      <c r="D75" s="420"/>
      <c r="E75" s="420"/>
      <c r="F75" s="420"/>
      <c r="G75" s="420"/>
      <c r="H75" s="420"/>
      <c r="I75" s="430"/>
      <c r="J75" s="430"/>
      <c r="K75" s="430"/>
      <c r="L75" s="430"/>
      <c r="M75" s="430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427"/>
      <c r="D76" s="428" t="str">
        <f>IF(G60=AD59,AD77,"---")</f>
        <v>---</v>
      </c>
      <c r="E76" s="428"/>
      <c r="F76" s="428"/>
      <c r="G76" s="428"/>
      <c r="H76" s="428"/>
      <c r="I76" s="429" t="s">
        <v>5</v>
      </c>
      <c r="J76" s="431" t="s">
        <v>617</v>
      </c>
      <c r="K76" s="431"/>
      <c r="L76" s="431"/>
      <c r="M76" s="431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427"/>
      <c r="D77" s="428"/>
      <c r="E77" s="428"/>
      <c r="F77" s="428"/>
      <c r="G77" s="428"/>
      <c r="H77" s="428"/>
      <c r="I77" s="429"/>
      <c r="J77" s="431"/>
      <c r="K77" s="431"/>
      <c r="L77" s="431"/>
      <c r="M77" s="431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427"/>
      <c r="D78" s="426" t="str" cm="1">
        <f t="array" ref="D78">angleDecimal2Txt(AD77)</f>
        <v>+306°17.88 (+306.2981) [+306°17'53.39]</v>
      </c>
      <c r="E78" s="426"/>
      <c r="F78" s="426"/>
      <c r="G78" s="426"/>
      <c r="H78" s="426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751">
        <f>I81</f>
        <v>119.30530555555555</v>
      </c>
      <c r="G80" s="751"/>
      <c r="H80" s="751"/>
      <c r="I80" s="26"/>
      <c r="J80" s="639" t="s">
        <v>55</v>
      </c>
      <c r="K80" s="639"/>
      <c r="L80" s="639"/>
      <c r="M80" s="814" t="str">
        <f>J22</f>
        <v>Soleil</v>
      </c>
      <c r="N80" s="814"/>
      <c r="O80" s="814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07" t="s">
        <v>21</v>
      </c>
      <c r="D81" s="607"/>
      <c r="E81" s="607"/>
      <c r="F81" s="607"/>
      <c r="G81" s="607"/>
      <c r="H81" s="607"/>
      <c r="I81" s="461">
        <f>AD82</f>
        <v>119.30530555555555</v>
      </c>
      <c r="J81" s="461"/>
      <c r="K81" s="461"/>
      <c r="L81" s="462"/>
      <c r="M81" s="36" t="s">
        <v>45</v>
      </c>
      <c r="N81" s="602">
        <f>AD81</f>
        <v>479.30530555555555</v>
      </c>
      <c r="O81" s="602"/>
      <c r="P81" s="602"/>
      <c r="Q81" s="602"/>
      <c r="R81" s="455" t="str" cm="1">
        <f t="array" ref="R81">angleDecimal2Txt(AD82)</f>
        <v>+119°18.31 (+119.3053) [+119°18'19.09]</v>
      </c>
      <c r="S81" s="456"/>
      <c r="T81" s="456"/>
      <c r="U81" s="456"/>
      <c r="V81" s="456"/>
      <c r="W81" s="457"/>
      <c r="AC81" s="3" t="s">
        <v>181</v>
      </c>
      <c r="AD81" s="5">
        <f>F59+G34</f>
        <v>479.30530555555555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119.30530555555555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82" t="s">
        <v>72</v>
      </c>
      <c r="E84" s="643"/>
      <c r="F84" s="647">
        <f>IF(G85=AD85,O122,O112)</f>
        <v>32.481228315603715</v>
      </c>
      <c r="G84" s="647"/>
      <c r="H84" s="647"/>
      <c r="I84" s="26"/>
      <c r="J84" s="26"/>
      <c r="K84" s="26"/>
      <c r="L84" s="26" t="s">
        <v>60</v>
      </c>
      <c r="M84" s="582">
        <f>O87</f>
        <v>32.366666666666667</v>
      </c>
      <c r="N84" s="582"/>
      <c r="O84" s="26"/>
      <c r="P84" s="60"/>
      <c r="Q84" s="26" t="s">
        <v>95</v>
      </c>
      <c r="R84" s="26"/>
      <c r="S84" s="625">
        <f>-O99+O94+O103</f>
        <v>0.24789498227037637</v>
      </c>
      <c r="T84" s="626"/>
      <c r="U84" s="627"/>
      <c r="V84" s="628" t="str" cm="1">
        <f t="array" ref="V84">angleDecimal2Txt(S84)</f>
        <v>+00°14.87 (+00.2478) [+00°14'52.42]</v>
      </c>
      <c r="W84" s="628"/>
      <c r="X84" s="628"/>
      <c r="Y84" s="628"/>
      <c r="Z84" s="628"/>
      <c r="AA84" s="26"/>
      <c r="AB84" s="64"/>
    </row>
    <row r="85" spans="1:30" ht="17.25" customHeight="1">
      <c r="C85" s="786" t="s">
        <v>35</v>
      </c>
      <c r="D85" s="786"/>
      <c r="E85" s="786"/>
      <c r="F85" s="786"/>
      <c r="G85" s="513" t="s">
        <v>51</v>
      </c>
      <c r="H85" s="513"/>
      <c r="I85" s="513"/>
      <c r="P85" s="16" t="s">
        <v>69</v>
      </c>
      <c r="V85" s="14"/>
      <c r="W85" s="14"/>
      <c r="X85" s="14"/>
      <c r="Y85" s="14"/>
      <c r="Z85" s="14"/>
      <c r="AC85" s="510" t="s">
        <v>36</v>
      </c>
      <c r="AD85" s="68" t="s">
        <v>50</v>
      </c>
    </row>
    <row r="86" spans="1:30" ht="17.25" customHeight="1" thickBot="1">
      <c r="C86" s="33"/>
      <c r="D86" s="33"/>
      <c r="E86" s="33"/>
      <c r="F86" s="514" t="s">
        <v>62</v>
      </c>
      <c r="G86" s="514"/>
      <c r="H86" s="515"/>
      <c r="I86" s="515"/>
      <c r="J86" s="624">
        <f>IF(G85=AD85,"---",O112)</f>
        <v>32.481228315603715</v>
      </c>
      <c r="K86" s="624"/>
      <c r="L86" s="624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510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585" t="s">
        <v>47</v>
      </c>
      <c r="I87" s="586"/>
      <c r="J87" s="586"/>
      <c r="K87" s="586"/>
      <c r="L87" s="586"/>
      <c r="M87" s="586"/>
      <c r="N87" s="587"/>
      <c r="O87" s="565">
        <f>J21</f>
        <v>32.366666666666667</v>
      </c>
      <c r="P87" s="565"/>
      <c r="Q87" s="565"/>
      <c r="R87" s="565"/>
      <c r="S87" s="16" t="s">
        <v>54</v>
      </c>
      <c r="U87" s="557" t="str" cm="1">
        <f t="array" ref="U87">angleDecimal2Txt(O87)</f>
        <v>+32°22.00 (+32.3666) [+32°22'00.00]</v>
      </c>
      <c r="V87" s="557"/>
      <c r="W87" s="557"/>
      <c r="X87" s="557"/>
      <c r="Y87" s="557"/>
      <c r="Z87" s="557"/>
    </row>
    <row r="88" spans="1:30" ht="17.25" customHeight="1" outlineLevel="1" thickTop="1" thickBot="1">
      <c r="C88" s="16"/>
      <c r="D88" s="16"/>
      <c r="E88" s="16"/>
      <c r="F88" s="16"/>
      <c r="G88" s="16"/>
      <c r="H88" s="585" t="s">
        <v>24</v>
      </c>
      <c r="I88" s="586"/>
      <c r="J88" s="586"/>
      <c r="K88" s="586"/>
      <c r="L88" s="586"/>
      <c r="M88" s="586"/>
      <c r="N88" s="587"/>
      <c r="O88" s="565">
        <f>J20</f>
        <v>0.13333333333333333</v>
      </c>
      <c r="P88" s="565"/>
      <c r="Q88" s="565"/>
      <c r="R88" s="565"/>
      <c r="S88" s="16" t="s">
        <v>54</v>
      </c>
      <c r="U88" s="557" t="str" cm="1">
        <f t="array" ref="U88">angleDecimal2Txt(O88)</f>
        <v>+00°08.00 (+00.1333) [+00°08'00.00]</v>
      </c>
      <c r="V88" s="557"/>
      <c r="W88" s="557"/>
      <c r="X88" s="557"/>
      <c r="Y88" s="557"/>
      <c r="Z88" s="557"/>
      <c r="AC88" s="3" t="s">
        <v>59</v>
      </c>
      <c r="AD88" s="5">
        <f>O88</f>
        <v>0.13333333333333333</v>
      </c>
    </row>
    <row r="89" spans="1:30" ht="17.25" customHeight="1" outlineLevel="1" thickTop="1" thickBot="1">
      <c r="G89" s="16"/>
      <c r="H89" s="585" t="s">
        <v>68</v>
      </c>
      <c r="I89" s="586"/>
      <c r="J89" s="586"/>
      <c r="K89" s="586"/>
      <c r="L89" s="586"/>
      <c r="M89" s="586"/>
      <c r="N89" s="587"/>
      <c r="O89" s="592">
        <f>AD90</f>
        <v>0</v>
      </c>
      <c r="P89" s="592"/>
      <c r="Q89" s="592"/>
      <c r="R89" s="592"/>
      <c r="S89" s="16" t="s">
        <v>54</v>
      </c>
      <c r="U89" s="557" t="str" cm="1">
        <f t="array" ref="U89">angleDecimal2Txt(O89)</f>
        <v>+00°00.00 (+00.0000) [+00°00'00.00]</v>
      </c>
      <c r="V89" s="557"/>
      <c r="W89" s="557"/>
      <c r="X89" s="557"/>
      <c r="Y89" s="557"/>
      <c r="Z89" s="557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48" t="s">
        <v>113</v>
      </c>
      <c r="N90" s="649"/>
      <c r="O90" s="649"/>
      <c r="P90" s="650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817" t="s">
        <v>406</v>
      </c>
      <c r="I91" s="600"/>
      <c r="J91" s="600"/>
      <c r="K91" s="600"/>
      <c r="L91" s="600"/>
      <c r="M91" s="600"/>
      <c r="N91" s="601"/>
      <c r="O91" s="659">
        <f>O87-O88-O89</f>
        <v>32.233333333333334</v>
      </c>
      <c r="P91" s="555"/>
      <c r="Q91" s="16" t="s">
        <v>54</v>
      </c>
      <c r="R91" s="588">
        <f>O91*Outils!F4</f>
        <v>0.5625777955595056</v>
      </c>
      <c r="S91" s="588"/>
      <c r="T91" s="37" t="s">
        <v>64</v>
      </c>
      <c r="U91" s="557" t="str" cm="1">
        <f t="array" ref="U91">angleDecimal2Txt(O91)</f>
        <v>+32°14.00 (+32.2333) [+32°14'00.00]</v>
      </c>
      <c r="V91" s="557"/>
      <c r="W91" s="557"/>
      <c r="X91" s="557"/>
      <c r="Y91" s="557"/>
      <c r="Z91" s="557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532" t="s">
        <v>52</v>
      </c>
      <c r="I93" s="533"/>
      <c r="J93" s="533"/>
      <c r="K93" s="533"/>
      <c r="L93" s="533"/>
      <c r="M93" s="533"/>
      <c r="N93" s="534"/>
      <c r="O93" s="784">
        <f>J24</f>
        <v>2.8833333333333302E-3</v>
      </c>
      <c r="P93" s="785"/>
      <c r="Q93" s="785"/>
      <c r="R93" s="785"/>
      <c r="S93" s="16" t="s">
        <v>54</v>
      </c>
      <c r="U93" s="557" t="str" cm="1">
        <f t="array" ref="U93">angleDecimal2Txt(O93)</f>
        <v>+00°00.17 (+00.0028) [+00°00'10.37]</v>
      </c>
      <c r="V93" s="557"/>
      <c r="W93" s="557"/>
      <c r="X93" s="557"/>
      <c r="Y93" s="557"/>
      <c r="Z93" s="557"/>
      <c r="AC93" s="3" t="s">
        <v>183</v>
      </c>
      <c r="AD93" s="3">
        <f>O93*COS(R91)</f>
        <v>2.4389626733302169E-3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599" t="s">
        <v>140</v>
      </c>
      <c r="I94" s="600"/>
      <c r="J94" s="600"/>
      <c r="K94" s="600"/>
      <c r="L94" s="600"/>
      <c r="M94" s="600"/>
      <c r="N94" s="601"/>
      <c r="O94" s="556">
        <f>AD94</f>
        <v>2.4389626730373618E-3</v>
      </c>
      <c r="P94" s="556"/>
      <c r="Q94" s="556"/>
      <c r="R94" s="556"/>
      <c r="S94" s="16" t="s">
        <v>54</v>
      </c>
      <c r="U94" s="557" t="str" cm="1">
        <f t="array" ref="U94">angleDecimal2Txt(O94)</f>
        <v>+00°00.14 (+00.0024) [+00°00'08.78]</v>
      </c>
      <c r="V94" s="557"/>
      <c r="W94" s="557"/>
      <c r="X94" s="557"/>
      <c r="Y94" s="557"/>
      <c r="Z94" s="557"/>
      <c r="AC94" s="11" t="s">
        <v>702</v>
      </c>
      <c r="AD94">
        <f>ASIN(SIN(O93*Outils!F4)*COS(R91))*Outils!F5</f>
        <v>2.4389626730373618E-3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604" t="s">
        <v>126</v>
      </c>
      <c r="T96" s="605"/>
      <c r="U96" s="606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532" t="s">
        <v>65</v>
      </c>
      <c r="I97" s="533"/>
      <c r="J97" s="533"/>
      <c r="K97" s="533"/>
      <c r="L97" s="533"/>
      <c r="M97" s="533"/>
      <c r="N97" s="534"/>
      <c r="O97" s="590">
        <f>S97</f>
        <v>10</v>
      </c>
      <c r="P97" s="591"/>
      <c r="Q97" s="591"/>
      <c r="R97" s="591"/>
      <c r="S97" s="644">
        <v>10</v>
      </c>
      <c r="T97" s="645"/>
      <c r="U97" s="646"/>
      <c r="Y97" s="14"/>
      <c r="Z97" s="14"/>
      <c r="AC97" s="3" t="s">
        <v>186</v>
      </c>
      <c r="AD97" s="3">
        <f>1/TAN((O91 + 7.31 / (O91 + 4.4)) * Outils!F4)</f>
        <v>1.573751005683109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532" t="s">
        <v>66</v>
      </c>
      <c r="I98" s="533"/>
      <c r="J98" s="533"/>
      <c r="K98" s="533"/>
      <c r="L98" s="533"/>
      <c r="M98" s="533"/>
      <c r="N98" s="534"/>
      <c r="O98" s="590">
        <f>S98</f>
        <v>1010</v>
      </c>
      <c r="P98" s="591"/>
      <c r="Q98" s="591"/>
      <c r="R98" s="591"/>
      <c r="S98" s="644">
        <v>1010</v>
      </c>
      <c r="T98" s="645"/>
      <c r="U98" s="646"/>
      <c r="Y98" s="14"/>
      <c r="Z98" s="14"/>
      <c r="AC98" s="3" t="s">
        <v>187</v>
      </c>
      <c r="AD98" s="3">
        <f>AD97/60</f>
        <v>2.6229183428051816E-2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599" t="s">
        <v>141</v>
      </c>
      <c r="I99" s="600"/>
      <c r="J99" s="600"/>
      <c r="K99" s="600"/>
      <c r="L99" s="600"/>
      <c r="M99" s="600"/>
      <c r="N99" s="601"/>
      <c r="O99" s="556">
        <f>AD100</f>
        <v>2.6210646902660967E-2</v>
      </c>
      <c r="P99" s="556"/>
      <c r="Q99" s="556"/>
      <c r="R99" s="556"/>
      <c r="S99" s="16" t="s">
        <v>54</v>
      </c>
      <c r="U99" s="557" t="str" cm="1">
        <f t="array" ref="U99">angleDecimal2Txt(O99)</f>
        <v>+00°01.57 (+00.0262) [+00°01'34.35]</v>
      </c>
      <c r="V99" s="557"/>
      <c r="W99" s="557"/>
      <c r="X99" s="557"/>
      <c r="Y99" s="557"/>
      <c r="Z99" s="557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2.6210646902660967E-2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532" t="s">
        <v>100</v>
      </c>
      <c r="I101" s="533"/>
      <c r="J101" s="533"/>
      <c r="K101" s="533"/>
      <c r="L101" s="533"/>
      <c r="M101" s="533"/>
      <c r="N101" s="534"/>
      <c r="O101" s="589">
        <f>J27</f>
        <v>0.54333333299999997</v>
      </c>
      <c r="P101" s="589"/>
      <c r="Q101" s="589"/>
      <c r="R101" s="589"/>
    </row>
    <row r="102" spans="1:31" ht="17.25" customHeight="1" outlineLevel="1" thickBot="1">
      <c r="B102" s="14"/>
      <c r="C102" s="14"/>
      <c r="D102" s="14"/>
      <c r="H102" s="532" t="s">
        <v>70</v>
      </c>
      <c r="I102" s="533"/>
      <c r="J102" s="533"/>
      <c r="K102" s="533"/>
      <c r="L102" s="533"/>
      <c r="M102" s="533"/>
      <c r="N102" s="534"/>
      <c r="O102" s="589" t="str">
        <f>J23</f>
        <v>BordInf</v>
      </c>
      <c r="P102" s="589"/>
      <c r="Q102" s="589"/>
      <c r="R102" s="589"/>
      <c r="AC102" s="3" t="s">
        <v>30</v>
      </c>
      <c r="AD102" s="641" t="str">
        <f>J22</f>
        <v>Soleil</v>
      </c>
      <c r="AE102" s="641"/>
    </row>
    <row r="103" spans="1:31" ht="17.25" customHeight="1" outlineLevel="1" thickTop="1" thickBot="1">
      <c r="H103" s="599" t="s">
        <v>71</v>
      </c>
      <c r="I103" s="600"/>
      <c r="J103" s="600"/>
      <c r="K103" s="600"/>
      <c r="L103" s="600"/>
      <c r="M103" s="600"/>
      <c r="N103" s="601"/>
      <c r="O103" s="602">
        <f>AD104</f>
        <v>0.27166666649999999</v>
      </c>
      <c r="P103" s="602"/>
      <c r="Q103" s="602"/>
      <c r="R103" s="602"/>
      <c r="S103" s="16" t="s">
        <v>54</v>
      </c>
      <c r="U103" s="557" t="str" cm="1">
        <f t="array" ref="U103">angleDecimal2Txt(O103)</f>
        <v>+00°16.29 (+00.2716) [+00°16'17.99]</v>
      </c>
      <c r="V103" s="557"/>
      <c r="W103" s="557"/>
      <c r="X103" s="557"/>
      <c r="Y103" s="557"/>
      <c r="Z103" s="557"/>
      <c r="AC103" s="3" t="s">
        <v>190</v>
      </c>
      <c r="AD103" s="641" t="str">
        <f>O102</f>
        <v>BordInf</v>
      </c>
      <c r="AE103" s="641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42" cm="1">
        <f t="array" ref="AD104">astroDiametreSoleilEnDegre(AA7,AD103)</f>
        <v>0.27166666649999999</v>
      </c>
      <c r="AE104" s="642"/>
    </row>
    <row r="105" spans="1:31" ht="17.25" customHeight="1" outlineLevel="1">
      <c r="G105" s="545" t="s">
        <v>107</v>
      </c>
      <c r="H105" s="546"/>
      <c r="I105" s="546"/>
      <c r="J105" s="546"/>
      <c r="K105" s="546"/>
      <c r="L105" s="546"/>
      <c r="M105" s="546"/>
      <c r="N105" s="546"/>
      <c r="O105" s="546"/>
      <c r="P105" s="546"/>
      <c r="Q105" s="546"/>
      <c r="R105" s="546"/>
      <c r="S105" s="547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409" t="s">
        <v>115</v>
      </c>
      <c r="H106" s="410"/>
      <c r="I106" s="516" t="s">
        <v>110</v>
      </c>
      <c r="J106" s="517"/>
      <c r="K106" s="517"/>
      <c r="L106" s="517"/>
      <c r="M106" s="517"/>
      <c r="N106" s="518"/>
      <c r="O106" s="550">
        <f>(O94-O99-O89+O101/2) * 60</f>
        <v>14.873698936222583</v>
      </c>
      <c r="P106" s="543"/>
      <c r="Q106" s="543"/>
      <c r="R106" s="543"/>
      <c r="S106" s="548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413"/>
      <c r="H107" s="414"/>
      <c r="I107" s="519" t="s">
        <v>114</v>
      </c>
      <c r="J107" s="520"/>
      <c r="K107" s="520"/>
      <c r="L107" s="520"/>
      <c r="M107" s="520"/>
      <c r="N107" s="521"/>
      <c r="O107" s="551"/>
      <c r="P107" s="544"/>
      <c r="Q107" s="544"/>
      <c r="R107" s="544"/>
      <c r="S107" s="549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516" t="s">
        <v>111</v>
      </c>
      <c r="J108" s="517"/>
      <c r="K108" s="517"/>
      <c r="L108" s="517"/>
      <c r="M108" s="517"/>
      <c r="N108" s="518"/>
      <c r="O108" s="543">
        <f>(O94-O99+O101/2)*60</f>
        <v>14.873698936222583</v>
      </c>
      <c r="P108" s="543"/>
      <c r="Q108" s="543"/>
      <c r="R108" s="543"/>
      <c r="S108" s="548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519" t="s">
        <v>112</v>
      </c>
      <c r="J109" s="520"/>
      <c r="K109" s="520"/>
      <c r="L109" s="520"/>
      <c r="M109" s="520"/>
      <c r="N109" s="521"/>
      <c r="O109" s="544"/>
      <c r="P109" s="544"/>
      <c r="Q109" s="544"/>
      <c r="R109" s="544"/>
      <c r="S109" s="549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818" t="s">
        <v>71</v>
      </c>
      <c r="J110" s="819"/>
      <c r="K110" s="819"/>
      <c r="L110" s="819"/>
      <c r="M110" s="819"/>
      <c r="N110" s="820"/>
      <c r="O110" s="535">
        <f>O103*60</f>
        <v>16.29999999</v>
      </c>
      <c r="P110" s="536"/>
      <c r="Q110" s="536"/>
      <c r="R110" s="536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552" t="s">
        <v>407</v>
      </c>
      <c r="I112" s="553"/>
      <c r="J112" s="553"/>
      <c r="K112" s="553"/>
      <c r="L112" s="553"/>
      <c r="M112" s="553"/>
      <c r="N112" s="554"/>
      <c r="O112" s="555">
        <f>O91-O99+O94+O103</f>
        <v>32.481228315603715</v>
      </c>
      <c r="P112" s="556"/>
      <c r="Q112" s="556"/>
      <c r="R112" s="556"/>
      <c r="S112" s="16" t="s">
        <v>54</v>
      </c>
      <c r="U112" s="557" t="str" cm="1">
        <f t="array" ref="U112">angleDecimal2Txt(O112)</f>
        <v>+32°28.87 (+32.4812) [+32°28'52.42]</v>
      </c>
      <c r="V112" s="557"/>
      <c r="W112" s="557"/>
      <c r="X112" s="557"/>
      <c r="Y112" s="557"/>
      <c r="Z112" s="557"/>
    </row>
    <row r="113" spans="2:28" ht="17.25" customHeight="1" outlineLevel="1" thickTop="1"/>
    <row r="114" spans="2:28" ht="17.25" customHeight="1" outlineLevel="1">
      <c r="F114" s="514" t="s">
        <v>63</v>
      </c>
      <c r="G114" s="514"/>
      <c r="H114" s="514"/>
      <c r="I114" s="514"/>
      <c r="J114" s="556" t="str">
        <f>IF(G85=AD85,O122,"---")</f>
        <v>---</v>
      </c>
      <c r="K114" s="556"/>
      <c r="L114" s="556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811" t="s">
        <v>33</v>
      </c>
      <c r="V116" s="811"/>
    </row>
    <row r="117" spans="2:28" ht="17.25" customHeight="1" outlineLevel="1">
      <c r="T117" s="101" t="s">
        <v>78</v>
      </c>
      <c r="U117" s="811" t="s">
        <v>80</v>
      </c>
      <c r="V117" s="811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779" t="s">
        <v>75</v>
      </c>
      <c r="L118" s="16" t="s">
        <v>59</v>
      </c>
      <c r="N118" s="779" t="s">
        <v>77</v>
      </c>
      <c r="O118" s="40" t="s">
        <v>230</v>
      </c>
      <c r="Q118" s="779" t="s">
        <v>77</v>
      </c>
      <c r="R118" s="16" t="s">
        <v>231</v>
      </c>
      <c r="T118" s="99" t="s">
        <v>79</v>
      </c>
      <c r="U118" s="812" t="s">
        <v>81</v>
      </c>
      <c r="V118" s="812"/>
      <c r="Z118"/>
      <c r="AA118"/>
    </row>
    <row r="119" spans="2:28" ht="17.25" customHeight="1" outlineLevel="1" thickBot="1">
      <c r="I119" s="40"/>
      <c r="J119" s="42">
        <f>O87</f>
        <v>32.366666666666667</v>
      </c>
      <c r="K119" s="779"/>
      <c r="L119" s="537">
        <f>O88</f>
        <v>0.13333333333333333</v>
      </c>
      <c r="M119" s="538"/>
      <c r="N119" s="779"/>
      <c r="O119" s="541" t="s">
        <v>146</v>
      </c>
      <c r="P119" s="542"/>
      <c r="Q119" s="779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229</v>
      </c>
      <c r="L120" s="539" cm="1">
        <f t="array" ref="L120">angleConvert2Decimal(L119)</f>
        <v>0.133333333333333</v>
      </c>
      <c r="M120" s="540"/>
      <c r="O120" s="583" cm="1">
        <f t="array" ref="O120">angleConvert2Decimal(O119)</f>
        <v>0.17166666666666669</v>
      </c>
      <c r="P120" s="584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55" t="str" cm="1">
        <f t="array" ref="W120">angleDecimal2Txt(V120)</f>
        <v>-00°21.69 (-00.3616) [-00°21'42.00]</v>
      </c>
      <c r="X120" s="471"/>
      <c r="Y120" s="471"/>
      <c r="Z120" s="471"/>
      <c r="AA120" s="472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552" t="s">
        <v>145</v>
      </c>
      <c r="I122" s="553"/>
      <c r="J122" s="553"/>
      <c r="K122" s="553"/>
      <c r="L122" s="553"/>
      <c r="M122" s="553"/>
      <c r="N122" s="554"/>
      <c r="O122" s="555">
        <f>J119-L120+O120+R120</f>
        <v>31.871666666666666</v>
      </c>
      <c r="P122" s="556"/>
      <c r="Q122" s="556"/>
      <c r="R122" s="556"/>
      <c r="S122" s="16" t="s">
        <v>54</v>
      </c>
      <c r="U122" s="557" t="str" cm="1">
        <f t="array" ref="U122">angleDecimal2Txt(O122)</f>
        <v>+31°52.29 (+31.8716) [+31°52'18.00]</v>
      </c>
      <c r="V122" s="557"/>
      <c r="W122" s="557"/>
      <c r="X122" s="557"/>
      <c r="Y122" s="557"/>
      <c r="Z122" s="557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734" t="s">
        <v>360</v>
      </c>
      <c r="P125" s="734"/>
      <c r="Q125" s="734"/>
      <c r="R125" s="734"/>
      <c r="S125" s="734"/>
      <c r="T125" s="734"/>
      <c r="U125" s="734"/>
      <c r="V125" s="734"/>
      <c r="W125" s="734"/>
      <c r="X125" s="734"/>
      <c r="Y125" s="734"/>
      <c r="Z125" s="734"/>
      <c r="AA125" s="734"/>
    </row>
    <row r="126" spans="2:28" ht="17.25" customHeight="1">
      <c r="C126" s="14"/>
      <c r="D126" s="14"/>
      <c r="E126" s="593" t="s">
        <v>22</v>
      </c>
      <c r="F126" s="594"/>
      <c r="G126" s="594"/>
      <c r="H126" s="594"/>
      <c r="I126" s="436" cm="1">
        <f t="array" ref="I126">astroCalculHc(Q127,Q126,Q128)</f>
        <v>-35.493382173533185</v>
      </c>
      <c r="J126" s="421"/>
      <c r="K126" s="421"/>
      <c r="L126" s="421"/>
      <c r="M126" s="422"/>
      <c r="O126" s="565" t="s">
        <v>84</v>
      </c>
      <c r="P126" s="565"/>
      <c r="Q126" s="565">
        <f>F38</f>
        <v>23.122277777777775</v>
      </c>
      <c r="R126" s="565"/>
      <c r="S126" s="565"/>
      <c r="T126" s="411" t="s">
        <v>54</v>
      </c>
      <c r="U126" s="731">
        <f>Q126*Outils!$F$4</f>
        <v>0.40355987778293995</v>
      </c>
      <c r="V126" s="732"/>
      <c r="W126" s="733"/>
      <c r="X126" s="411" t="s">
        <v>64</v>
      </c>
    </row>
    <row r="127" spans="2:28" ht="17.25" customHeight="1" thickBot="1">
      <c r="C127" s="14"/>
      <c r="D127" s="14"/>
      <c r="E127" s="595"/>
      <c r="F127" s="596"/>
      <c r="G127" s="596"/>
      <c r="H127" s="596"/>
      <c r="I127" s="468"/>
      <c r="J127" s="469"/>
      <c r="K127" s="469"/>
      <c r="L127" s="469"/>
      <c r="M127" s="470"/>
      <c r="N127" s="48" t="s">
        <v>116</v>
      </c>
      <c r="O127" s="565" t="s">
        <v>85</v>
      </c>
      <c r="P127" s="565"/>
      <c r="Q127" s="565">
        <f>G32</f>
        <v>-27.5</v>
      </c>
      <c r="R127" s="565"/>
      <c r="S127" s="565"/>
      <c r="T127" s="411"/>
      <c r="U127" s="731">
        <f>Q127*Outils!$F$4</f>
        <v>-0.47996554429844063</v>
      </c>
      <c r="V127" s="732"/>
      <c r="W127" s="733"/>
      <c r="X127" s="411"/>
    </row>
    <row r="128" spans="2:28" ht="17.25" customHeight="1" thickTop="1" thickBot="1">
      <c r="C128" s="14"/>
      <c r="D128" s="14"/>
      <c r="E128" s="597"/>
      <c r="F128" s="598"/>
      <c r="G128" s="598"/>
      <c r="H128" s="598"/>
      <c r="I128" s="455" t="str" cm="1">
        <f t="array" ref="I128">angleDecimal2Txt(I126)</f>
        <v>-35°29.60 (-35.4933) [-35°29'36.17]</v>
      </c>
      <c r="J128" s="471"/>
      <c r="K128" s="471"/>
      <c r="L128" s="471"/>
      <c r="M128" s="472"/>
      <c r="O128" s="565" t="s">
        <v>43</v>
      </c>
      <c r="P128" s="565"/>
      <c r="Q128" s="565">
        <f>F80</f>
        <v>119.30530555555555</v>
      </c>
      <c r="R128" s="565"/>
      <c r="S128" s="565"/>
      <c r="T128" s="411"/>
      <c r="U128" s="731">
        <f>Q128*Outils!$F$4</f>
        <v>2.0822703970423269</v>
      </c>
      <c r="V128" s="732"/>
      <c r="W128" s="733"/>
      <c r="X128" s="411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93" t="s">
        <v>25</v>
      </c>
      <c r="F130" s="594"/>
      <c r="G130" s="594"/>
      <c r="H130" s="594"/>
      <c r="I130" s="436">
        <f>F84</f>
        <v>32.481228315603715</v>
      </c>
      <c r="J130" s="421"/>
      <c r="K130" s="421"/>
      <c r="L130" s="421"/>
      <c r="M130" s="422"/>
    </row>
    <row r="131" spans="1:30" ht="17.25" customHeight="1" thickBot="1">
      <c r="C131" s="14"/>
      <c r="D131" s="14"/>
      <c r="E131" s="595"/>
      <c r="F131" s="596"/>
      <c r="G131" s="596"/>
      <c r="H131" s="596"/>
      <c r="I131" s="468"/>
      <c r="J131" s="469"/>
      <c r="K131" s="469"/>
      <c r="L131" s="469"/>
      <c r="M131" s="470"/>
      <c r="O131" s="735" t="s">
        <v>27</v>
      </c>
      <c r="P131" s="736"/>
      <c r="Q131" s="736"/>
      <c r="R131" s="736"/>
      <c r="S131" s="737"/>
      <c r="T131" s="287">
        <f>I130-I126</f>
        <v>67.974610489136893</v>
      </c>
      <c r="U131" s="216" t="s">
        <v>28</v>
      </c>
      <c r="V131" s="217">
        <f>T131*60</f>
        <v>4078.4766293482135</v>
      </c>
      <c r="W131" s="216" t="s">
        <v>104</v>
      </c>
      <c r="X131" s="730" t="str">
        <f>IF(T131&gt;0,"Vers Pg", "Oppose de Pg")</f>
        <v>Vers Pg</v>
      </c>
      <c r="Y131" s="730"/>
    </row>
    <row r="132" spans="1:30" ht="17.25" customHeight="1" thickTop="1" thickBot="1">
      <c r="C132" s="14"/>
      <c r="D132" s="14"/>
      <c r="E132" s="597"/>
      <c r="F132" s="598"/>
      <c r="G132" s="598"/>
      <c r="H132" s="598"/>
      <c r="I132" s="455" t="str" cm="1">
        <f t="array" ref="I132">angleDecimal2Txt(I130)</f>
        <v>+32°28.87 (+32.4812) [+32°28'52.42]</v>
      </c>
      <c r="J132" s="471"/>
      <c r="K132" s="471"/>
      <c r="L132" s="471"/>
      <c r="M132" s="472"/>
      <c r="O132"/>
      <c r="P132"/>
      <c r="Q132"/>
      <c r="S132" s="603" t="s">
        <v>363</v>
      </c>
      <c r="T132" s="531" t="s">
        <v>381</v>
      </c>
      <c r="U132" s="531"/>
      <c r="V132" s="531">
        <f>F38</f>
        <v>23.122277777777775</v>
      </c>
      <c r="W132" s="531"/>
      <c r="X132" s="580" t="str">
        <f>latitudeDecimal2Txt(V132)</f>
        <v>N 23°07.33 (N 23.1222) [N 23°07'20.19]</v>
      </c>
      <c r="Y132" s="580"/>
      <c r="Z132" s="580"/>
      <c r="AA132" s="580"/>
      <c r="AB132" s="580"/>
      <c r="AC132" s="580"/>
    </row>
    <row r="133" spans="1:30" ht="17.25" customHeight="1" thickTop="1">
      <c r="C133" s="14"/>
      <c r="D133" s="14"/>
      <c r="E133" s="16"/>
      <c r="F133" s="16"/>
      <c r="G133" s="16"/>
      <c r="S133" s="603"/>
      <c r="T133" s="530" t="s">
        <v>382</v>
      </c>
      <c r="U133" s="530"/>
      <c r="V133" s="531" cm="1">
        <f t="array" ref="V133">longitudeHoraire2longitude(F59)</f>
        <v>-56.305305555555549</v>
      </c>
      <c r="W133" s="530"/>
      <c r="X133" s="581" t="str">
        <f>longitudeDecimal2Txt(V133)</f>
        <v>W 56°18.31 (W 56.3053) [W 56°18'19.09]</v>
      </c>
      <c r="Y133" s="581"/>
      <c r="Z133" s="581"/>
      <c r="AA133" s="581"/>
      <c r="AB133" s="581"/>
      <c r="AC133" s="581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701" t="s">
        <v>86</v>
      </c>
      <c r="P136" s="702"/>
      <c r="Q136" s="702"/>
      <c r="R136" s="702"/>
      <c r="S136" s="702"/>
      <c r="T136" s="702"/>
      <c r="U136" s="702"/>
      <c r="V136" s="702"/>
      <c r="W136" s="702"/>
      <c r="X136" s="702"/>
      <c r="Y136" s="702"/>
      <c r="Z136" s="702"/>
      <c r="AA136" s="702"/>
    </row>
    <row r="137" spans="1:30" ht="17.25" customHeight="1">
      <c r="E137" s="16"/>
      <c r="F137" s="16"/>
      <c r="G137" s="16"/>
      <c r="O137" s="565" t="s">
        <v>222</v>
      </c>
      <c r="P137" s="565"/>
      <c r="Q137" s="565">
        <f>I126</f>
        <v>-35.493382173533185</v>
      </c>
      <c r="R137" s="565"/>
      <c r="S137" s="565"/>
      <c r="T137" s="816" t="s">
        <v>54</v>
      </c>
      <c r="U137" s="565">
        <f>Q137*Outils!$F$4</f>
        <v>-0.6194763815968154</v>
      </c>
      <c r="V137" s="565"/>
      <c r="W137" s="565"/>
      <c r="X137" s="411" t="s">
        <v>64</v>
      </c>
    </row>
    <row r="138" spans="1:30" ht="17.25" customHeight="1">
      <c r="A138" s="14"/>
      <c r="B138" s="14"/>
      <c r="C138" s="14"/>
      <c r="D138" s="14"/>
      <c r="E138" s="571" t="s">
        <v>92</v>
      </c>
      <c r="F138" s="572"/>
      <c r="G138" s="572"/>
      <c r="H138" s="573"/>
      <c r="I138" s="436" cm="1">
        <f t="array" ref="I138">astroCalculZ(Q139,Q138,Q140)</f>
        <v>99.934962582554917</v>
      </c>
      <c r="J138" s="421"/>
      <c r="K138" s="421"/>
      <c r="L138" s="421"/>
      <c r="M138" s="422"/>
      <c r="O138" s="565" t="s">
        <v>84</v>
      </c>
      <c r="P138" s="565"/>
      <c r="Q138" s="565">
        <f>F38</f>
        <v>23.122277777777775</v>
      </c>
      <c r="R138" s="565"/>
      <c r="S138" s="565"/>
      <c r="T138" s="816"/>
      <c r="U138" s="565">
        <f>Q138*Outils!$F$4</f>
        <v>0.40355987778293995</v>
      </c>
      <c r="V138" s="565"/>
      <c r="W138" s="565"/>
      <c r="X138" s="411"/>
    </row>
    <row r="139" spans="1:30" ht="17.25" customHeight="1" thickBot="1">
      <c r="C139" s="14"/>
      <c r="D139" s="14"/>
      <c r="E139" s="574"/>
      <c r="F139" s="575"/>
      <c r="G139" s="575"/>
      <c r="H139" s="576"/>
      <c r="I139" s="468"/>
      <c r="J139" s="469"/>
      <c r="K139" s="469"/>
      <c r="L139" s="469"/>
      <c r="M139" s="470"/>
      <c r="N139" s="48" t="s">
        <v>116</v>
      </c>
      <c r="O139" s="565" t="s">
        <v>85</v>
      </c>
      <c r="P139" s="565"/>
      <c r="Q139" s="565">
        <f>G32</f>
        <v>-27.5</v>
      </c>
      <c r="R139" s="565"/>
      <c r="S139" s="565"/>
      <c r="T139" s="816"/>
      <c r="U139" s="565">
        <f>Q139*Outils!$F$4</f>
        <v>-0.47996554429844063</v>
      </c>
      <c r="V139" s="565"/>
      <c r="W139" s="565"/>
      <c r="X139" s="411"/>
    </row>
    <row r="140" spans="1:30" ht="17.25" customHeight="1" thickTop="1" thickBot="1">
      <c r="C140" s="14"/>
      <c r="D140" s="14"/>
      <c r="E140" s="577"/>
      <c r="F140" s="578"/>
      <c r="G140" s="578"/>
      <c r="H140" s="579"/>
      <c r="I140" s="465" t="str" cm="1">
        <f t="array" ref="I140">angleDecimal2Txt(I138)</f>
        <v>+99°56.09 (+99.9349) [+99°56'05.86]</v>
      </c>
      <c r="J140" s="466"/>
      <c r="K140" s="466"/>
      <c r="L140" s="466"/>
      <c r="M140" s="467"/>
      <c r="O140" s="565" t="s">
        <v>43</v>
      </c>
      <c r="P140" s="565"/>
      <c r="Q140" s="565">
        <f>F80</f>
        <v>119.30530555555555</v>
      </c>
      <c r="R140" s="565"/>
      <c r="S140" s="565"/>
      <c r="T140" s="816"/>
      <c r="U140" s="565">
        <f>Q140*Outils!$F$4</f>
        <v>2.0822703970423269</v>
      </c>
      <c r="V140" s="565"/>
      <c r="W140" s="565"/>
      <c r="X140" s="411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568" t="s">
        <v>143</v>
      </c>
      <c r="J142" s="569"/>
      <c r="K142" s="569"/>
      <c r="L142" s="569"/>
      <c r="M142" s="569"/>
      <c r="N142" s="570"/>
      <c r="O142" s="568" t="s">
        <v>144</v>
      </c>
      <c r="P142" s="569"/>
      <c r="Q142" s="569"/>
      <c r="R142" s="569"/>
      <c r="S142" s="569"/>
      <c r="T142" s="570"/>
      <c r="AD142" s="92"/>
    </row>
    <row r="143" spans="1:30" ht="17.25" customHeight="1">
      <c r="F143" s="16"/>
      <c r="G143" s="16"/>
      <c r="I143" s="450"/>
      <c r="J143" s="691" t="s">
        <v>117</v>
      </c>
      <c r="K143" s="692"/>
      <c r="L143" s="693"/>
      <c r="M143" s="697" t="s">
        <v>118</v>
      </c>
      <c r="N143" s="698"/>
      <c r="O143" s="450"/>
      <c r="P143" s="691" t="s">
        <v>117</v>
      </c>
      <c r="Q143" s="692"/>
      <c r="R143" s="693"/>
      <c r="S143" s="697" t="s">
        <v>119</v>
      </c>
      <c r="T143" s="698"/>
      <c r="AD143" s="92"/>
    </row>
    <row r="144" spans="1:30" ht="17.25" customHeight="1">
      <c r="F144" s="16"/>
      <c r="G144" s="16"/>
      <c r="I144" s="451"/>
      <c r="J144" s="694" t="s">
        <v>87</v>
      </c>
      <c r="K144" s="695"/>
      <c r="L144" s="696"/>
      <c r="M144" s="699" t="s">
        <v>88</v>
      </c>
      <c r="N144" s="700"/>
      <c r="O144" s="451"/>
      <c r="P144" s="694" t="s">
        <v>87</v>
      </c>
      <c r="Q144" s="695"/>
      <c r="R144" s="696"/>
      <c r="S144" s="699" t="s">
        <v>89</v>
      </c>
      <c r="T144" s="700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90"/>
      <c r="U145" s="690"/>
      <c r="V145" s="690"/>
      <c r="W145" s="14"/>
      <c r="X145" s="690"/>
      <c r="Y145" s="690"/>
      <c r="Z145" s="690"/>
      <c r="AD145" s="92"/>
    </row>
    <row r="146" spans="2:30" ht="17.25" customHeight="1">
      <c r="F146" s="14"/>
      <c r="N146" s="566"/>
      <c r="O146" s="566"/>
      <c r="Q146" s="690"/>
      <c r="R146" s="690"/>
      <c r="S146" s="690"/>
      <c r="T146" s="690"/>
      <c r="U146" s="690"/>
      <c r="V146" s="690"/>
      <c r="W146" s="14"/>
      <c r="X146" s="690"/>
      <c r="Y146" s="690"/>
      <c r="Z146" s="690"/>
      <c r="AC146" t="s">
        <v>557</v>
      </c>
      <c r="AD146" t="b">
        <f>Q127&gt;0</f>
        <v>0</v>
      </c>
    </row>
    <row r="147" spans="2:30" ht="17.25" customHeight="1">
      <c r="I147" s="565" t="s">
        <v>85</v>
      </c>
      <c r="J147" s="565"/>
      <c r="K147" s="57">
        <f>G32</f>
        <v>-27.5</v>
      </c>
      <c r="L147" s="567" t="str">
        <f>CONCATENATE("Sens: ",IF(Q139&gt;0,"Nord","Sud"))</f>
        <v>Sens: Sud</v>
      </c>
      <c r="M147" s="555"/>
      <c r="AC147" t="s">
        <v>558</v>
      </c>
      <c r="AD147" t="b">
        <f>Q128&gt;180</f>
        <v>0</v>
      </c>
    </row>
    <row r="148" spans="2:30" ht="17.25" customHeight="1" thickBot="1">
      <c r="I148" s="565" t="s">
        <v>43</v>
      </c>
      <c r="J148" s="565"/>
      <c r="K148" s="57">
        <f>Q140</f>
        <v>119.30530555555555</v>
      </c>
      <c r="L148" s="567" t="str">
        <f>CONCATENATE("Is &gt; 180? ", IF(Q140&gt;180,"Y", "N"))</f>
        <v>Is &gt; 180? N</v>
      </c>
      <c r="M148" s="555"/>
      <c r="O148" s="735" t="s">
        <v>93</v>
      </c>
      <c r="P148" s="736"/>
      <c r="Q148" s="736"/>
      <c r="R148" s="736"/>
      <c r="S148" s="736"/>
      <c r="T148" s="823" cm="1">
        <f t="array" ref="T148">astroCalculZ2Zn(Q139,I138,Q140)</f>
        <v>279.93496258255493</v>
      </c>
      <c r="U148" s="824"/>
      <c r="V148" s="50" t="s">
        <v>28</v>
      </c>
      <c r="W148" s="14"/>
    </row>
    <row r="149" spans="2:30" ht="17.25" customHeight="1" thickTop="1" thickBot="1">
      <c r="I149" s="731" t="s">
        <v>120</v>
      </c>
      <c r="J149" s="732"/>
      <c r="K149" s="774"/>
      <c r="L149" s="567" t="str">
        <f>IF(K147&gt;0,IF(K148&gt;180,M143,M144),IF(K148&gt;180,S143,S144))</f>
        <v>Zn = 180 +  Z</v>
      </c>
      <c r="M149" s="555"/>
      <c r="T149" s="557" t="str" cm="1">
        <f t="array" ref="T149">angleDecimal2Txt(T148)</f>
        <v>+279°56.09 (+279.9349) [+279°56'05.86]</v>
      </c>
      <c r="U149" s="557"/>
      <c r="V149" s="557"/>
      <c r="W149" s="557"/>
      <c r="X149" s="557"/>
      <c r="Y149" s="557"/>
    </row>
    <row r="150" spans="2:30" ht="17.25" customHeight="1" thickTop="1"/>
    <row r="151" spans="2:30" ht="17.25" customHeight="1" thickBot="1"/>
    <row r="152" spans="2:30" ht="17.25" customHeight="1" thickBot="1">
      <c r="B152" s="25" t="s">
        <v>232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73" t="s">
        <v>233</v>
      </c>
      <c r="D154" s="773"/>
      <c r="E154" s="773"/>
      <c r="F154" s="773"/>
      <c r="G154" s="103"/>
      <c r="H154" s="773" t="s">
        <v>234</v>
      </c>
      <c r="I154" s="773"/>
      <c r="J154" s="773"/>
      <c r="L154" s="775" t="s">
        <v>223</v>
      </c>
      <c r="M154" s="776"/>
      <c r="N154" s="777"/>
      <c r="Q154" s="822" t="s">
        <v>235</v>
      </c>
      <c r="R154" s="822"/>
      <c r="S154" s="822"/>
      <c r="T154" s="822"/>
      <c r="U154" s="90"/>
      <c r="AC154" t="s">
        <v>220</v>
      </c>
      <c r="AD154" s="92">
        <f>I155/60</f>
        <v>67.974610489136893</v>
      </c>
    </row>
    <row r="155" spans="2:30" ht="17.25" hidden="1" customHeight="1" outlineLevel="1" thickTop="1" thickBot="1">
      <c r="D155" s="127" t="s">
        <v>41</v>
      </c>
      <c r="E155" s="778">
        <f>G32</f>
        <v>-27.5</v>
      </c>
      <c r="F155" s="778"/>
      <c r="I155" s="778">
        <f>V131</f>
        <v>4078.4766293482135</v>
      </c>
      <c r="J155" s="778"/>
      <c r="K155" s="16" t="s">
        <v>104</v>
      </c>
      <c r="M155" s="476">
        <f>T148</f>
        <v>279.93496258255493</v>
      </c>
      <c r="N155" s="477"/>
      <c r="R155" s="128" t="s">
        <v>41</v>
      </c>
      <c r="S155" s="641">
        <f>AD157</f>
        <v>-15.772327269145665</v>
      </c>
      <c r="T155" s="641"/>
      <c r="U155" s="426" t="str" cm="1">
        <f t="array" ref="U155">latitudeDecimal2Txt(S155)</f>
        <v>S 15°46.33 (S 15.7723) [S 15°46'20.37]</v>
      </c>
      <c r="V155" s="426"/>
      <c r="W155" s="426"/>
      <c r="X155" s="426"/>
      <c r="Y155" s="426"/>
      <c r="Z155" s="426"/>
      <c r="AC155" t="s">
        <v>221</v>
      </c>
      <c r="AD155" s="92">
        <f>M155</f>
        <v>279.93496258255493</v>
      </c>
    </row>
    <row r="156" spans="2:30" ht="17.25" hidden="1" customHeight="1" outlineLevel="1" thickTop="1" thickBot="1">
      <c r="D156" s="127" t="s">
        <v>42</v>
      </c>
      <c r="E156" s="778">
        <f>G34</f>
        <v>63</v>
      </c>
      <c r="F156" s="778"/>
      <c r="R156" s="128" t="s">
        <v>42</v>
      </c>
      <c r="S156" s="641">
        <f>AD159</f>
        <v>-9.0302454134821488</v>
      </c>
      <c r="T156" s="641"/>
      <c r="U156" s="426" t="str" cm="1">
        <f t="array" ref="U156">longitudeDecimal2Txt(S156)</f>
        <v>W 09°01.81 (W 09.0302) [W 09°01'48.88]</v>
      </c>
      <c r="V156" s="426"/>
      <c r="W156" s="426"/>
      <c r="X156" s="426"/>
      <c r="Y156" s="426"/>
      <c r="Z156" s="426"/>
      <c r="AC156" s="16"/>
      <c r="AD156" s="16"/>
    </row>
    <row r="157" spans="2:30" ht="17.25" hidden="1" customHeight="1" outlineLevel="1" thickTop="1">
      <c r="D157" s="16"/>
      <c r="AC157" t="s">
        <v>237</v>
      </c>
      <c r="AD157">
        <f>E155+AD154*COS(AD155*Outils!$F$4)</f>
        <v>-15.772327269145665</v>
      </c>
    </row>
    <row r="158" spans="2:30" ht="17.25" hidden="1" customHeight="1" outlineLevel="1">
      <c r="C158"/>
      <c r="D158"/>
      <c r="E158"/>
      <c r="Q158" s="822" t="s">
        <v>236</v>
      </c>
      <c r="R158" s="822"/>
      <c r="S158" s="822"/>
      <c r="AC158" t="s">
        <v>238</v>
      </c>
      <c r="AD158">
        <f>(E155+AD157)/2</f>
        <v>-21.636163634572831</v>
      </c>
    </row>
    <row r="159" spans="2:30" ht="17.25" hidden="1" customHeight="1" outlineLevel="1">
      <c r="R159" s="641">
        <f>M155-90</f>
        <v>189.93496258255493</v>
      </c>
      <c r="S159" s="641"/>
      <c r="T159" s="50" t="s">
        <v>28</v>
      </c>
      <c r="AC159" t="s">
        <v>239</v>
      </c>
      <c r="AD159">
        <f>E156+(AD154*SIN(M155*Outils!$F$4)/COS(AD158*Outils!$F$4))</f>
        <v>-9.0302454134821488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240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72" t="s">
        <v>235</v>
      </c>
      <c r="D164" s="772"/>
      <c r="E164" s="772"/>
      <c r="F164" s="772"/>
      <c r="G164" s="90"/>
      <c r="H164" s="16"/>
      <c r="I164" s="16"/>
      <c r="J164" s="16"/>
      <c r="K164" s="16"/>
      <c r="L164" s="16"/>
      <c r="Q164" s="104" t="s">
        <v>241</v>
      </c>
      <c r="R164" s="104"/>
      <c r="S164" s="104"/>
      <c r="T164" s="104"/>
      <c r="U164" s="104"/>
      <c r="V164" s="104"/>
      <c r="W164" s="104"/>
      <c r="AC164" t="s">
        <v>271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64">
        <v>46</v>
      </c>
      <c r="F165" s="564"/>
      <c r="G165" s="426" t="str" cm="1">
        <f t="array" ref="G165">latitudeDecimal2Txt(E165)</f>
        <v>N 46°00.00 (N 46.0000) [N 46°00'00.00]</v>
      </c>
      <c r="H165" s="426"/>
      <c r="I165" s="426"/>
      <c r="J165" s="426"/>
      <c r="K165" s="426"/>
      <c r="L165" s="426"/>
      <c r="R165" s="128" t="s">
        <v>41</v>
      </c>
      <c r="S165" s="641">
        <f>AG169</f>
        <v>-4.6177196729918952</v>
      </c>
      <c r="T165" s="641"/>
      <c r="U165" s="426" t="str" cm="1">
        <f t="array" ref="U165">latitudeDecimal2Txt(S165)</f>
        <v>S 04°37.06 (S 04.6177) [S 04°37'03.79]</v>
      </c>
      <c r="V165" s="426"/>
      <c r="W165" s="426"/>
      <c r="X165" s="426"/>
      <c r="Y165" s="426"/>
      <c r="Z165" s="426"/>
      <c r="AC165" s="121" t="s">
        <v>272</v>
      </c>
      <c r="AD165" s="122">
        <f>R159</f>
        <v>189.93496258255493</v>
      </c>
    </row>
    <row r="166" spans="2:33" customFormat="1" ht="17.25" hidden="1" customHeight="1" outlineLevel="1" thickTop="1" thickBot="1">
      <c r="D166" s="129" t="s">
        <v>42</v>
      </c>
      <c r="E166" s="564">
        <v>-7</v>
      </c>
      <c r="F166" s="564"/>
      <c r="G166" s="426" t="str" cm="1">
        <f t="array" ref="G166">longitudeDecimal2Txt(E166)</f>
        <v>W 07°00.00 (W 07.0000) [W 07°00'00.00]</v>
      </c>
      <c r="H166" s="426"/>
      <c r="I166" s="426"/>
      <c r="J166" s="426"/>
      <c r="K166" s="426"/>
      <c r="L166" s="426"/>
      <c r="R166" s="128" t="s">
        <v>42</v>
      </c>
      <c r="S166" s="641">
        <f>AG170</f>
        <v>-6.9999999999999911</v>
      </c>
      <c r="T166" s="641"/>
      <c r="U166" s="426" t="str" cm="1">
        <f t="array" ref="U166">longitudeDecimal2Txt(S166)</f>
        <v>W 06°59.99 (W 06.9999) [W 06°59'59.99]</v>
      </c>
      <c r="V166" s="426"/>
      <c r="W166" s="426"/>
      <c r="X166" s="426"/>
      <c r="Y166" s="426"/>
      <c r="Z166" s="426"/>
      <c r="AC166" s="123" t="s">
        <v>274</v>
      </c>
      <c r="AD166" s="122">
        <f>S155</f>
        <v>-15.772327269145665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275</v>
      </c>
      <c r="AD167" s="122">
        <f>S156</f>
        <v>-9.0302454134821488</v>
      </c>
    </row>
    <row r="168" spans="2:33" customFormat="1" ht="17.25" hidden="1" customHeight="1" outlineLevel="1">
      <c r="C168" s="772" t="s">
        <v>236</v>
      </c>
      <c r="D168" s="772"/>
      <c r="E168" s="772"/>
      <c r="F168" s="108"/>
      <c r="G168" s="16"/>
      <c r="H168" s="16"/>
      <c r="I168" s="16"/>
      <c r="J168" s="16"/>
      <c r="K168" s="16"/>
      <c r="L168" s="16"/>
      <c r="AC168" s="121" t="s">
        <v>242</v>
      </c>
      <c r="AD168" s="121">
        <f>TAN(AD165*Outils!F4) * (1 / COS(AD166*Outils!F4))</f>
        <v>0.18200957729631015</v>
      </c>
    </row>
    <row r="169" spans="2:33" customFormat="1" ht="17.25" hidden="1" customHeight="1" outlineLevel="1">
      <c r="D169" s="564">
        <v>180</v>
      </c>
      <c r="E169" s="564"/>
      <c r="F169" s="130" t="s">
        <v>28</v>
      </c>
      <c r="G169" s="16"/>
      <c r="H169" s="16"/>
      <c r="I169" s="16"/>
      <c r="J169" s="16"/>
      <c r="K169" s="16"/>
      <c r="L169" s="16"/>
      <c r="AC169" s="121" t="s">
        <v>243</v>
      </c>
      <c r="AD169" s="121">
        <f>AD167-AD166*AD168</f>
        <v>-6.1595307942458808</v>
      </c>
      <c r="AE169" s="821" t="s">
        <v>279</v>
      </c>
      <c r="AF169" s="821"/>
      <c r="AG169" s="124">
        <f>(AD174-AD169)/(AD168-AD173)</f>
        <v>-4.6177196729918952</v>
      </c>
    </row>
    <row r="170" spans="2:33" customFormat="1" ht="15" hidden="1" outlineLevel="1">
      <c r="AC170" s="118" t="s">
        <v>273</v>
      </c>
      <c r="AD170" s="119">
        <f>D169</f>
        <v>180</v>
      </c>
      <c r="AE170" s="821"/>
      <c r="AF170" s="821"/>
      <c r="AG170" s="124">
        <f>AD168*AG169+AD169</f>
        <v>-6.9999999999999911</v>
      </c>
    </row>
    <row r="171" spans="2:33" customFormat="1" ht="18.75" hidden="1" outlineLevel="1">
      <c r="S171" s="16"/>
      <c r="T171" s="16"/>
      <c r="AC171" s="120" t="s">
        <v>274</v>
      </c>
      <c r="AD171" s="119">
        <f>E165</f>
        <v>46</v>
      </c>
    </row>
    <row r="172" spans="2:33" customFormat="1" ht="18" hidden="1" outlineLevel="1">
      <c r="AC172" s="118" t="s">
        <v>275</v>
      </c>
      <c r="AD172" s="119">
        <f>E166</f>
        <v>-7</v>
      </c>
      <c r="AE172" s="821" t="s">
        <v>280</v>
      </c>
      <c r="AF172" s="821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276</v>
      </c>
      <c r="AD173" s="118">
        <f>TAN(AD170*Outils!F4) * (1 / COS(AD171*Outils!F4))</f>
        <v>-1.7636704702760584E-16</v>
      </c>
      <c r="AE173" s="821"/>
      <c r="AF173" s="821"/>
      <c r="AG173" s="124">
        <f>E166+(E165-S155)*TAN(R159*Outils!F4)/COS(Outils!F4*S155)</f>
        <v>4.2431551748665317</v>
      </c>
    </row>
    <row r="174" spans="2:33" customFormat="1" ht="17.25" hidden="1" customHeight="1" outlineLevel="1">
      <c r="AC174" s="118" t="s">
        <v>277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821" t="s">
        <v>278</v>
      </c>
      <c r="AF175" s="821"/>
      <c r="AG175" s="124">
        <f>IF($AE$164,AG172,AG169)</f>
        <v>-4.6177196729918952</v>
      </c>
    </row>
    <row r="176" spans="2:33" customFormat="1" ht="15" hidden="1" outlineLevel="1">
      <c r="K176" s="16"/>
      <c r="L176" s="16"/>
      <c r="AC176" s="118"/>
      <c r="AE176" s="821"/>
      <c r="AF176" s="821"/>
      <c r="AG176" s="124">
        <f>IF($AE$164,AG173,AG170)</f>
        <v>-6.9999999999999911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535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512" t="s">
        <v>1</v>
      </c>
      <c r="C181" s="512"/>
      <c r="D181" s="512" t="str">
        <f>E7</f>
        <v>2024/12/27</v>
      </c>
      <c r="E181" s="512"/>
      <c r="F181" s="512"/>
      <c r="G181" s="512"/>
      <c r="H181" s="234" t="s">
        <v>2</v>
      </c>
      <c r="I181" s="512" t="str">
        <f>I7</f>
        <v>15:48:59.99(15.8166)</v>
      </c>
      <c r="J181" s="512"/>
      <c r="K181" s="512"/>
      <c r="L181" s="512"/>
    </row>
    <row r="182" spans="2:65" customFormat="1" ht="15">
      <c r="B182" s="558" t="s">
        <v>30</v>
      </c>
      <c r="C182" s="558"/>
      <c r="D182" s="559" t="str">
        <f>J22</f>
        <v>Soleil</v>
      </c>
      <c r="E182" s="558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400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41" t="s">
        <v>474</v>
      </c>
      <c r="D185" s="441"/>
      <c r="E185" s="441" t="str" cm="1">
        <f t="array" ref="E185">angleDecimal2Txt(angleConvert2Decimal(M21))</f>
        <v>+46°47.10 (+46.7849) [+46°47'06.00]</v>
      </c>
      <c r="F185" s="441"/>
      <c r="G185" s="441"/>
      <c r="H185" s="441"/>
      <c r="I185" s="441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43" t="s">
        <v>70</v>
      </c>
      <c r="D186" s="443"/>
      <c r="E186" s="443" t="str">
        <f>J23</f>
        <v>BordInf</v>
      </c>
      <c r="F186" s="443"/>
      <c r="G186" s="443"/>
      <c r="H186" s="443"/>
      <c r="I186" s="443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511" t="s">
        <v>402</v>
      </c>
      <c r="D187" s="511"/>
      <c r="E187" s="463" t="str" cm="1">
        <f t="array" ref="E187">angleDecimal2Txt(angleConvert2Decimal(M20))</f>
        <v>+00°08.00 (+00.1333) [+00°08'00.00]</v>
      </c>
      <c r="F187" s="463"/>
      <c r="G187" s="463"/>
      <c r="H187" s="463"/>
      <c r="I187" s="463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512" t="s">
        <v>403</v>
      </c>
      <c r="D188" s="512"/>
      <c r="E188" s="464" t="str">
        <f>CONCATENATE(M19, " m")</f>
        <v>0 m</v>
      </c>
      <c r="F188" s="464"/>
      <c r="G188" s="464"/>
      <c r="H188" s="464"/>
      <c r="I188" s="464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48" t="str" cm="1">
        <f t="array" ref="E189">angleDecimal2Txt(O91)</f>
        <v>+32°14.00 (+32.2333) [+32°14'00.00]</v>
      </c>
      <c r="F189" s="448"/>
      <c r="G189" s="448"/>
      <c r="H189" s="448"/>
      <c r="I189" s="448"/>
      <c r="J189" s="448" t="s">
        <v>475</v>
      </c>
      <c r="K189" s="448"/>
      <c r="L189" s="448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45" t="s">
        <v>403</v>
      </c>
      <c r="G190" s="447"/>
      <c r="H190" s="480" t="str">
        <f>angleDecimal2Txt($O$89)</f>
        <v>+00°00.00 (+00.0000) [+00°00'00.00]</v>
      </c>
      <c r="I190" s="480"/>
      <c r="J190" s="480"/>
      <c r="K190" s="480"/>
      <c r="L190" s="480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60" t="s">
        <v>410</v>
      </c>
      <c r="G191" s="460"/>
      <c r="H191" s="480" t="str">
        <f>angleDecimal2Txt(O99)</f>
        <v>+00°01.57 (+00.0262) [+00°01'34.35]</v>
      </c>
      <c r="I191" s="480"/>
      <c r="J191" s="480"/>
      <c r="K191" s="480"/>
      <c r="L191" s="480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60" t="s">
        <v>411</v>
      </c>
      <c r="G192" s="460"/>
      <c r="H192" s="460" t="str">
        <f>angleDecimal2Txt(O94)</f>
        <v>+00°00.14 (+00.0024) [+00°00'08.78]</v>
      </c>
      <c r="I192" s="460"/>
      <c r="J192" s="460"/>
      <c r="K192" s="460"/>
      <c r="L192" s="460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60" t="s">
        <v>100</v>
      </c>
      <c r="G193" s="460"/>
      <c r="H193" s="460" t="str" cm="1">
        <f t="array" ref="H193">angleDecimal2Txt(O101)</f>
        <v>+00°32.59 (+00.5433) [+00°32'35.99]</v>
      </c>
      <c r="I193" s="460"/>
      <c r="J193" s="460"/>
      <c r="K193" s="460"/>
      <c r="L193" s="460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60" t="s">
        <v>71</v>
      </c>
      <c r="G194" s="460"/>
      <c r="H194" s="460" t="str" cm="1">
        <f t="array" ref="H194">angleDecimal2Txt(O103)</f>
        <v>+00°16.29 (+00.2716) [+00°16'17.99]</v>
      </c>
      <c r="I194" s="460"/>
      <c r="J194" s="460"/>
      <c r="K194" s="460"/>
      <c r="L194" s="460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48" t="str" cm="1">
        <f t="array" ref="E195">angleDecimal2Txt(F84)</f>
        <v>+32°28.87 (+32.4812) [+32°28'52.42]</v>
      </c>
      <c r="F195" s="448"/>
      <c r="G195" s="448"/>
      <c r="H195" s="448"/>
      <c r="I195" s="448"/>
      <c r="J195" s="448" t="s">
        <v>476</v>
      </c>
      <c r="K195" s="448"/>
      <c r="L195" s="448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60" t="str" cm="1">
        <f t="array" ref="F196">angleDecimal2Txt(-1*(O89+O99-O94))</f>
        <v>-00°01.42 (-00.0237) [-00°01'25.57]</v>
      </c>
      <c r="G196" s="460"/>
      <c r="H196" s="460"/>
      <c r="I196" s="460"/>
      <c r="J196" s="460"/>
      <c r="K196" s="445" t="s">
        <v>412</v>
      </c>
      <c r="L196" s="446"/>
      <c r="M196" s="447"/>
      <c r="N196" s="449" t="s">
        <v>427</v>
      </c>
      <c r="O196" s="449"/>
      <c r="P196" s="449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60" t="str" cm="1">
        <f t="array" ref="F197">angleDecimal2Txt(-1*O89-O99+O94+O103)</f>
        <v>+00°14.87 (+00.2478) [+00°14'52.42]</v>
      </c>
      <c r="G197" s="460"/>
      <c r="H197" s="460"/>
      <c r="I197" s="460"/>
      <c r="J197" s="460"/>
      <c r="K197" s="445" t="s">
        <v>408</v>
      </c>
      <c r="L197" s="446"/>
      <c r="M197" s="447"/>
      <c r="N197" s="449"/>
      <c r="O197" s="449"/>
      <c r="P197" s="449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60" t="str">
        <f>angleDecimal2Txt(O94-O99+O103)</f>
        <v>+00°14.87 (+00.2478) [+00°14'52.42]</v>
      </c>
      <c r="G198" s="460"/>
      <c r="H198" s="460"/>
      <c r="I198" s="460"/>
      <c r="J198" s="460"/>
      <c r="K198" s="445" t="s">
        <v>409</v>
      </c>
      <c r="L198" s="446"/>
      <c r="M198" s="447"/>
      <c r="N198" s="449"/>
      <c r="O198" s="449"/>
      <c r="P198" s="449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42" t="s">
        <v>413</v>
      </c>
      <c r="D202" s="442"/>
      <c r="E202" s="442" t="str" cm="1">
        <f t="array" ref="E202">latitudeDecimal2Txt(G32)</f>
        <v>S 27°30.00 (S 27.5000) [S 27°30'00.00]</v>
      </c>
      <c r="F202" s="442"/>
      <c r="G202" s="442"/>
      <c r="H202" s="442"/>
      <c r="I202" s="442"/>
      <c r="J202" s="442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43" t="s">
        <v>414</v>
      </c>
      <c r="D203" s="443"/>
      <c r="E203" s="443" t="str" cm="1">
        <f t="array" ref="E203">longitudeDecimal2Txt(G34)</f>
        <v>E 63°00.00 (E 63.0000) [E 63°00'00.00]</v>
      </c>
      <c r="F203" s="443"/>
      <c r="G203" s="443"/>
      <c r="H203" s="443"/>
      <c r="I203" s="443"/>
      <c r="J203" s="443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49" t="str">
        <f>CONCATENATE("GHA - ", G60)</f>
        <v>GHA - Par interval</v>
      </c>
      <c r="G204" s="449"/>
      <c r="H204" s="460">
        <f>IF($G$60=$AD$60,K63,CONCATENATE("T0:",K70))</f>
        <v>10</v>
      </c>
      <c r="I204" s="460"/>
      <c r="J204" s="460"/>
      <c r="K204" s="445" t="str" cm="1">
        <f t="array" ref="K204">IF($G$60=$AD$60,angleDecimal2Txt(angleConvert2Decimal(O63),0),CONCATENATE("Pos. à T0:",angleDecimal2Txt(angleConvert2Decimal(O70),0)))</f>
        <v>+329°03.89</v>
      </c>
      <c r="L204" s="446"/>
      <c r="M204" s="44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49"/>
      <c r="G205" s="449"/>
      <c r="H205" s="460">
        <f>IF($G$60=$AD$60,K65,CONCATENATE("V:",AD73,0))</f>
        <v>11</v>
      </c>
      <c r="I205" s="460"/>
      <c r="J205" s="460"/>
      <c r="K205" s="445" t="str" cm="1">
        <f t="array" ref="K205">IF($G$60=$AD$60,angleDecimal2Txt(angleConvert2Decimal(O65),0),CONCATENATE("dt:",TEXT((I70-K70),"0.000")," h"))</f>
        <v>+344°03.79</v>
      </c>
      <c r="L205" s="446"/>
      <c r="M205" s="447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44" t="s">
        <v>415</v>
      </c>
      <c r="D206" s="444"/>
      <c r="E206" s="444" t="str" cm="1">
        <f t="array" ref="E206">angleDecimal2Txt(F59)</f>
        <v>+416°18.31 (+416.3053) [+416°18'19.09]</v>
      </c>
      <c r="F206" s="444"/>
      <c r="G206" s="444"/>
      <c r="H206" s="444"/>
      <c r="I206" s="444"/>
      <c r="J206" s="444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44" t="s">
        <v>43</v>
      </c>
      <c r="D207" s="444"/>
      <c r="E207" s="444" t="str" cm="1">
        <f t="array" ref="E207">angleDecimal2Txt(F80)</f>
        <v>+119°18.31 (+119.3053) [+119°18'19.09]</v>
      </c>
      <c r="F207" s="444"/>
      <c r="G207" s="444"/>
      <c r="H207" s="444"/>
      <c r="I207" s="444"/>
      <c r="J207" s="444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49" t="str">
        <f>CONCATENATE("Déc. - ", G39)</f>
        <v>Déc. - Par interval</v>
      </c>
      <c r="G208" s="449"/>
      <c r="H208" s="460">
        <f>IF($G$39=$AD$39,K42,CONCATENATE("T0:",K49))</f>
        <v>10</v>
      </c>
      <c r="I208" s="460"/>
      <c r="J208" s="445" t="str" cm="1">
        <f t="array" ref="J208">IF($G$39=$AD$39,angleDecimal2Txt(AE42,0),CONCATENATE("Pos. à T0:",AD50,0))</f>
        <v>+23°08.50</v>
      </c>
      <c r="K208" s="446"/>
      <c r="L208" s="446"/>
      <c r="M208" s="44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49"/>
      <c r="G209" s="449"/>
      <c r="H209" s="460" cm="1">
        <f t="array" ref="H209">IF($G$39=$AD$39,K44,CONCATENATE("V:",angleDecimal2Txt(AD52,0)))</f>
        <v>11</v>
      </c>
      <c r="I209" s="460"/>
      <c r="J209" s="445" t="str" cm="1">
        <f t="array" ref="J209">IF($G$39=$AD$39,angleDecimal2Txt(AE43,0),CONCATENATE("dt:",TEXT((I49-K49),"0.000")," h"))</f>
        <v>+23°08.30</v>
      </c>
      <c r="K209" s="446"/>
      <c r="L209" s="446"/>
      <c r="M209" s="44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44" t="s">
        <v>9</v>
      </c>
      <c r="D210" s="444"/>
      <c r="E210" s="444" t="str" cm="1">
        <f t="array" ref="E210">latitudeDecimal2Txt(F38)</f>
        <v>N 23°07.33 (N 23.1222) [N 23°07'20.19]</v>
      </c>
      <c r="F210" s="444"/>
      <c r="G210" s="444"/>
      <c r="H210" s="444"/>
      <c r="I210" s="444"/>
      <c r="J210" s="444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60" t="s">
        <v>417</v>
      </c>
      <c r="G211" s="460"/>
      <c r="H211" s="460">
        <f>SIN(U126)</f>
        <v>0.39269473245846198</v>
      </c>
      <c r="I211" s="460"/>
      <c r="J211" s="460">
        <f>SIN(U139)</f>
        <v>-0.46174861323503391</v>
      </c>
      <c r="K211" s="460"/>
      <c r="L211" s="445" t="s">
        <v>418</v>
      </c>
      <c r="M211" s="44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60" t="s">
        <v>416</v>
      </c>
      <c r="G212" s="460"/>
      <c r="H212" s="460">
        <f>COS(U138)</f>
        <v>0.91966887905342154</v>
      </c>
      <c r="I212" s="460"/>
      <c r="J212" s="460">
        <f>COS(U139)</f>
        <v>0.88701083317822171</v>
      </c>
      <c r="K212" s="460"/>
      <c r="L212" s="445" t="s">
        <v>419</v>
      </c>
      <c r="M212" s="44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73" t="s">
        <v>420</v>
      </c>
      <c r="G213" s="473"/>
      <c r="H213" s="473">
        <f>COS(U128)</f>
        <v>-0.48946320275339139</v>
      </c>
      <c r="I213" s="473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52" t="s">
        <v>421</v>
      </c>
      <c r="G214" s="453"/>
      <c r="H214" s="453"/>
      <c r="I214" s="453"/>
      <c r="J214" s="453"/>
      <c r="K214" s="453"/>
      <c r="L214" s="453"/>
      <c r="M214" s="454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60" t="s">
        <v>428</v>
      </c>
      <c r="G215" s="460"/>
      <c r="H215" s="445">
        <f>H211*J211+H212*J212*H213</f>
        <v>-0.58060891916590229</v>
      </c>
      <c r="I215" s="446"/>
      <c r="J215" s="446"/>
      <c r="K215" s="446"/>
      <c r="L215" s="446"/>
      <c r="M215" s="447"/>
      <c r="AB215" s="61"/>
      <c r="AC215">
        <f>ASIN(H215)*Outils!F5</f>
        <v>-35.493382173533256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48" t="s">
        <v>422</v>
      </c>
      <c r="D216" s="448"/>
      <c r="E216" s="448" t="str">
        <f>angleDecimal2Txt(I126)</f>
        <v>-35°29.60 (-35.4933) [-35°29'36.17]</v>
      </c>
      <c r="F216" s="448"/>
      <c r="G216" s="448"/>
      <c r="H216" s="448"/>
      <c r="I216" s="448"/>
      <c r="J216" s="448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81" t="s">
        <v>656</v>
      </c>
      <c r="D217" s="482"/>
      <c r="E217" s="448" t="str">
        <f>angleDecimal2Txt((F84-I126),0)</f>
        <v>+67°58.47</v>
      </c>
      <c r="F217" s="448"/>
      <c r="G217" s="448"/>
      <c r="H217" s="448"/>
      <c r="I217" s="448"/>
      <c r="J217" s="448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83"/>
      <c r="D218" s="484"/>
      <c r="E218" s="458" t="str">
        <f>CONCATENATE(V131,"  Mn")</f>
        <v>4078.47662934821  Mn</v>
      </c>
      <c r="F218" s="458"/>
      <c r="G218" s="458"/>
      <c r="H218" s="458"/>
      <c r="I218" s="458"/>
      <c r="J218" s="458"/>
      <c r="O218" s="507" t="s">
        <v>363</v>
      </c>
      <c r="P218" s="507" t="str" cm="1">
        <f t="array" ref="P218">latitudeDecimal2Txt(V132,0)</f>
        <v>N 23°07.33</v>
      </c>
      <c r="Q218" s="507"/>
      <c r="AC218" s="248">
        <f>V131</f>
        <v>4078.4766293482135</v>
      </c>
    </row>
    <row r="219" spans="3:65" ht="17.25" customHeight="1">
      <c r="C219" s="485"/>
      <c r="D219" s="486"/>
      <c r="E219" s="458" t="str">
        <f>X131</f>
        <v>Vers Pg</v>
      </c>
      <c r="F219" s="459"/>
      <c r="G219" s="459"/>
      <c r="H219" s="459"/>
      <c r="I219" s="459"/>
      <c r="J219" s="459"/>
      <c r="O219" s="508"/>
      <c r="P219" s="508" t="str" cm="1">
        <f t="array" ref="P219">longitudeDecimal2Txt(V133,0)</f>
        <v>W 56°18.31</v>
      </c>
      <c r="Q219" s="507"/>
    </row>
    <row r="220" spans="3:65" ht="17.25" customHeight="1">
      <c r="F220" s="452" t="s">
        <v>566</v>
      </c>
      <c r="G220" s="453"/>
      <c r="H220" s="453"/>
      <c r="I220" s="453"/>
      <c r="J220" s="453"/>
      <c r="K220" s="453"/>
      <c r="L220" s="453"/>
      <c r="M220" s="453"/>
      <c r="N220" s="453"/>
      <c r="O220" s="453"/>
      <c r="P220" s="454"/>
      <c r="Q220" s="233"/>
    </row>
    <row r="221" spans="3:65" ht="17.25" customHeight="1">
      <c r="D221" s="474" t="s">
        <v>567</v>
      </c>
      <c r="E221" s="475"/>
      <c r="F221" s="504" t="s">
        <v>576</v>
      </c>
      <c r="G221" s="504"/>
      <c r="H221" s="504">
        <f>SIGN(Q139*Q138)*ABS(Q138)</f>
        <v>-23.122277777777775</v>
      </c>
      <c r="I221" s="504"/>
      <c r="J221" s="478" t="s">
        <v>574</v>
      </c>
      <c r="K221" s="479"/>
      <c r="L221" s="478">
        <f>SIN(H221*Outils!$F$4)</f>
        <v>-0.39269473245846198</v>
      </c>
      <c r="M221" s="479"/>
      <c r="N221" s="478" t="s">
        <v>575</v>
      </c>
      <c r="O221" s="479"/>
      <c r="P221" s="478">
        <f>COS(H221*Outils!$F$4)</f>
        <v>0.91966887905342154</v>
      </c>
      <c r="Q221" s="479"/>
    </row>
    <row r="222" spans="3:65" ht="17.25" customHeight="1">
      <c r="D222" s="474"/>
      <c r="E222" s="475"/>
      <c r="F222" s="478" t="s">
        <v>571</v>
      </c>
      <c r="G222" s="503"/>
      <c r="H222" s="504">
        <f>ABS(Q139)</f>
        <v>27.5</v>
      </c>
      <c r="I222" s="504"/>
      <c r="J222" s="505" t="s">
        <v>572</v>
      </c>
      <c r="K222" s="506"/>
      <c r="L222" s="478">
        <f>SIN(H222*Outils!$F$4)</f>
        <v>0.46174861323503391</v>
      </c>
      <c r="M222" s="479"/>
      <c r="N222" s="505" t="s">
        <v>573</v>
      </c>
      <c r="O222" s="506"/>
      <c r="P222" s="478">
        <f>COS(H222*Outils!$F$4)</f>
        <v>0.88701083317822171</v>
      </c>
      <c r="Q222" s="479"/>
    </row>
    <row r="223" spans="3:65" ht="17.25" customHeight="1">
      <c r="D223" s="474"/>
      <c r="E223" s="475"/>
      <c r="F223" s="478" t="s">
        <v>568</v>
      </c>
      <c r="G223" s="479"/>
      <c r="H223" s="478">
        <f>IF(Q140&gt;180,(-1)*Q140,Q140)</f>
        <v>119.30530555555555</v>
      </c>
      <c r="I223" s="479"/>
      <c r="J223" s="478" t="s">
        <v>569</v>
      </c>
      <c r="K223" s="479"/>
      <c r="L223" s="478">
        <f>SIN(H223*Outils!$F$4)</f>
        <v>0.87202395216553108</v>
      </c>
      <c r="M223" s="479"/>
      <c r="N223" s="478" t="s">
        <v>570</v>
      </c>
      <c r="O223" s="479"/>
      <c r="P223" s="478">
        <f>COS(H223*Outils!$F$4)</f>
        <v>-0.48946320275339139</v>
      </c>
      <c r="Q223" s="479"/>
    </row>
    <row r="224" spans="3:65" ht="17.25" customHeight="1">
      <c r="F224" s="509" t="s">
        <v>565</v>
      </c>
      <c r="G224" s="509"/>
      <c r="H224" s="445">
        <f>(P221*L223)/((P222*L221)-(L222*P221*P223))</f>
        <v>-5.7091701285136098</v>
      </c>
      <c r="I224" s="446"/>
      <c r="J224" s="446"/>
      <c r="K224" s="446"/>
      <c r="L224" s="446"/>
      <c r="M224" s="447"/>
      <c r="N224" s="233"/>
      <c r="O224" s="233"/>
      <c r="P224" s="233"/>
      <c r="Q224" s="233"/>
      <c r="AC224">
        <f>ATAN(H224)*Outils!F5</f>
        <v>-80.065037417445026</v>
      </c>
      <c r="AD224">
        <f>IF(AC224&lt;0,AC224+180,AC224)</f>
        <v>99.934962582554974</v>
      </c>
    </row>
    <row r="225" spans="3:17" ht="17.25" customHeight="1">
      <c r="F225" s="460" t="s">
        <v>92</v>
      </c>
      <c r="G225" s="460"/>
      <c r="H225" s="445" t="str" cm="1">
        <f t="array" ref="H225">angleDecimal2Txt(I138,0)</f>
        <v>+99°56.09</v>
      </c>
      <c r="I225" s="446"/>
      <c r="J225" s="446"/>
      <c r="K225" s="446"/>
      <c r="L225" s="446"/>
      <c r="M225" s="447"/>
      <c r="N225" s="233"/>
      <c r="O225" s="233"/>
      <c r="P225" s="233"/>
      <c r="Q225" s="233"/>
    </row>
    <row r="226" spans="3:17" ht="17.25" customHeight="1">
      <c r="F226" s="487" t="s">
        <v>143</v>
      </c>
      <c r="G226" s="488"/>
      <c r="H226" s="488"/>
      <c r="I226" s="488"/>
      <c r="J226" s="488"/>
      <c r="K226" s="489"/>
      <c r="L226" s="487" t="s">
        <v>144</v>
      </c>
      <c r="M226" s="488"/>
      <c r="N226" s="488"/>
      <c r="O226" s="488"/>
      <c r="P226" s="488"/>
      <c r="Q226" s="489"/>
    </row>
    <row r="227" spans="3:17" ht="17.25" customHeight="1">
      <c r="F227" s="490"/>
      <c r="G227" s="492" t="s">
        <v>117</v>
      </c>
      <c r="H227" s="493"/>
      <c r="I227" s="494"/>
      <c r="J227" s="495" t="s">
        <v>118</v>
      </c>
      <c r="K227" s="496"/>
      <c r="L227" s="490"/>
      <c r="M227" s="492" t="s">
        <v>117</v>
      </c>
      <c r="N227" s="493"/>
      <c r="O227" s="494"/>
      <c r="P227" s="495" t="s">
        <v>119</v>
      </c>
      <c r="Q227" s="496"/>
    </row>
    <row r="228" spans="3:17" ht="17.25" customHeight="1">
      <c r="F228" s="491"/>
      <c r="G228" s="497" t="s">
        <v>87</v>
      </c>
      <c r="H228" s="498"/>
      <c r="I228" s="499"/>
      <c r="J228" s="500" t="s">
        <v>88</v>
      </c>
      <c r="K228" s="501"/>
      <c r="L228" s="491"/>
      <c r="M228" s="497" t="s">
        <v>87</v>
      </c>
      <c r="N228" s="498"/>
      <c r="O228" s="499"/>
      <c r="P228" s="500" t="s">
        <v>89</v>
      </c>
      <c r="Q228" s="501"/>
    </row>
    <row r="229" spans="3:17" ht="17.25" customHeight="1">
      <c r="F229" s="460" t="s">
        <v>426</v>
      </c>
      <c r="G229" s="460"/>
      <c r="H229" s="445" t="str">
        <f>IF(G32&gt;0,"Nord","Sud")</f>
        <v>Sud</v>
      </c>
      <c r="I229" s="446"/>
      <c r="J229" s="446"/>
      <c r="K229" s="446"/>
      <c r="L229" s="446"/>
      <c r="M229" s="447"/>
      <c r="N229" s="233"/>
      <c r="O229" s="233"/>
      <c r="P229" s="233"/>
      <c r="Q229" s="233"/>
    </row>
    <row r="230" spans="3:17" ht="17.25" customHeight="1">
      <c r="F230" s="460" t="s">
        <v>425</v>
      </c>
      <c r="G230" s="460"/>
      <c r="H230" s="445" t="b">
        <f>(F80&gt;180)</f>
        <v>0</v>
      </c>
      <c r="I230" s="446"/>
      <c r="J230" s="446"/>
      <c r="K230" s="446"/>
      <c r="L230" s="446"/>
      <c r="M230" s="447"/>
      <c r="N230" s="233"/>
      <c r="O230" s="233"/>
      <c r="P230" s="233"/>
      <c r="Q230" s="233"/>
    </row>
    <row r="231" spans="3:17" ht="17.25" customHeight="1">
      <c r="C231" s="458" t="s">
        <v>424</v>
      </c>
      <c r="D231" s="458"/>
      <c r="E231" s="458" t="str">
        <f>angleDecimal2Txt(T148,0)</f>
        <v>+279°56.09</v>
      </c>
      <c r="F231" s="458"/>
      <c r="G231" s="458"/>
      <c r="H231" s="458"/>
      <c r="I231" s="458"/>
      <c r="J231" s="458"/>
      <c r="O231" s="313" t="s">
        <v>621</v>
      </c>
      <c r="P231" s="502" t="str">
        <f>angleDecimal2Txt(astroModuloEnDegre(90+T148),0)</f>
        <v>+09°56.09</v>
      </c>
      <c r="Q231" s="502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74" zoomScaleNormal="100" workbookViewId="0">
      <selection activeCell="H232" sqref="H232:M232"/>
    </sheetView>
  </sheetViews>
  <sheetFormatPr baseColWidth="10"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258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316</v>
      </c>
      <c r="O7" s="26"/>
      <c r="P7" s="26"/>
      <c r="Q7" s="26"/>
      <c r="R7" s="26"/>
      <c r="S7" s="26" t="s">
        <v>317</v>
      </c>
      <c r="T7" s="807">
        <f>dateConvert2Decimal(F8)</f>
        <v>1751241600</v>
      </c>
      <c r="U7" s="807"/>
      <c r="V7" s="807"/>
      <c r="W7" s="26" t="s">
        <v>318</v>
      </c>
      <c r="X7" s="783">
        <f>(T7/86400)+DATE(1970,1,1)</f>
        <v>45838</v>
      </c>
      <c r="Y7" s="783"/>
      <c r="Z7" s="26" t="s">
        <v>319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49" t="s">
        <v>1</v>
      </c>
      <c r="D8" s="950"/>
      <c r="E8" s="950"/>
      <c r="F8" s="780" t="s">
        <v>227</v>
      </c>
      <c r="G8" s="781"/>
      <c r="H8" s="781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1" t="s">
        <v>250</v>
      </c>
      <c r="D9" s="942"/>
      <c r="E9" s="943"/>
      <c r="F9" s="561">
        <f>heureConvert2Decimal(I9)</f>
        <v>10.343055555555557</v>
      </c>
      <c r="G9" s="562"/>
      <c r="H9" s="562"/>
      <c r="I9" s="932" t="s">
        <v>538</v>
      </c>
      <c r="J9" s="630"/>
      <c r="K9" s="630"/>
      <c r="L9" s="630"/>
      <c r="M9" s="630"/>
      <c r="N9" s="933"/>
      <c r="O9" s="722" t="str">
        <f>heureDecimal2Txt(F9)</f>
        <v>10:20:35.00(10.3430)</v>
      </c>
      <c r="P9" s="722"/>
      <c r="Q9" s="722"/>
      <c r="R9" s="722"/>
      <c r="S9" s="722"/>
      <c r="T9" s="722"/>
      <c r="U9" s="722"/>
      <c r="V9" s="722"/>
      <c r="W9" s="722"/>
      <c r="X9" s="722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4"/>
      <c r="D10" s="945"/>
      <c r="E10" s="946"/>
      <c r="F10" s="562"/>
      <c r="G10" s="562"/>
      <c r="H10" s="562"/>
      <c r="I10" s="934"/>
      <c r="J10" s="610"/>
      <c r="K10" s="610"/>
      <c r="L10" s="610"/>
      <c r="M10" s="610"/>
      <c r="N10" s="935"/>
      <c r="O10" s="722"/>
      <c r="P10" s="722"/>
      <c r="Q10" s="722"/>
      <c r="R10" s="722"/>
      <c r="S10" s="722"/>
      <c r="T10" s="722"/>
      <c r="U10" s="722"/>
      <c r="V10" s="722"/>
      <c r="W10" s="722"/>
      <c r="X10" s="722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6" t="s">
        <v>7</v>
      </c>
      <c r="D11" s="435"/>
      <c r="E11" s="937"/>
      <c r="F11" s="561">
        <f>AD12</f>
        <v>46.1</v>
      </c>
      <c r="G11" s="562"/>
      <c r="H11" s="562"/>
      <c r="I11" s="620" t="s">
        <v>3</v>
      </c>
      <c r="J11" s="717" t="s">
        <v>268</v>
      </c>
      <c r="K11" s="620"/>
      <c r="L11" s="620"/>
      <c r="M11" s="620"/>
      <c r="N11" s="620"/>
      <c r="O11" s="722" t="str" cm="1">
        <f t="array" ref="O11">latitudeDecimal2Txt(F11)</f>
        <v>N 46°06.00 (N 46.1000) [N 46°06'00.00]</v>
      </c>
      <c r="P11" s="722"/>
      <c r="Q11" s="722"/>
      <c r="R11" s="722"/>
      <c r="S11" s="722"/>
      <c r="T11" s="722"/>
      <c r="U11" s="722"/>
      <c r="V11" s="722"/>
      <c r="W11" s="722"/>
      <c r="X11" s="722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8"/>
      <c r="D12" s="939"/>
      <c r="E12" s="940"/>
      <c r="F12" s="562"/>
      <c r="G12" s="562"/>
      <c r="H12" s="562"/>
      <c r="I12" s="620"/>
      <c r="J12" s="620"/>
      <c r="K12" s="620"/>
      <c r="L12" s="620"/>
      <c r="M12" s="620"/>
      <c r="N12" s="620"/>
      <c r="O12" s="722"/>
      <c r="P12" s="722"/>
      <c r="Q12" s="722"/>
      <c r="R12" s="722"/>
      <c r="S12" s="722"/>
      <c r="T12" s="722"/>
      <c r="U12" s="722"/>
      <c r="V12" s="722"/>
      <c r="W12" s="722"/>
      <c r="X12" s="722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41" t="s">
        <v>8</v>
      </c>
      <c r="D13" s="942"/>
      <c r="E13" s="943"/>
      <c r="F13" s="561">
        <f>AD14</f>
        <v>-7.083333333333333</v>
      </c>
      <c r="G13" s="562"/>
      <c r="H13" s="562"/>
      <c r="I13" s="905" t="s">
        <v>6</v>
      </c>
      <c r="J13" s="717" t="s">
        <v>269</v>
      </c>
      <c r="K13" s="620"/>
      <c r="L13" s="620"/>
      <c r="M13" s="620"/>
      <c r="N13" s="620"/>
      <c r="O13" s="722" t="str" cm="1">
        <f t="array" ref="O13">longitudeDecimal2Txt(F13)</f>
        <v>W 07°05.00 (W 07.0833) [W 07°05'00.00]</v>
      </c>
      <c r="P13" s="722"/>
      <c r="Q13" s="722"/>
      <c r="R13" s="722"/>
      <c r="S13" s="722"/>
      <c r="T13" s="722"/>
      <c r="U13" s="722"/>
      <c r="V13" s="722"/>
      <c r="W13" s="722"/>
      <c r="X13" s="722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4"/>
      <c r="D14" s="945"/>
      <c r="E14" s="946"/>
      <c r="F14" s="562"/>
      <c r="G14" s="562"/>
      <c r="H14" s="562"/>
      <c r="I14" s="619"/>
      <c r="J14" s="620"/>
      <c r="K14" s="620"/>
      <c r="L14" s="620"/>
      <c r="M14" s="620"/>
      <c r="N14" s="620"/>
      <c r="O14" s="722"/>
      <c r="P14" s="722"/>
      <c r="Q14" s="722"/>
      <c r="R14" s="722"/>
      <c r="S14" s="722"/>
      <c r="T14" s="722"/>
      <c r="U14" s="722"/>
      <c r="V14" s="722"/>
      <c r="W14" s="722"/>
      <c r="X14" s="722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259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7" t="s">
        <v>623</v>
      </c>
      <c r="D17" s="948"/>
      <c r="E17" s="948"/>
      <c r="F17" s="951">
        <f>angleConvert2Decimal(I17)</f>
        <v>260</v>
      </c>
      <c r="G17" s="952"/>
      <c r="H17" s="952"/>
      <c r="I17" s="954">
        <v>260</v>
      </c>
      <c r="J17" s="955"/>
      <c r="K17" s="955"/>
      <c r="L17" s="955"/>
      <c r="M17" s="955"/>
      <c r="N17" s="955"/>
      <c r="O17" s="953" t="str" cm="1">
        <f t="array" ref="O17">angleDecimal2Txt(F17)</f>
        <v>+260°00.00 (+260.0000) [+260°00'00.00]</v>
      </c>
      <c r="P17" s="953"/>
      <c r="Q17" s="953"/>
      <c r="R17" s="953"/>
      <c r="S17" s="953"/>
      <c r="T17" s="953"/>
      <c r="U17" s="953"/>
      <c r="V17" s="953"/>
      <c r="W17" s="953"/>
      <c r="X17" s="953"/>
    </row>
    <row r="18" spans="2:33" ht="12.75" customHeight="1" thickTop="1" thickBot="1">
      <c r="C18" s="420"/>
      <c r="D18" s="420"/>
      <c r="E18" s="420"/>
      <c r="F18" s="931"/>
      <c r="G18" s="931"/>
      <c r="H18" s="931"/>
      <c r="I18" s="791"/>
      <c r="J18" s="791"/>
      <c r="K18" s="791"/>
      <c r="L18" s="791"/>
      <c r="M18" s="791"/>
      <c r="N18" s="791"/>
      <c r="O18" s="738"/>
      <c r="P18" s="738"/>
      <c r="Q18" s="738"/>
      <c r="R18" s="738"/>
      <c r="S18" s="738"/>
      <c r="T18" s="738"/>
      <c r="U18" s="738"/>
      <c r="V18" s="738"/>
      <c r="W18" s="738"/>
      <c r="X18" s="738"/>
    </row>
    <row r="19" spans="2:33" ht="12.75" customHeight="1" thickTop="1" thickBot="1">
      <c r="C19" s="439" t="s">
        <v>624</v>
      </c>
      <c r="D19" s="420"/>
      <c r="E19" s="420"/>
      <c r="F19" s="428">
        <f>I19</f>
        <v>5</v>
      </c>
      <c r="G19" s="931"/>
      <c r="H19" s="931"/>
      <c r="I19" s="431">
        <v>5</v>
      </c>
      <c r="J19" s="791"/>
      <c r="K19" s="791"/>
      <c r="L19" s="791"/>
      <c r="M19" s="791"/>
      <c r="N19" s="791"/>
      <c r="O19" s="738"/>
      <c r="P19" s="738"/>
      <c r="Q19" s="738"/>
      <c r="R19" s="738"/>
      <c r="S19" s="738"/>
      <c r="T19" s="738"/>
      <c r="U19" s="738"/>
      <c r="V19" s="738"/>
      <c r="W19" s="738"/>
      <c r="X19" s="738"/>
    </row>
    <row r="20" spans="2:33" ht="12.75" customHeight="1" thickTop="1" thickBot="1">
      <c r="C20" s="420"/>
      <c r="D20" s="420"/>
      <c r="E20" s="420"/>
      <c r="F20" s="931"/>
      <c r="G20" s="931"/>
      <c r="H20" s="931"/>
      <c r="I20" s="791"/>
      <c r="J20" s="791"/>
      <c r="K20" s="791"/>
      <c r="L20" s="791"/>
      <c r="M20" s="791"/>
      <c r="N20" s="791"/>
      <c r="O20" s="738"/>
      <c r="P20" s="738"/>
      <c r="Q20" s="738"/>
      <c r="R20" s="738"/>
      <c r="S20" s="738"/>
      <c r="T20" s="738"/>
      <c r="U20" s="738"/>
      <c r="V20" s="738"/>
      <c r="W20" s="738"/>
      <c r="X20" s="738"/>
    </row>
    <row r="21" spans="2:33" ht="12.75" customHeight="1" thickTop="1" thickBot="1">
      <c r="C21" s="923" t="s">
        <v>625</v>
      </c>
      <c r="D21" s="924"/>
      <c r="E21" s="924"/>
      <c r="F21" s="956">
        <f>heureConvert2Decimal(I21)</f>
        <v>12.062777777777779</v>
      </c>
      <c r="G21" s="562"/>
      <c r="H21" s="562"/>
      <c r="I21" s="932" t="s">
        <v>543</v>
      </c>
      <c r="J21" s="630"/>
      <c r="K21" s="630"/>
      <c r="L21" s="630"/>
      <c r="M21" s="630"/>
      <c r="N21" s="933"/>
      <c r="O21" s="722" t="str">
        <f>heureDecimal2Txt(F21)</f>
        <v>12:03:46.00(12.0627)</v>
      </c>
      <c r="P21" s="722"/>
      <c r="Q21" s="722"/>
      <c r="R21" s="722"/>
      <c r="S21" s="722"/>
      <c r="T21" s="722"/>
      <c r="U21" s="722"/>
      <c r="V21" s="722"/>
      <c r="W21" s="722"/>
      <c r="X21" s="722"/>
    </row>
    <row r="22" spans="2:33" ht="12.75" customHeight="1" thickTop="1" thickBot="1">
      <c r="C22" s="924"/>
      <c r="D22" s="924"/>
      <c r="E22" s="924"/>
      <c r="F22" s="957"/>
      <c r="G22" s="562"/>
      <c r="H22" s="562"/>
      <c r="I22" s="934"/>
      <c r="J22" s="610"/>
      <c r="K22" s="610"/>
      <c r="L22" s="610"/>
      <c r="M22" s="610"/>
      <c r="N22" s="935"/>
      <c r="O22" s="722"/>
      <c r="P22" s="722"/>
      <c r="Q22" s="722"/>
      <c r="R22" s="722"/>
      <c r="S22" s="722"/>
      <c r="T22" s="722"/>
      <c r="U22" s="722"/>
      <c r="V22" s="722"/>
      <c r="W22" s="722"/>
      <c r="X22" s="722"/>
    </row>
    <row r="23" spans="2:33" ht="12.75" customHeight="1" thickTop="1"/>
    <row r="24" spans="2:33" ht="12.75" customHeight="1">
      <c r="C24" s="925" t="s">
        <v>429</v>
      </c>
      <c r="D24" s="926"/>
      <c r="E24" s="926"/>
      <c r="F24" s="926"/>
      <c r="G24" s="926"/>
      <c r="H24" s="926"/>
      <c r="I24" s="926"/>
      <c r="J24" s="926"/>
      <c r="K24" s="927"/>
    </row>
    <row r="25" spans="2:33" ht="12.75" customHeight="1" thickBot="1">
      <c r="C25" s="928"/>
      <c r="D25" s="929"/>
      <c r="E25" s="929"/>
      <c r="F25" s="929"/>
      <c r="G25" s="929"/>
      <c r="H25" s="929"/>
      <c r="I25" s="929"/>
      <c r="J25" s="929"/>
      <c r="K25" s="930"/>
    </row>
    <row r="26" spans="2:33" ht="12.75" customHeight="1" thickTop="1" thickBot="1">
      <c r="C26" s="126"/>
      <c r="D26" s="126"/>
      <c r="E26" s="126"/>
      <c r="F26" s="958">
        <f>IF(C27=AC27,F11,(F11+F28)/2)</f>
        <v>46.092764659263878</v>
      </c>
      <c r="G26" s="959"/>
      <c r="H26" s="959"/>
      <c r="I26" s="962" t="str" cm="1">
        <f t="array" ref="I26">latitudeDecimal2Txt(F26)</f>
        <v>N 46°05.56 (N 46.0927) [N 46°05'33.95]</v>
      </c>
      <c r="J26" s="962"/>
      <c r="K26" s="962"/>
      <c r="L26" s="962"/>
      <c r="M26" s="962"/>
      <c r="N26" s="962"/>
      <c r="O26" s="962"/>
      <c r="P26" s="962"/>
      <c r="Q26" s="962"/>
      <c r="R26" s="962"/>
    </row>
    <row r="27" spans="2:33" ht="12.75" customHeight="1" thickTop="1" thickBot="1">
      <c r="C27" s="963" t="s">
        <v>601</v>
      </c>
      <c r="D27" s="963"/>
      <c r="E27" s="963"/>
      <c r="F27" s="960"/>
      <c r="G27" s="961"/>
      <c r="H27" s="961"/>
      <c r="I27" s="962"/>
      <c r="J27" s="962"/>
      <c r="K27" s="962"/>
      <c r="L27" s="962"/>
      <c r="M27" s="962"/>
      <c r="N27" s="962"/>
      <c r="O27" s="962"/>
      <c r="P27" s="962"/>
      <c r="Q27" s="962"/>
      <c r="R27" s="962"/>
      <c r="AC27" s="304" t="s">
        <v>590</v>
      </c>
    </row>
    <row r="28" spans="2:33" ht="12.75" customHeight="1" thickTop="1">
      <c r="C28" s="963"/>
      <c r="D28" s="963"/>
      <c r="E28" s="964"/>
      <c r="F28" s="965">
        <f>F11+SIN((90-F17)*Outils!$F$4)*F19/60</f>
        <v>46.085529318527755</v>
      </c>
      <c r="G28" s="966"/>
      <c r="H28" s="966"/>
      <c r="AC28" s="304" t="s">
        <v>600</v>
      </c>
    </row>
    <row r="29" spans="2:33" s="126" customFormat="1" ht="12.75" customHeight="1">
      <c r="F29" s="966"/>
      <c r="G29" s="966"/>
      <c r="H29" s="966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85" t="s">
        <v>626</v>
      </c>
      <c r="C31" s="986"/>
      <c r="D31" s="986"/>
      <c r="E31" s="986"/>
      <c r="F31" s="986"/>
      <c r="G31" s="986"/>
      <c r="H31" s="986"/>
      <c r="I31" s="986"/>
      <c r="J31" s="986"/>
      <c r="K31" s="986"/>
      <c r="L31" s="986"/>
      <c r="M31" s="986"/>
      <c r="N31" s="986"/>
      <c r="O31" s="986"/>
      <c r="P31" s="986"/>
      <c r="Q31" s="986"/>
      <c r="R31" s="986"/>
      <c r="S31" s="986"/>
      <c r="T31" s="986"/>
      <c r="U31" s="986"/>
      <c r="V31" s="986"/>
      <c r="W31" s="986"/>
      <c r="X31" s="986"/>
      <c r="Y31" s="986"/>
      <c r="Z31" s="986"/>
      <c r="AA31" s="986"/>
      <c r="AB31" s="342"/>
    </row>
    <row r="32" spans="2:33" hidden="1" outlineLevel="1"/>
    <row r="33" spans="3:27" hidden="1" outlineLevel="1">
      <c r="C33" s="835" t="s">
        <v>260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7"/>
    </row>
    <row r="34" spans="3:27" hidden="1" outlineLevel="1">
      <c r="C34" s="907" t="s">
        <v>106</v>
      </c>
      <c r="D34" s="907"/>
      <c r="E34" s="907">
        <f>F17</f>
        <v>260</v>
      </c>
      <c r="F34" s="907"/>
      <c r="G34" s="907"/>
      <c r="I34" s="997" t="s">
        <v>261</v>
      </c>
      <c r="J34" s="997"/>
      <c r="K34" s="983" t="b">
        <f>IF(E34&lt;180,TRUE,FALSE)</f>
        <v>0</v>
      </c>
      <c r="L34" s="983"/>
      <c r="N34" s="838" t="s">
        <v>246</v>
      </c>
      <c r="O34" s="838"/>
      <c r="P34" s="840">
        <f>E35*ABS(SIN(Outils!$F$4*Meridienne!E34))*(IF(K34,1,-1))</f>
        <v>-4.9240387650610398</v>
      </c>
      <c r="Q34" s="841"/>
      <c r="R34" s="844" t="s">
        <v>245</v>
      </c>
    </row>
    <row r="35" spans="3:27" hidden="1" outlineLevel="1">
      <c r="C35" s="565" t="s">
        <v>105</v>
      </c>
      <c r="D35" s="565"/>
      <c r="E35" s="565">
        <f>F19</f>
        <v>5</v>
      </c>
      <c r="F35" s="565"/>
      <c r="G35" s="565"/>
      <c r="I35" s="998"/>
      <c r="J35" s="998"/>
      <c r="K35" s="984"/>
      <c r="L35" s="984"/>
      <c r="N35" s="839"/>
      <c r="O35" s="839"/>
      <c r="P35" s="842"/>
      <c r="Q35" s="843"/>
      <c r="R35" s="845"/>
    </row>
    <row r="36" spans="3:27" hidden="1" outlineLevel="1"/>
    <row r="37" spans="3:27" hidden="1" outlineLevel="1"/>
    <row r="38" spans="3:27" hidden="1" outlineLevel="1">
      <c r="C38" s="835" t="s">
        <v>248</v>
      </c>
      <c r="D38" s="836"/>
      <c r="E38" s="836"/>
      <c r="F38" s="836"/>
      <c r="G38" s="836"/>
      <c r="H38" s="836"/>
      <c r="I38" s="836"/>
      <c r="J38" s="836"/>
      <c r="K38" s="999"/>
      <c r="L38" s="999"/>
      <c r="M38" s="999"/>
      <c r="N38" s="999"/>
      <c r="O38" s="1000"/>
    </row>
    <row r="39" spans="3:27" hidden="1" outlineLevel="1">
      <c r="C39" s="907" t="s">
        <v>238</v>
      </c>
      <c r="D39" s="907"/>
      <c r="E39" s="907">
        <f>F26</f>
        <v>46.092764659263878</v>
      </c>
      <c r="F39" s="907"/>
      <c r="G39" s="907"/>
      <c r="I39" s="914" t="s">
        <v>247</v>
      </c>
      <c r="J39" s="914"/>
      <c r="K39" s="911" t="s">
        <v>74</v>
      </c>
      <c r="L39" s="912">
        <f>$P$34/(60 * COS($E$39*Outils!$F$4))</f>
        <v>-0.11833909603247456</v>
      </c>
      <c r="M39" s="912"/>
      <c r="N39" s="912"/>
      <c r="O39" s="913" t="s">
        <v>249</v>
      </c>
      <c r="P39" s="839" t="str">
        <f>IF(K34,"Vers l'Est","Vers l'Ouest")</f>
        <v>Vers l'Ouest</v>
      </c>
      <c r="Q39" s="839"/>
      <c r="R39" s="839"/>
      <c r="U39" s="915" t="s">
        <v>263</v>
      </c>
      <c r="V39" s="916"/>
      <c r="W39" s="917"/>
      <c r="X39" s="993">
        <f>IF(K34,-1*ABS(L39),ABS(L39))</f>
        <v>0.11833909603247456</v>
      </c>
      <c r="Y39" s="994"/>
      <c r="Z39" s="994"/>
      <c r="AA39" s="988" t="s">
        <v>249</v>
      </c>
    </row>
    <row r="40" spans="3:27" hidden="1" outlineLevel="1">
      <c r="C40" s="565" t="str">
        <f>N34</f>
        <v>VLong.</v>
      </c>
      <c r="D40" s="565"/>
      <c r="E40" s="565">
        <f>P34</f>
        <v>-4.9240387650610398</v>
      </c>
      <c r="F40" s="565"/>
      <c r="G40" s="565"/>
      <c r="I40" s="914"/>
      <c r="J40" s="914"/>
      <c r="K40" s="911"/>
      <c r="L40" s="912"/>
      <c r="M40" s="912"/>
      <c r="N40" s="912"/>
      <c r="O40" s="913"/>
      <c r="P40" s="839"/>
      <c r="Q40" s="839"/>
      <c r="R40" s="839"/>
      <c r="U40" s="918"/>
      <c r="V40" s="919"/>
      <c r="W40" s="920"/>
      <c r="X40" s="995"/>
      <c r="Y40" s="996"/>
      <c r="Z40" s="996"/>
      <c r="AA40" s="989"/>
    </row>
    <row r="41" spans="3:27" hidden="1" outlineLevel="1"/>
    <row r="42" spans="3:27" hidden="1" outlineLevel="1"/>
    <row r="43" spans="3:27" ht="18.75" hidden="1" customHeight="1" outlineLevel="1">
      <c r="C43" s="908" t="s">
        <v>604</v>
      </c>
      <c r="D43" s="909"/>
      <c r="E43" s="909"/>
      <c r="F43" s="909"/>
      <c r="G43" s="909"/>
      <c r="H43" s="909"/>
      <c r="I43" s="909"/>
      <c r="J43" s="909"/>
      <c r="K43" s="909"/>
      <c r="L43" s="909"/>
      <c r="M43" s="909"/>
      <c r="N43" s="909"/>
      <c r="O43" s="910"/>
    </row>
    <row r="44" spans="3:27" ht="15" hidden="1" customHeight="1" outlineLevel="1">
      <c r="C44" s="907" t="s">
        <v>171</v>
      </c>
      <c r="D44" s="907"/>
      <c r="E44" s="907">
        <f>F13</f>
        <v>-7.083333333333333</v>
      </c>
      <c r="F44" s="907"/>
      <c r="G44" s="907"/>
      <c r="I44" s="921" t="s">
        <v>251</v>
      </c>
      <c r="J44" s="922"/>
      <c r="K44" s="906">
        <f>longitude2LongitudeHoraire(E44)</f>
        <v>7.083333333333333</v>
      </c>
      <c r="L44" s="906"/>
      <c r="M44" s="906"/>
      <c r="N44" s="906"/>
      <c r="O44" s="114" t="s">
        <v>28</v>
      </c>
      <c r="P44" s="990" t="str">
        <f>longitudeDecimal2Txt(E44)</f>
        <v>W 07°05.00 (W 07.0833) [W 07°05'00.00]</v>
      </c>
      <c r="Q44" s="991"/>
      <c r="R44" s="991"/>
      <c r="S44" s="991"/>
      <c r="T44" s="991"/>
      <c r="U44" s="991"/>
    </row>
    <row r="45" spans="3:27" hidden="1" outlineLevel="1"/>
    <row r="46" spans="3:27" hidden="1" outlineLevel="1"/>
    <row r="47" spans="3:27" hidden="1" outlineLevel="1">
      <c r="C47" s="987" t="s">
        <v>252</v>
      </c>
      <c r="D47" s="987"/>
      <c r="E47" s="987"/>
      <c r="F47" s="987"/>
      <c r="G47" s="987"/>
      <c r="H47" s="987"/>
      <c r="I47" s="987"/>
      <c r="J47" s="987"/>
      <c r="K47" s="987"/>
      <c r="L47" s="987"/>
      <c r="M47" s="987"/>
      <c r="N47" s="987"/>
      <c r="O47" s="987"/>
    </row>
    <row r="48" spans="3:27" ht="15" hidden="1" customHeight="1" outlineLevel="1" thickBot="1">
      <c r="C48" s="981" t="s">
        <v>262</v>
      </c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251" t="s">
        <v>265</v>
      </c>
      <c r="Q48" s="982" t="s">
        <v>264</v>
      </c>
      <c r="R48" s="982"/>
      <c r="S48" s="982"/>
      <c r="T48" s="982"/>
      <c r="U48" s="982"/>
      <c r="V48" s="115">
        <v>15.002000000000001</v>
      </c>
      <c r="W48" s="116" t="s">
        <v>249</v>
      </c>
    </row>
    <row r="49" spans="3:32" ht="15.75" hidden="1" outlineLevel="1" thickTop="1"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</row>
    <row r="50" spans="3:32" hidden="1" outlineLevel="1"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</row>
    <row r="51" spans="3:32" hidden="1" outlineLevel="1"/>
    <row r="52" spans="3:32" hidden="1" outlineLevel="1"/>
    <row r="53" spans="3:32" hidden="1" outlineLevel="1">
      <c r="AC53" s="3" t="s">
        <v>636</v>
      </c>
      <c r="AD53" s="5">
        <f>F21</f>
        <v>12.062777777777779</v>
      </c>
      <c r="AE53" t="s">
        <v>257</v>
      </c>
    </row>
    <row r="54" spans="3:32" ht="15" hidden="1" customHeight="1" outlineLevel="1">
      <c r="H54" s="966" t="str">
        <f>CONCATENATE("T = Temps pour que le soleil passe a la meridienne locale: ",P44)</f>
        <v>T = Temps pour que le soleil passe a la meridienne locale: W 07°05.00 (W 07.0833) [W 07°05'00.00]</v>
      </c>
      <c r="I54" s="966"/>
      <c r="J54" s="966"/>
      <c r="K54" s="966"/>
      <c r="L54" s="966"/>
      <c r="M54" s="966"/>
      <c r="N54" s="966"/>
      <c r="O54" s="966"/>
      <c r="P54" s="966"/>
      <c r="Q54" s="966"/>
      <c r="R54" s="966"/>
      <c r="S54" s="966"/>
      <c r="T54" s="966"/>
      <c r="U54" s="966"/>
      <c r="V54" s="976">
        <f>AD59</f>
        <v>2.2093090082659446</v>
      </c>
      <c r="W54" s="976"/>
      <c r="X54" s="976" t="s">
        <v>257</v>
      </c>
      <c r="AB54" s="327"/>
      <c r="AC54" s="3" t="s">
        <v>637</v>
      </c>
      <c r="AD54" s="5">
        <f>F9</f>
        <v>10.343055555555557</v>
      </c>
      <c r="AE54" t="s">
        <v>257</v>
      </c>
    </row>
    <row r="55" spans="3:32" hidden="1" outlineLevel="1">
      <c r="H55" s="966"/>
      <c r="I55" s="966"/>
      <c r="J55" s="966"/>
      <c r="K55" s="966"/>
      <c r="L55" s="966"/>
      <c r="M55" s="966"/>
      <c r="N55" s="966"/>
      <c r="O55" s="966"/>
      <c r="P55" s="966"/>
      <c r="Q55" s="966"/>
      <c r="R55" s="966"/>
      <c r="S55" s="966"/>
      <c r="T55" s="966"/>
      <c r="U55" s="966"/>
      <c r="V55" s="976"/>
      <c r="W55" s="976"/>
      <c r="X55" s="977"/>
      <c r="AB55" s="327"/>
      <c r="AC55" s="3" t="s">
        <v>638</v>
      </c>
      <c r="AD55" s="3">
        <f>(AD54-AD53)*((-1)*V48)</f>
        <v>25.799272777777773</v>
      </c>
      <c r="AE55" t="s">
        <v>28</v>
      </c>
    </row>
    <row r="56" spans="3:32" hidden="1" outlineLevel="1">
      <c r="H56" s="992" t="s">
        <v>270</v>
      </c>
      <c r="I56" s="992"/>
      <c r="J56" s="992"/>
      <c r="K56" s="992"/>
      <c r="L56" s="992"/>
      <c r="M56" s="992"/>
      <c r="N56" s="992"/>
      <c r="O56" s="992"/>
      <c r="P56" s="992"/>
      <c r="Q56" s="992"/>
      <c r="R56" s="992"/>
      <c r="S56" s="992"/>
      <c r="T56" s="992"/>
      <c r="U56" s="992"/>
      <c r="V56" s="971">
        <f>AD59*E35</f>
        <v>11.046545041329722</v>
      </c>
      <c r="W56" s="973"/>
      <c r="X56" s="969" t="s">
        <v>104</v>
      </c>
      <c r="AB56" s="327"/>
      <c r="AC56" s="3" t="s">
        <v>641</v>
      </c>
      <c r="AD56" s="3">
        <f>(-1)*V48</f>
        <v>-15.002000000000001</v>
      </c>
      <c r="AE56" t="s">
        <v>550</v>
      </c>
    </row>
    <row r="57" spans="3:32" hidden="1" outlineLevel="1">
      <c r="H57" s="992"/>
      <c r="I57" s="992"/>
      <c r="J57" s="992"/>
      <c r="K57" s="992"/>
      <c r="L57" s="992"/>
      <c r="M57" s="992"/>
      <c r="N57" s="992"/>
      <c r="O57" s="992"/>
      <c r="P57" s="992"/>
      <c r="Q57" s="992"/>
      <c r="R57" s="992"/>
      <c r="S57" s="992"/>
      <c r="T57" s="992"/>
      <c r="U57" s="992"/>
      <c r="V57" s="973"/>
      <c r="W57" s="973"/>
      <c r="X57" s="970"/>
      <c r="AB57" s="327"/>
      <c r="AC57" s="3" t="s">
        <v>639</v>
      </c>
      <c r="AD57" s="5">
        <f>E44</f>
        <v>-7.083333333333333</v>
      </c>
      <c r="AE57" t="s">
        <v>28</v>
      </c>
    </row>
    <row r="58" spans="3:32" hidden="1" outlineLevel="1">
      <c r="H58" s="992" t="s">
        <v>479</v>
      </c>
      <c r="I58" s="992"/>
      <c r="J58" s="992"/>
      <c r="K58" s="992"/>
      <c r="L58" s="992"/>
      <c r="M58" s="992"/>
      <c r="N58" s="992"/>
      <c r="O58" s="992"/>
      <c r="P58" s="992"/>
      <c r="Q58" s="992"/>
      <c r="R58" s="992"/>
      <c r="S58" s="992"/>
      <c r="T58" s="992"/>
      <c r="U58" s="992"/>
      <c r="V58" s="971">
        <f>AD59*L39</f>
        <v>-0.26144763089459472</v>
      </c>
      <c r="W58" s="972"/>
      <c r="X58" s="974" t="s">
        <v>28</v>
      </c>
      <c r="AB58" s="327"/>
      <c r="AC58" s="3" t="s">
        <v>640</v>
      </c>
      <c r="AD58" s="3">
        <f>L39</f>
        <v>-0.11833909603247456</v>
      </c>
      <c r="AE58" t="s">
        <v>550</v>
      </c>
    </row>
    <row r="59" spans="3:32" hidden="1" outlineLevel="1">
      <c r="H59" s="992"/>
      <c r="I59" s="992"/>
      <c r="J59" s="992"/>
      <c r="K59" s="992"/>
      <c r="L59" s="992"/>
      <c r="M59" s="992"/>
      <c r="N59" s="992"/>
      <c r="O59" s="992"/>
      <c r="P59" s="992"/>
      <c r="Q59" s="992"/>
      <c r="R59" s="992"/>
      <c r="S59" s="992"/>
      <c r="T59" s="992"/>
      <c r="U59" s="992"/>
      <c r="V59" s="973"/>
      <c r="W59" s="972"/>
      <c r="X59" s="975"/>
      <c r="AB59" s="327"/>
      <c r="AC59" s="3" t="s">
        <v>635</v>
      </c>
      <c r="AD59" s="3">
        <f>(AD55-AD57)/(AD58-AD56)</f>
        <v>2.2093090082659446</v>
      </c>
      <c r="AE59" t="s">
        <v>257</v>
      </c>
    </row>
    <row r="60" spans="3:32" collapsed="1">
      <c r="H60" s="992" t="s">
        <v>478</v>
      </c>
      <c r="I60" s="992"/>
      <c r="J60" s="992"/>
      <c r="K60" s="992"/>
      <c r="L60" s="992"/>
      <c r="M60" s="992"/>
      <c r="N60" s="992"/>
      <c r="O60" s="992"/>
      <c r="P60" s="992"/>
      <c r="Q60" s="992"/>
      <c r="R60" s="992"/>
      <c r="S60" s="992"/>
      <c r="T60" s="992"/>
      <c r="U60" s="992"/>
      <c r="V60" s="1032">
        <f>E44+AD59*L39</f>
        <v>-7.3447809642279278</v>
      </c>
      <c r="W60" s="1033"/>
      <c r="X60" s="1036" t="str">
        <f>longitudeDecimal2Txt(V60)</f>
        <v>W 07°20.68 (W 07.3447) [W 07°20'41.21]</v>
      </c>
      <c r="Y60" s="1036"/>
      <c r="Z60" s="1036"/>
      <c r="AA60" s="1036"/>
      <c r="AB60" s="1036"/>
      <c r="AC60" s="1036"/>
      <c r="AD60" s="1044" t="str" cm="1">
        <f t="array" ref="AD60">CONCATENATE("Memo depart: ", longitudeDecimal2Txt(E44))</f>
        <v>Memo depart: W 07°05.00 (W 07.0833) [W 07°05'00.00]</v>
      </c>
      <c r="AE60" s="1045"/>
      <c r="AF60" s="1045"/>
    </row>
    <row r="61" spans="3:32">
      <c r="H61" s="992"/>
      <c r="I61" s="992"/>
      <c r="J61" s="992"/>
      <c r="K61" s="992"/>
      <c r="L61" s="992"/>
      <c r="M61" s="992"/>
      <c r="N61" s="992"/>
      <c r="O61" s="992"/>
      <c r="P61" s="992"/>
      <c r="Q61" s="992"/>
      <c r="R61" s="992"/>
      <c r="S61" s="992"/>
      <c r="T61" s="992"/>
      <c r="U61" s="992"/>
      <c r="V61" s="1034"/>
      <c r="W61" s="1035"/>
      <c r="X61" s="1036"/>
      <c r="Y61" s="1036"/>
      <c r="Z61" s="1036"/>
      <c r="AA61" s="1036"/>
      <c r="AB61" s="1036"/>
      <c r="AC61" s="1036"/>
      <c r="AD61" s="1044"/>
      <c r="AE61" s="1045"/>
      <c r="AF61" s="1045"/>
    </row>
    <row r="62" spans="3:32">
      <c r="H62" s="825" t="s">
        <v>266</v>
      </c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978">
        <f>AD54+AD59</f>
        <v>12.552364563821502</v>
      </c>
      <c r="W62" s="979"/>
      <c r="X62" s="826" t="str">
        <f>heureDecimal2Txt(V62)</f>
        <v>12:33:08.51(12.5523)</v>
      </c>
      <c r="Y62" s="826"/>
      <c r="Z62" s="826"/>
      <c r="AA62" s="826"/>
      <c r="AB62" s="826"/>
      <c r="AC62" s="826"/>
    </row>
    <row r="63" spans="3:32">
      <c r="H63" s="825"/>
      <c r="I63" s="825"/>
      <c r="J63" s="825"/>
      <c r="K63" s="825"/>
      <c r="L63" s="825"/>
      <c r="M63" s="825"/>
      <c r="N63" s="825"/>
      <c r="O63" s="825"/>
      <c r="P63" s="825"/>
      <c r="Q63" s="825"/>
      <c r="R63" s="825"/>
      <c r="S63" s="825"/>
      <c r="T63" s="825"/>
      <c r="U63" s="825"/>
      <c r="V63" s="980"/>
      <c r="W63" s="979"/>
      <c r="X63" s="826"/>
      <c r="Y63" s="826"/>
      <c r="Z63" s="826"/>
      <c r="AA63" s="826"/>
      <c r="AB63" s="826"/>
      <c r="AC63" s="826"/>
    </row>
    <row r="65" spans="2:66" ht="15.75" thickBot="1"/>
    <row r="66" spans="2:66" s="16" customFormat="1" ht="17.25" customHeight="1" thickBot="1">
      <c r="B66" s="314" t="s">
        <v>627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07" t="s">
        <v>1</v>
      </c>
      <c r="D67" s="607"/>
      <c r="E67" s="894" t="s">
        <v>227</v>
      </c>
      <c r="F67" s="895"/>
      <c r="G67" s="895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628</v>
      </c>
      <c r="D68" s="312"/>
      <c r="E68" s="899">
        <f>V62</f>
        <v>12.552364563821502</v>
      </c>
      <c r="F68" s="899"/>
      <c r="G68" s="899"/>
      <c r="H68" s="901" t="str" cm="1">
        <f t="array" ref="H68">heureDecimal2Txt(E68)</f>
        <v>12:33:08.51(12.5523)</v>
      </c>
      <c r="I68" s="901"/>
      <c r="J68" s="901"/>
      <c r="K68" s="901"/>
      <c r="L68" s="901"/>
      <c r="M68" s="901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00">
        <f>F26</f>
        <v>46.092764659263878</v>
      </c>
      <c r="F69" s="900"/>
      <c r="G69" s="900"/>
      <c r="H69" s="901" t="str" cm="1">
        <f t="array" ref="H69">latitudeDecimal2Txt(E69)</f>
        <v>N 46°05.56 (N 46.0927) [N 46°05'33.95]</v>
      </c>
      <c r="I69" s="901"/>
      <c r="J69" s="901"/>
      <c r="K69" s="901"/>
      <c r="L69" s="901"/>
      <c r="M69" s="901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61" t="s">
        <v>165</v>
      </c>
      <c r="D72" s="662"/>
      <c r="E72" s="662"/>
      <c r="F72" s="662"/>
      <c r="G72" s="662"/>
      <c r="H72" s="662"/>
      <c r="I72" s="663"/>
      <c r="J72" s="664" t="s">
        <v>167</v>
      </c>
      <c r="K72" s="665"/>
      <c r="L72" s="665"/>
      <c r="M72" s="665"/>
      <c r="N72" s="665"/>
      <c r="O72" s="666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61" t="s">
        <v>128</v>
      </c>
      <c r="D73" s="662"/>
      <c r="E73" s="662"/>
      <c r="F73" s="662"/>
      <c r="G73" s="662"/>
      <c r="H73" s="662"/>
      <c r="I73" s="663"/>
      <c r="J73" s="888" cm="1">
        <f t="array" ref="J73">angleConvert2Decimal(M73)</f>
        <v>0</v>
      </c>
      <c r="K73" s="889"/>
      <c r="L73" s="890"/>
      <c r="M73" s="891">
        <v>0</v>
      </c>
      <c r="N73" s="892"/>
      <c r="O73" s="893"/>
      <c r="P73" s="455" t="str" cm="1">
        <f t="array" ref="P73">angleDecimal2Txt(J73)</f>
        <v>+00°00.00 (+00.0000) [+00°00'00.00]</v>
      </c>
      <c r="Q73" s="471"/>
      <c r="R73" s="471"/>
      <c r="S73" s="471"/>
      <c r="T73" s="471"/>
      <c r="U73" s="471"/>
      <c r="V73" s="471"/>
      <c r="W73" s="471"/>
      <c r="X73" s="472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52" t="s">
        <v>127</v>
      </c>
      <c r="D74" s="652"/>
      <c r="E74" s="652"/>
      <c r="F74" s="652"/>
      <c r="G74" s="652"/>
      <c r="H74" s="652"/>
      <c r="I74" s="652"/>
      <c r="J74" s="659" cm="1">
        <f t="array" ref="J74">angleConvert2Decimal(M74)</f>
        <v>0</v>
      </c>
      <c r="K74" s="660"/>
      <c r="L74" s="555"/>
      <c r="M74" s="896">
        <v>0</v>
      </c>
      <c r="N74" s="897"/>
      <c r="O74" s="898"/>
      <c r="P74" s="557" t="str" cm="1">
        <f t="array" ref="P74">angleDecimal2Txt(J74)</f>
        <v>+00°00.00 (+00.0000) [+00°00'00.00]</v>
      </c>
      <c r="Q74" s="557"/>
      <c r="R74" s="557"/>
      <c r="S74" s="557"/>
      <c r="T74" s="557"/>
      <c r="U74" s="557"/>
      <c r="V74" s="557"/>
      <c r="W74" s="557"/>
      <c r="X74" s="557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52" t="s">
        <v>135</v>
      </c>
      <c r="D75" s="652"/>
      <c r="E75" s="652"/>
      <c r="F75" s="652"/>
      <c r="G75" s="652"/>
      <c r="H75" s="652"/>
      <c r="I75" s="652"/>
      <c r="J75" s="667" cm="1">
        <f t="array" ref="J75">angleConvert2Decimal(M75)</f>
        <v>0</v>
      </c>
      <c r="K75" s="667"/>
      <c r="L75" s="667"/>
      <c r="M75" s="967">
        <f>M74/2</f>
        <v>0</v>
      </c>
      <c r="N75" s="968"/>
      <c r="O75" s="968"/>
      <c r="P75" s="557" t="str" cm="1">
        <f t="array" ref="P75">angleDecimal2Txt(J75)</f>
        <v>+00°00.00 (+00.0000) [+00°00'00.00]</v>
      </c>
      <c r="Q75" s="557"/>
      <c r="R75" s="557"/>
      <c r="S75" s="557"/>
      <c r="T75" s="557"/>
      <c r="U75" s="557"/>
      <c r="V75" s="557"/>
      <c r="W75" s="557"/>
      <c r="X75" s="557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68" t="s">
        <v>19</v>
      </c>
      <c r="D76" s="668"/>
      <c r="E76" s="668"/>
      <c r="F76" s="668"/>
      <c r="G76" s="668"/>
      <c r="H76" s="668"/>
      <c r="I76" s="668"/>
      <c r="J76" s="654">
        <f>M76</f>
        <v>2</v>
      </c>
      <c r="K76" s="655"/>
      <c r="L76" s="656"/>
      <c r="M76" s="716">
        <v>2</v>
      </c>
      <c r="N76" s="716"/>
      <c r="O76" s="716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84" t="s">
        <v>20</v>
      </c>
      <c r="D77" s="685"/>
      <c r="E77" s="685"/>
      <c r="F77" s="685"/>
      <c r="G77" s="685"/>
      <c r="H77" s="685"/>
      <c r="I77" s="686"/>
      <c r="J77" s="659" cm="1">
        <f t="array" ref="J77">angleConvert2Decimal(M77)</f>
        <v>2.1666666666666667E-2</v>
      </c>
      <c r="K77" s="660"/>
      <c r="L77" s="555"/>
      <c r="M77" s="715" t="s">
        <v>244</v>
      </c>
      <c r="N77" s="716"/>
      <c r="O77" s="716"/>
      <c r="P77" s="557" t="str" cm="1">
        <f t="array" ref="P77">angleDecimal2Txt(J77)</f>
        <v>+00°01.30 (+00.0216) [+00°01'18.00]</v>
      </c>
      <c r="Q77" s="557"/>
      <c r="R77" s="557"/>
      <c r="S77" s="557"/>
      <c r="T77" s="557"/>
      <c r="U77" s="557"/>
      <c r="V77" s="557"/>
      <c r="W77" s="557"/>
      <c r="X77" s="557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94" t="s">
        <v>26</v>
      </c>
      <c r="D78" s="794"/>
      <c r="E78" s="794"/>
      <c r="F78" s="794"/>
      <c r="G78" s="794"/>
      <c r="H78" s="794"/>
      <c r="I78" s="794"/>
      <c r="J78" s="902">
        <f>IF(J72=AC72,J75,angleConvert2Decimal(M78))</f>
        <v>66.95</v>
      </c>
      <c r="K78" s="903"/>
      <c r="L78" s="904"/>
      <c r="M78" s="715" t="s">
        <v>253</v>
      </c>
      <c r="N78" s="716"/>
      <c r="O78" s="716"/>
      <c r="P78" s="557" t="str" cm="1">
        <f t="array" ref="P78">angleDecimal2Txt(J78)</f>
        <v>+66°57.00 (+66.9500) [+66°57'00.00]</v>
      </c>
      <c r="Q78" s="557"/>
      <c r="R78" s="557"/>
      <c r="S78" s="557"/>
      <c r="T78" s="557"/>
      <c r="U78" s="557"/>
      <c r="V78" s="557"/>
      <c r="W78" s="557"/>
      <c r="X78" s="557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763" t="s">
        <v>30</v>
      </c>
      <c r="D79" s="763"/>
      <c r="E79" s="763"/>
      <c r="F79" s="763"/>
      <c r="G79" s="763"/>
      <c r="H79" s="763"/>
      <c r="I79" s="763"/>
      <c r="J79" s="532" t="str">
        <f>M79</f>
        <v>Soleil</v>
      </c>
      <c r="K79" s="533"/>
      <c r="L79" s="534"/>
      <c r="M79" s="1001" t="s">
        <v>31</v>
      </c>
      <c r="N79" s="1002"/>
      <c r="O79" s="1003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763" t="s">
        <v>56</v>
      </c>
      <c r="D80" s="763"/>
      <c r="E80" s="763"/>
      <c r="F80" s="763"/>
      <c r="G80" s="763"/>
      <c r="H80" s="763"/>
      <c r="I80" s="763"/>
      <c r="J80" s="532" t="str">
        <f>M80</f>
        <v>BordInf</v>
      </c>
      <c r="K80" s="533"/>
      <c r="L80" s="534"/>
      <c r="M80" s="673" t="s">
        <v>57</v>
      </c>
      <c r="N80" s="673"/>
      <c r="O80" s="673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757" t="s">
        <v>151</v>
      </c>
      <c r="D81" s="758"/>
      <c r="E81" s="27"/>
      <c r="F81" s="27"/>
      <c r="G81" s="27"/>
      <c r="H81" s="27"/>
      <c r="I81" s="28"/>
      <c r="J81" s="436" cm="1">
        <f t="array" ref="J81">angleConvert2Decimal(M81)</f>
        <v>2.8833333333333302E-3</v>
      </c>
      <c r="K81" s="421"/>
      <c r="L81" s="422"/>
      <c r="M81" s="723">
        <f>P83</f>
        <v>2.8833333333333302E-3</v>
      </c>
      <c r="N81" s="724"/>
      <c r="O81" s="724"/>
      <c r="P81" s="1004" t="s">
        <v>97</v>
      </c>
      <c r="Q81" s="1004"/>
      <c r="R81" s="1004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1005" t="s">
        <v>152</v>
      </c>
      <c r="E82" s="1005"/>
      <c r="F82" s="1005"/>
      <c r="G82" s="1005"/>
      <c r="H82" s="1005"/>
      <c r="I82" s="1006"/>
      <c r="J82" s="437"/>
      <c r="K82" s="423"/>
      <c r="L82" s="424"/>
      <c r="M82" s="725"/>
      <c r="N82" s="726"/>
      <c r="O82" s="726"/>
      <c r="P82" s="1004"/>
      <c r="Q82" s="1004"/>
      <c r="R82" s="1004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1005"/>
      <c r="E83" s="1005"/>
      <c r="F83" s="1005"/>
      <c r="G83" s="1005"/>
      <c r="H83" s="1005"/>
      <c r="I83" s="1006"/>
      <c r="J83" s="437"/>
      <c r="K83" s="423"/>
      <c r="L83" s="424"/>
      <c r="M83" s="725"/>
      <c r="N83" s="726"/>
      <c r="O83" s="726"/>
      <c r="P83" s="720" cm="1">
        <f t="array" ref="P83">astroHPSoleilEnDegre()</f>
        <v>2.8833333333333302E-3</v>
      </c>
      <c r="Q83" s="720"/>
      <c r="R83" s="720"/>
      <c r="S83" s="718" t="str" cm="1">
        <f t="array" ref="S83">angleDecimal2Txt(angleConvert2Decimal(P83))</f>
        <v>+00°00.17 (+00.0028) [+00°00'10.37]</v>
      </c>
      <c r="T83" s="718"/>
      <c r="U83" s="718"/>
      <c r="V83" s="718"/>
      <c r="W83" s="718"/>
      <c r="X83" s="719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1007"/>
      <c r="E84" s="1007"/>
      <c r="F84" s="1007"/>
      <c r="G84" s="1007"/>
      <c r="H84" s="1007"/>
      <c r="I84" s="1008"/>
      <c r="J84" s="1012"/>
      <c r="K84" s="1013"/>
      <c r="L84" s="1014"/>
      <c r="M84" s="727"/>
      <c r="N84" s="728"/>
      <c r="O84" s="728"/>
      <c r="P84" s="622" t="str" cm="1">
        <f t="array" ref="P84">angleDecimal2Txt(J81)</f>
        <v>+00°00.17 (+00.0028) [+00°00'10.37]</v>
      </c>
      <c r="Q84" s="622"/>
      <c r="R84" s="622"/>
      <c r="S84" s="557"/>
      <c r="T84" s="557"/>
      <c r="U84" s="557"/>
      <c r="V84" s="557"/>
      <c r="W84" s="557"/>
      <c r="X84" s="557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827" t="s">
        <v>100</v>
      </c>
      <c r="D85" s="828"/>
      <c r="E85" s="828"/>
      <c r="F85" s="828"/>
      <c r="G85" s="828"/>
      <c r="H85" s="828"/>
      <c r="I85" s="829"/>
      <c r="J85" s="436" cm="1">
        <f t="array" ref="J85">angleConvert2Decimal(M85)</f>
        <v>0.52666666699999998</v>
      </c>
      <c r="K85" s="421"/>
      <c r="L85" s="422"/>
      <c r="M85" s="723">
        <f>P87</f>
        <v>0.52666666699999998</v>
      </c>
      <c r="N85" s="724"/>
      <c r="O85" s="724"/>
      <c r="P85" s="1004" t="s">
        <v>97</v>
      </c>
      <c r="Q85" s="1004"/>
      <c r="R85" s="1004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830"/>
      <c r="D86" s="786"/>
      <c r="E86" s="786"/>
      <c r="F86" s="786"/>
      <c r="G86" s="786"/>
      <c r="H86" s="786"/>
      <c r="I86" s="831"/>
      <c r="J86" s="437"/>
      <c r="K86" s="423"/>
      <c r="L86" s="424"/>
      <c r="M86" s="725"/>
      <c r="N86" s="726"/>
      <c r="O86" s="726"/>
      <c r="P86" s="1004"/>
      <c r="Q86" s="1004"/>
      <c r="R86" s="1004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830"/>
      <c r="D87" s="786"/>
      <c r="E87" s="786"/>
      <c r="F87" s="786"/>
      <c r="G87" s="786"/>
      <c r="H87" s="786"/>
      <c r="I87" s="831"/>
      <c r="J87" s="437"/>
      <c r="K87" s="423"/>
      <c r="L87" s="424"/>
      <c r="M87" s="725"/>
      <c r="N87" s="726"/>
      <c r="O87" s="726"/>
      <c r="P87" s="720" cm="1">
        <f t="array" ref="P87">astroDiametreSoleilEnDegre(AA7)</f>
        <v>0.52666666699999998</v>
      </c>
      <c r="Q87" s="720"/>
      <c r="R87" s="720"/>
      <c r="S87" s="718" t="str" cm="1">
        <f t="array" ref="S87">angleDecimal2Txt(angleConvert2Decimal(P87))</f>
        <v>+00°31.60 (+00.5266) [+00°31'36.00]</v>
      </c>
      <c r="T87" s="718"/>
      <c r="U87" s="718"/>
      <c r="V87" s="718"/>
      <c r="W87" s="718"/>
      <c r="X87" s="719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832"/>
      <c r="D88" s="833"/>
      <c r="E88" s="833"/>
      <c r="F88" s="833"/>
      <c r="G88" s="833"/>
      <c r="H88" s="833"/>
      <c r="I88" s="834"/>
      <c r="J88" s="808"/>
      <c r="K88" s="809"/>
      <c r="L88" s="810"/>
      <c r="M88" s="727"/>
      <c r="N88" s="728"/>
      <c r="O88" s="728"/>
      <c r="P88" s="622" t="str" cm="1">
        <f t="array" ref="P88">angleDecimal2Txt(J85)</f>
        <v>+00°31.60 (+00.5266) [+00°31'36.00]</v>
      </c>
      <c r="Q88" s="622"/>
      <c r="R88" s="622"/>
      <c r="S88" s="557"/>
      <c r="T88" s="557"/>
      <c r="U88" s="557"/>
      <c r="V88" s="557"/>
      <c r="W88" s="557"/>
      <c r="X88" s="557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647">
        <f>IF(G91=AD91,D94,IF(G91=AD92,D101,D107))</f>
        <v>23.175000000000004</v>
      </c>
      <c r="G90" s="647"/>
      <c r="H90" s="647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554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634" t="s">
        <v>35</v>
      </c>
      <c r="D91" s="634"/>
      <c r="E91" s="634"/>
      <c r="F91" s="634"/>
      <c r="G91" s="753" t="s">
        <v>10</v>
      </c>
      <c r="H91" s="513"/>
      <c r="I91" s="754"/>
      <c r="AB91" s="349"/>
      <c r="AC91" s="510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408" t="s">
        <v>10</v>
      </c>
      <c r="D92" s="419" t="s">
        <v>9</v>
      </c>
      <c r="E92" s="420"/>
      <c r="F92" s="420"/>
      <c r="G92" s="420"/>
      <c r="H92" s="420"/>
      <c r="I92" s="415" t="s">
        <v>619</v>
      </c>
      <c r="J92" s="416"/>
      <c r="K92" s="415" t="s">
        <v>13</v>
      </c>
      <c r="L92" s="432"/>
      <c r="M92" s="612"/>
      <c r="N92" s="430" t="s">
        <v>15</v>
      </c>
      <c r="O92" s="430"/>
      <c r="P92" s="430"/>
      <c r="Q92" s="430"/>
      <c r="R92" s="430"/>
      <c r="S92" s="14"/>
      <c r="AB92" s="343"/>
      <c r="AC92" s="510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408"/>
      <c r="D93" s="419"/>
      <c r="E93" s="420"/>
      <c r="F93" s="420"/>
      <c r="G93" s="420"/>
      <c r="H93" s="420"/>
      <c r="I93" s="417"/>
      <c r="J93" s="418"/>
      <c r="K93" s="613"/>
      <c r="L93" s="614"/>
      <c r="M93" s="615"/>
      <c r="N93" s="430"/>
      <c r="O93" s="430"/>
      <c r="P93" s="430"/>
      <c r="Q93" s="430"/>
      <c r="R93" s="430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408"/>
      <c r="D94" s="421">
        <f>IF(G91=AD91,AD99,"---")</f>
        <v>23.175000000000004</v>
      </c>
      <c r="E94" s="421"/>
      <c r="F94" s="421"/>
      <c r="G94" s="421"/>
      <c r="H94" s="422"/>
      <c r="I94" s="409">
        <f>E63</f>
        <v>0</v>
      </c>
      <c r="J94" s="410"/>
      <c r="K94" s="787">
        <v>10</v>
      </c>
      <c r="L94" s="616"/>
      <c r="M94" s="788"/>
      <c r="N94" s="620" t="s">
        <v>3</v>
      </c>
      <c r="O94" s="680" t="s">
        <v>539</v>
      </c>
      <c r="P94" s="815"/>
      <c r="Q94" s="815"/>
      <c r="R94" s="815"/>
      <c r="S94" s="722" t="str" cm="1">
        <f t="array" ref="S94">angleDecimal2Txt(AE94)</f>
        <v>+23°08.50 (+23.1416) [+23°08'30.00]</v>
      </c>
      <c r="T94" s="729"/>
      <c r="U94" s="729"/>
      <c r="V94" s="729"/>
      <c r="W94" s="729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408"/>
      <c r="D95" s="423"/>
      <c r="E95" s="423"/>
      <c r="F95" s="423"/>
      <c r="G95" s="423"/>
      <c r="H95" s="424"/>
      <c r="I95" s="411"/>
      <c r="J95" s="412"/>
      <c r="K95" s="767"/>
      <c r="L95" s="768"/>
      <c r="M95" s="769"/>
      <c r="N95" s="620"/>
      <c r="O95" s="793"/>
      <c r="P95" s="793"/>
      <c r="Q95" s="793"/>
      <c r="R95" s="793"/>
      <c r="S95" s="729"/>
      <c r="T95" s="729"/>
      <c r="U95" s="729"/>
      <c r="V95" s="729"/>
      <c r="W95" s="729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408"/>
      <c r="D96" s="423"/>
      <c r="E96" s="423"/>
      <c r="F96" s="423"/>
      <c r="G96" s="423"/>
      <c r="H96" s="424"/>
      <c r="I96" s="411"/>
      <c r="J96" s="412"/>
      <c r="K96" s="764">
        <v>11</v>
      </c>
      <c r="L96" s="765"/>
      <c r="M96" s="766"/>
      <c r="N96" s="620" t="s">
        <v>3</v>
      </c>
      <c r="O96" s="792" t="s">
        <v>540</v>
      </c>
      <c r="P96" s="793"/>
      <c r="Q96" s="793"/>
      <c r="R96" s="793"/>
      <c r="S96" s="722" t="str" cm="1">
        <f t="array" ref="S96">angleDecimal2Txt((AE95))</f>
        <v>+23°08.30 (+23.1383) [+23°08'18.00]</v>
      </c>
      <c r="T96" s="729"/>
      <c r="U96" s="729"/>
      <c r="V96" s="729"/>
      <c r="W96" s="729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408"/>
      <c r="D97" s="425" t="str" cm="1">
        <f t="array" ref="D97">latitudeDecimal2Txt(D94)</f>
        <v>N 23°10.50 (N 23.1750) [N 23°10'30.00]</v>
      </c>
      <c r="E97" s="426"/>
      <c r="F97" s="426"/>
      <c r="G97" s="426"/>
      <c r="H97" s="426"/>
      <c r="I97" s="413"/>
      <c r="J97" s="414"/>
      <c r="K97" s="767"/>
      <c r="L97" s="768"/>
      <c r="M97" s="769"/>
      <c r="N97" s="620"/>
      <c r="O97" s="793"/>
      <c r="P97" s="793"/>
      <c r="Q97" s="793"/>
      <c r="R97" s="793"/>
      <c r="S97" s="729"/>
      <c r="T97" s="729"/>
      <c r="U97" s="729"/>
      <c r="V97" s="729"/>
      <c r="W97" s="729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427" t="s">
        <v>14</v>
      </c>
      <c r="D99" s="420" t="s">
        <v>9</v>
      </c>
      <c r="E99" s="420"/>
      <c r="F99" s="420"/>
      <c r="G99" s="420"/>
      <c r="H99" s="420"/>
      <c r="I99" s="415" t="s">
        <v>619</v>
      </c>
      <c r="J99" s="416"/>
      <c r="K99" s="415" t="s">
        <v>611</v>
      </c>
      <c r="L99" s="432"/>
      <c r="M99" s="612"/>
      <c r="N99" s="430" t="s">
        <v>16</v>
      </c>
      <c r="O99" s="430"/>
      <c r="P99" s="430"/>
      <c r="Q99" s="430"/>
      <c r="R99" s="430"/>
      <c r="S99" s="430" t="s">
        <v>131</v>
      </c>
      <c r="T99" s="430"/>
      <c r="U99" s="430"/>
      <c r="V99" s="430"/>
      <c r="W99" s="430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427"/>
      <c r="D100" s="420"/>
      <c r="E100" s="420"/>
      <c r="F100" s="420"/>
      <c r="G100" s="420"/>
      <c r="H100" s="420"/>
      <c r="I100" s="417"/>
      <c r="J100" s="418"/>
      <c r="K100" s="613"/>
      <c r="L100" s="614"/>
      <c r="M100" s="615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427"/>
      <c r="D101" s="421" t="str">
        <f>IF(G91=AD92,AD105,"---")</f>
        <v>---</v>
      </c>
      <c r="E101" s="421"/>
      <c r="F101" s="421"/>
      <c r="G101" s="421"/>
      <c r="H101" s="421"/>
      <c r="I101" s="429">
        <f>E63</f>
        <v>0</v>
      </c>
      <c r="J101" s="429"/>
      <c r="K101" s="608">
        <v>0</v>
      </c>
      <c r="L101" s="608"/>
      <c r="M101" s="609"/>
      <c r="N101" s="620" t="s">
        <v>3</v>
      </c>
      <c r="O101" s="618" t="s">
        <v>610</v>
      </c>
      <c r="P101" s="619"/>
      <c r="Q101" s="619"/>
      <c r="R101" s="619"/>
      <c r="S101" s="620" t="s">
        <v>3</v>
      </c>
      <c r="T101" s="618">
        <f>0.2/60</f>
        <v>3.3333333333333335E-3</v>
      </c>
      <c r="U101" s="619"/>
      <c r="V101" s="619"/>
      <c r="W101" s="619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427"/>
      <c r="D102" s="423"/>
      <c r="E102" s="423"/>
      <c r="F102" s="423"/>
      <c r="G102" s="423"/>
      <c r="H102" s="423"/>
      <c r="I102" s="429"/>
      <c r="J102" s="429"/>
      <c r="K102" s="610"/>
      <c r="L102" s="610"/>
      <c r="M102" s="611"/>
      <c r="N102" s="620"/>
      <c r="O102" s="620"/>
      <c r="P102" s="620"/>
      <c r="Q102" s="620"/>
      <c r="R102" s="620"/>
      <c r="S102" s="620"/>
      <c r="T102" s="620"/>
      <c r="U102" s="620"/>
      <c r="V102" s="620"/>
      <c r="W102" s="620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427"/>
      <c r="D103" s="425" t="e" cm="1">
        <f t="array" ref="D103">latitudeDecimal2Txt(D101)</f>
        <v>#VALUE!</v>
      </c>
      <c r="E103" s="426"/>
      <c r="F103" s="426"/>
      <c r="G103" s="426"/>
      <c r="H103" s="640"/>
      <c r="I103" s="429"/>
      <c r="J103" s="429"/>
      <c r="K103" s="440" t="str" cm="1">
        <f t="array" ref="K103">heureDecimal2Txt(K101)</f>
        <v>00:00:00.00(00.0000)</v>
      </c>
      <c r="L103" s="440"/>
      <c r="M103" s="425"/>
      <c r="N103" s="557" t="str" cm="1">
        <f t="array" ref="N103">angleDecimal2Txt(AD102)</f>
        <v>+23°10.59 (+23.1766) [+23°10'36.00]</v>
      </c>
      <c r="O103" s="557"/>
      <c r="P103" s="557"/>
      <c r="Q103" s="557"/>
      <c r="R103" s="557"/>
      <c r="S103" s="557" t="str" cm="1">
        <f t="array" ref="S103">angleDecimal2Txt(AD104)</f>
        <v>+00°00.19 (+00.0033) [+00°00'11.99]</v>
      </c>
      <c r="T103" s="621"/>
      <c r="U103" s="621"/>
      <c r="V103" s="621"/>
      <c r="W103" s="621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537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427" t="s">
        <v>620</v>
      </c>
      <c r="D105" s="420" t="s">
        <v>9</v>
      </c>
      <c r="E105" s="420"/>
      <c r="F105" s="420"/>
      <c r="G105" s="420"/>
      <c r="H105" s="420"/>
      <c r="I105" s="522" t="s">
        <v>556</v>
      </c>
      <c r="J105" s="523"/>
      <c r="K105" s="523"/>
      <c r="L105" s="523"/>
      <c r="M105" s="524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427"/>
      <c r="D106" s="420"/>
      <c r="E106" s="420"/>
      <c r="F106" s="420"/>
      <c r="G106" s="420"/>
      <c r="H106" s="420"/>
      <c r="I106" s="782"/>
      <c r="J106" s="526"/>
      <c r="K106" s="526"/>
      <c r="L106" s="526"/>
      <c r="M106" s="527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427"/>
      <c r="D107" s="437" t="str">
        <f>IF(G91=AD90,AD108,"---")</f>
        <v>---</v>
      </c>
      <c r="E107" s="423"/>
      <c r="F107" s="423"/>
      <c r="G107" s="423"/>
      <c r="H107" s="423"/>
      <c r="I107" s="791" t="s">
        <v>4</v>
      </c>
      <c r="J107" s="431" t="s">
        <v>618</v>
      </c>
      <c r="K107" s="431"/>
      <c r="L107" s="431"/>
      <c r="M107" s="431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427"/>
      <c r="D108" s="468"/>
      <c r="E108" s="469"/>
      <c r="F108" s="469"/>
      <c r="G108" s="469"/>
      <c r="H108" s="469"/>
      <c r="I108" s="791"/>
      <c r="J108" s="431"/>
      <c r="K108" s="431"/>
      <c r="L108" s="431"/>
      <c r="M108" s="431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427"/>
      <c r="D109" s="426" t="str" cm="1">
        <f t="array" ref="D109">latitudeDecimal2Txt(AD108)</f>
        <v>S 14°43.70 (S 14.7283) [S 14°43'42.00]</v>
      </c>
      <c r="E109" s="426"/>
      <c r="F109" s="426"/>
      <c r="G109" s="426"/>
      <c r="H109" s="426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82" t="s">
        <v>72</v>
      </c>
      <c r="E111" s="643"/>
      <c r="F111" s="647">
        <f>IF(G112=AD112,O149,O139)</f>
        <v>67.144288851193551</v>
      </c>
      <c r="G111" s="647"/>
      <c r="H111" s="647"/>
      <c r="I111" s="26"/>
      <c r="J111" s="26"/>
      <c r="K111" s="26"/>
      <c r="L111" s="26" t="s">
        <v>60</v>
      </c>
      <c r="M111" s="582">
        <f>O114</f>
        <v>66.95</v>
      </c>
      <c r="N111" s="582"/>
      <c r="O111" s="26"/>
      <c r="P111" s="60"/>
      <c r="Q111" s="26" t="s">
        <v>95</v>
      </c>
      <c r="R111" s="26"/>
      <c r="S111" s="625">
        <f>-O126+O121+O130</f>
        <v>0.25739197523773433</v>
      </c>
      <c r="T111" s="626"/>
      <c r="U111" s="627"/>
      <c r="V111" s="1009" t="str" cm="1">
        <f t="array" ref="V111">angleDecimal2Txt(S111)</f>
        <v>+00°15.44 (+00.2573) [+00°15'26.61]</v>
      </c>
      <c r="W111" s="1010"/>
      <c r="X111" s="1010"/>
      <c r="Y111" s="1010"/>
      <c r="Z111" s="1011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86" t="s">
        <v>35</v>
      </c>
      <c r="D112" s="786"/>
      <c r="E112" s="786"/>
      <c r="F112" s="786"/>
      <c r="G112" s="513" t="s">
        <v>51</v>
      </c>
      <c r="H112" s="513"/>
      <c r="I112" s="513"/>
      <c r="P112" s="16" t="s">
        <v>69</v>
      </c>
      <c r="V112" s="14"/>
      <c r="W112" s="14"/>
      <c r="X112" s="14"/>
      <c r="Y112" s="14"/>
      <c r="Z112" s="14"/>
      <c r="AB112" s="343"/>
      <c r="AC112" s="510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514" t="s">
        <v>62</v>
      </c>
      <c r="G113" s="514"/>
      <c r="H113" s="515"/>
      <c r="I113" s="515"/>
      <c r="J113" s="902">
        <f>IF(G112=AD112,"---",O139)</f>
        <v>67.144288851193551</v>
      </c>
      <c r="K113" s="903"/>
      <c r="L113" s="904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510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85" t="s">
        <v>47</v>
      </c>
      <c r="I114" s="586"/>
      <c r="J114" s="586"/>
      <c r="K114" s="586"/>
      <c r="L114" s="586"/>
      <c r="M114" s="586"/>
      <c r="N114" s="587"/>
      <c r="O114" s="565">
        <f>J78</f>
        <v>66.95</v>
      </c>
      <c r="P114" s="565"/>
      <c r="Q114" s="565"/>
      <c r="R114" s="565"/>
      <c r="S114" s="16" t="s">
        <v>54</v>
      </c>
      <c r="U114" s="455" t="str" cm="1">
        <f t="array" ref="U114">angleDecimal2Txt(O114)</f>
        <v>+66°57.00 (+66.9500) [+66°57'00.00]</v>
      </c>
      <c r="V114" s="471"/>
      <c r="W114" s="471"/>
      <c r="X114" s="471"/>
      <c r="Y114" s="471"/>
      <c r="Z114" s="472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85" t="s">
        <v>24</v>
      </c>
      <c r="I115" s="586"/>
      <c r="J115" s="586"/>
      <c r="K115" s="586"/>
      <c r="L115" s="586"/>
      <c r="M115" s="586"/>
      <c r="N115" s="587"/>
      <c r="O115" s="565">
        <f>J77</f>
        <v>2.1666666666666667E-2</v>
      </c>
      <c r="P115" s="565"/>
      <c r="Q115" s="565"/>
      <c r="R115" s="565"/>
      <c r="S115" s="16" t="s">
        <v>54</v>
      </c>
      <c r="U115" s="455" t="str" cm="1">
        <f t="array" ref="U115">angleDecimal2Txt(O115)</f>
        <v>+00°01.30 (+00.0216) [+00°01'18.00]</v>
      </c>
      <c r="V115" s="471"/>
      <c r="W115" s="471"/>
      <c r="X115" s="471"/>
      <c r="Y115" s="471"/>
      <c r="Z115" s="472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85" t="s">
        <v>68</v>
      </c>
      <c r="I116" s="586"/>
      <c r="J116" s="586"/>
      <c r="K116" s="586"/>
      <c r="L116" s="586"/>
      <c r="M116" s="586"/>
      <c r="N116" s="587"/>
      <c r="O116" s="592">
        <f>AD117</f>
        <v>4.1436457377531689E-2</v>
      </c>
      <c r="P116" s="592"/>
      <c r="Q116" s="592"/>
      <c r="R116" s="592"/>
      <c r="S116" s="16" t="s">
        <v>54</v>
      </c>
      <c r="U116" s="455" t="str" cm="1">
        <f t="array" ref="U116">angleDecimal2Txt(O116)</f>
        <v>+00°02.48 (+00.0414) [+00°02'29.17]</v>
      </c>
      <c r="V116" s="471"/>
      <c r="W116" s="471"/>
      <c r="X116" s="471"/>
      <c r="Y116" s="471"/>
      <c r="Z116" s="472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1015" t="s">
        <v>113</v>
      </c>
      <c r="N117" s="1015"/>
      <c r="O117" s="1015"/>
      <c r="P117" s="1015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817" t="s">
        <v>406</v>
      </c>
      <c r="I118" s="600"/>
      <c r="J118" s="600"/>
      <c r="K118" s="600"/>
      <c r="L118" s="600"/>
      <c r="M118" s="600"/>
      <c r="N118" s="601"/>
      <c r="O118" s="659">
        <f>O114-O115-O116</f>
        <v>66.886896875955813</v>
      </c>
      <c r="P118" s="555"/>
      <c r="Q118" s="16" t="s">
        <v>54</v>
      </c>
      <c r="R118" s="588">
        <f>O118*Outils!F4</f>
        <v>1.1673965769273382</v>
      </c>
      <c r="S118" s="588"/>
      <c r="T118" s="37" t="s">
        <v>64</v>
      </c>
      <c r="U118" s="455" t="str" cm="1">
        <f t="array" ref="U118">angleDecimal2Txt(O118)</f>
        <v>+66°53.21 (+66.8868) [+66°53'12.82]</v>
      </c>
      <c r="V118" s="471"/>
      <c r="W118" s="471"/>
      <c r="X118" s="471"/>
      <c r="Y118" s="471"/>
      <c r="Z118" s="472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32" t="s">
        <v>52</v>
      </c>
      <c r="I120" s="533"/>
      <c r="J120" s="533"/>
      <c r="K120" s="533"/>
      <c r="L120" s="533"/>
      <c r="M120" s="533"/>
      <c r="N120" s="534"/>
      <c r="O120" s="784">
        <f>J81</f>
        <v>2.8833333333333302E-3</v>
      </c>
      <c r="P120" s="785"/>
      <c r="Q120" s="785"/>
      <c r="R120" s="785"/>
      <c r="S120" s="16" t="s">
        <v>54</v>
      </c>
      <c r="T120" s="16"/>
      <c r="U120" s="455" t="str" cm="1">
        <f t="array" ref="U120">angleDecimal2Txt(O120)</f>
        <v>+00°00.17 (+00.0028) [+00°00'10.37]</v>
      </c>
      <c r="V120" s="471"/>
      <c r="W120" s="471"/>
      <c r="X120" s="471"/>
      <c r="Y120" s="471"/>
      <c r="Z120" s="472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99" t="s">
        <v>140</v>
      </c>
      <c r="I121" s="600"/>
      <c r="J121" s="600"/>
      <c r="K121" s="600"/>
      <c r="L121" s="600"/>
      <c r="M121" s="600"/>
      <c r="N121" s="601"/>
      <c r="O121" s="556">
        <f>AD120</f>
        <v>1.1318451843031951E-3</v>
      </c>
      <c r="P121" s="556"/>
      <c r="Q121" s="556"/>
      <c r="R121" s="556"/>
      <c r="S121" s="16" t="s">
        <v>54</v>
      </c>
      <c r="T121" s="16"/>
      <c r="U121" s="455" t="str" cm="1">
        <f t="array" ref="U121">angleDecimal2Txt(O121)</f>
        <v>+00°00.06 (+00.0011) [+00°00'04.07]</v>
      </c>
      <c r="V121" s="471"/>
      <c r="W121" s="471"/>
      <c r="X121" s="471"/>
      <c r="Y121" s="471"/>
      <c r="Z121" s="472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604" t="s">
        <v>126</v>
      </c>
      <c r="T123" s="605"/>
      <c r="U123" s="606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32" t="s">
        <v>65</v>
      </c>
      <c r="I124" s="533"/>
      <c r="J124" s="533"/>
      <c r="K124" s="533"/>
      <c r="L124" s="533"/>
      <c r="M124" s="533"/>
      <c r="N124" s="534"/>
      <c r="O124" s="590">
        <f>S124</f>
        <v>10</v>
      </c>
      <c r="P124" s="591"/>
      <c r="Q124" s="591"/>
      <c r="R124" s="591"/>
      <c r="S124" s="644">
        <v>10</v>
      </c>
      <c r="T124" s="645"/>
      <c r="U124" s="646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32" t="s">
        <v>66</v>
      </c>
      <c r="I125" s="533"/>
      <c r="J125" s="533"/>
      <c r="K125" s="533"/>
      <c r="L125" s="533"/>
      <c r="M125" s="533"/>
      <c r="N125" s="534"/>
      <c r="O125" s="590">
        <f>S125</f>
        <v>1010</v>
      </c>
      <c r="P125" s="591"/>
      <c r="Q125" s="591"/>
      <c r="R125" s="591"/>
      <c r="S125" s="644">
        <v>1010</v>
      </c>
      <c r="T125" s="645"/>
      <c r="U125" s="646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599" t="s">
        <v>141</v>
      </c>
      <c r="I126" s="600"/>
      <c r="J126" s="600"/>
      <c r="K126" s="600"/>
      <c r="L126" s="600"/>
      <c r="M126" s="600"/>
      <c r="N126" s="601"/>
      <c r="O126" s="556">
        <f>AD127</f>
        <v>7.0732034465688749E-3</v>
      </c>
      <c r="P126" s="556"/>
      <c r="Q126" s="556"/>
      <c r="R126" s="556"/>
      <c r="S126" s="16" t="s">
        <v>54</v>
      </c>
      <c r="T126" s="16"/>
      <c r="U126" s="455" t="str" cm="1">
        <f t="array" ref="U126">angleDecimal2Txt(O126)</f>
        <v>+00°00.42 (+00.0070) [+00°00'25.46]</v>
      </c>
      <c r="V126" s="471"/>
      <c r="W126" s="471"/>
      <c r="X126" s="471"/>
      <c r="Y126" s="471"/>
      <c r="Z126" s="472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32" t="s">
        <v>100</v>
      </c>
      <c r="I128" s="533"/>
      <c r="J128" s="533"/>
      <c r="K128" s="533"/>
      <c r="L128" s="533"/>
      <c r="M128" s="533"/>
      <c r="N128" s="534"/>
      <c r="O128" s="589">
        <f>J85</f>
        <v>0.52666666699999998</v>
      </c>
      <c r="P128" s="589"/>
      <c r="Q128" s="589"/>
      <c r="R128" s="589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32" t="s">
        <v>70</v>
      </c>
      <c r="I129" s="533"/>
      <c r="J129" s="533"/>
      <c r="K129" s="533"/>
      <c r="L129" s="533"/>
      <c r="M129" s="533"/>
      <c r="N129" s="534"/>
      <c r="O129" s="589" t="str">
        <f>J80</f>
        <v>BordInf</v>
      </c>
      <c r="P129" s="589"/>
      <c r="Q129" s="589"/>
      <c r="R129" s="589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641" t="str">
        <f>J79</f>
        <v>Soleil</v>
      </c>
      <c r="AE129" s="641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599" t="s">
        <v>71</v>
      </c>
      <c r="I130" s="600"/>
      <c r="J130" s="600"/>
      <c r="K130" s="600"/>
      <c r="L130" s="600"/>
      <c r="M130" s="600"/>
      <c r="N130" s="601"/>
      <c r="O130" s="602">
        <f>AD131</f>
        <v>0.26333333349999999</v>
      </c>
      <c r="P130" s="602"/>
      <c r="Q130" s="602"/>
      <c r="R130" s="602"/>
      <c r="S130" s="16" t="s">
        <v>54</v>
      </c>
      <c r="T130" s="16"/>
      <c r="U130" s="455" t="str" cm="1">
        <f t="array" ref="U130">angleDecimal2Txt(O130)</f>
        <v>+00°15.80 (+00.2633) [+00°15'48.00]</v>
      </c>
      <c r="V130" s="471"/>
      <c r="W130" s="471"/>
      <c r="X130" s="471"/>
      <c r="Y130" s="471"/>
      <c r="Z130" s="472"/>
      <c r="AA130" s="16"/>
      <c r="AB130" s="343"/>
      <c r="AC130" s="3" t="s">
        <v>190</v>
      </c>
      <c r="AD130" s="641" t="str">
        <f>O129</f>
        <v>BordInf</v>
      </c>
      <c r="AE130" s="641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42" cm="1">
        <f t="array" ref="AD131">astroDiametreSoleilEnDegre(AA7,O129)</f>
        <v>0.26333333349999999</v>
      </c>
      <c r="AE131" s="642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45" t="s">
        <v>107</v>
      </c>
      <c r="H132" s="546"/>
      <c r="I132" s="546"/>
      <c r="J132" s="546"/>
      <c r="K132" s="546"/>
      <c r="L132" s="546"/>
      <c r="M132" s="546"/>
      <c r="N132" s="546"/>
      <c r="O132" s="546"/>
      <c r="P132" s="546"/>
      <c r="Q132" s="546"/>
      <c r="R132" s="546"/>
      <c r="S132" s="547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409" t="s">
        <v>115</v>
      </c>
      <c r="H133" s="410"/>
      <c r="I133" s="516" t="s">
        <v>110</v>
      </c>
      <c r="J133" s="517"/>
      <c r="K133" s="517"/>
      <c r="L133" s="517"/>
      <c r="M133" s="517"/>
      <c r="N133" s="518"/>
      <c r="O133" s="550">
        <f>(O121-O126-O116+O128/2) * 60</f>
        <v>12.957331071612156</v>
      </c>
      <c r="P133" s="543"/>
      <c r="Q133" s="543"/>
      <c r="R133" s="543"/>
      <c r="S133" s="548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413"/>
      <c r="H134" s="414"/>
      <c r="I134" s="519" t="s">
        <v>114</v>
      </c>
      <c r="J134" s="520"/>
      <c r="K134" s="520"/>
      <c r="L134" s="520"/>
      <c r="M134" s="520"/>
      <c r="N134" s="521"/>
      <c r="O134" s="551"/>
      <c r="P134" s="544"/>
      <c r="Q134" s="544"/>
      <c r="R134" s="544"/>
      <c r="S134" s="549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516" t="s">
        <v>111</v>
      </c>
      <c r="J135" s="517"/>
      <c r="K135" s="517"/>
      <c r="L135" s="517"/>
      <c r="M135" s="517"/>
      <c r="N135" s="518"/>
      <c r="O135" s="543">
        <f>(O121-O126+O128/2)*60</f>
        <v>15.44351851426406</v>
      </c>
      <c r="P135" s="543"/>
      <c r="Q135" s="543"/>
      <c r="R135" s="543"/>
      <c r="S135" s="548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519" t="s">
        <v>112</v>
      </c>
      <c r="J136" s="520"/>
      <c r="K136" s="520"/>
      <c r="L136" s="520"/>
      <c r="M136" s="520"/>
      <c r="N136" s="521"/>
      <c r="O136" s="544"/>
      <c r="P136" s="544"/>
      <c r="Q136" s="544"/>
      <c r="R136" s="544"/>
      <c r="S136" s="549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818" t="s">
        <v>71</v>
      </c>
      <c r="J137" s="819"/>
      <c r="K137" s="819"/>
      <c r="L137" s="819"/>
      <c r="M137" s="819"/>
      <c r="N137" s="820"/>
      <c r="O137" s="535">
        <f>O130*60</f>
        <v>15.80000001</v>
      </c>
      <c r="P137" s="536"/>
      <c r="Q137" s="536"/>
      <c r="R137" s="536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52" t="s">
        <v>142</v>
      </c>
      <c r="I139" s="553"/>
      <c r="J139" s="553"/>
      <c r="K139" s="553"/>
      <c r="L139" s="553"/>
      <c r="M139" s="553"/>
      <c r="N139" s="554"/>
      <c r="O139" s="555">
        <f>O118-O126+O121+O130</f>
        <v>67.144288851193551</v>
      </c>
      <c r="P139" s="556"/>
      <c r="Q139" s="556"/>
      <c r="R139" s="556"/>
      <c r="S139" s="16" t="s">
        <v>54</v>
      </c>
      <c r="T139" s="16"/>
      <c r="U139" s="455" t="str" cm="1">
        <f t="array" ref="U139">angleDecimal2Txt(O139)</f>
        <v>+67°08.65 (+67.1442) [+67°08'39.43]</v>
      </c>
      <c r="V139" s="471"/>
      <c r="W139" s="471"/>
      <c r="X139" s="471"/>
      <c r="Y139" s="471"/>
      <c r="Z139" s="472"/>
      <c r="AA139" s="16"/>
      <c r="AB139" s="343"/>
      <c r="AE139" s="1048" t="s">
        <v>582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48"/>
      <c r="AF140" t="s">
        <v>577</v>
      </c>
      <c r="AG140" t="s">
        <v>578</v>
      </c>
      <c r="AH140" t="s">
        <v>564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514" t="s">
        <v>63</v>
      </c>
      <c r="G141" s="514"/>
      <c r="H141" s="514"/>
      <c r="I141" s="514"/>
      <c r="J141" s="659" t="str">
        <f>IF(G112=AD112,O149,"---")</f>
        <v>---</v>
      </c>
      <c r="K141" s="660"/>
      <c r="L141" s="555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584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584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811" t="s">
        <v>33</v>
      </c>
      <c r="V143" s="811"/>
      <c r="W143" s="16"/>
      <c r="X143" s="16"/>
      <c r="Y143" s="16"/>
      <c r="Z143" s="16"/>
      <c r="AA143" s="16"/>
      <c r="AB143" s="343"/>
      <c r="AE143" t="s">
        <v>583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811" t="s">
        <v>80</v>
      </c>
      <c r="V144" s="811"/>
      <c r="W144" s="16"/>
      <c r="X144" s="16"/>
      <c r="Y144" s="16"/>
      <c r="Z144" s="16"/>
      <c r="AA144" s="16"/>
      <c r="AB144" s="343"/>
      <c r="AE144" t="s">
        <v>583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79" t="s">
        <v>75</v>
      </c>
      <c r="L145" s="16" t="s">
        <v>59</v>
      </c>
      <c r="M145" s="16"/>
      <c r="N145" s="779" t="s">
        <v>77</v>
      </c>
      <c r="O145" s="40" t="s">
        <v>230</v>
      </c>
      <c r="P145" s="16"/>
      <c r="Q145" s="779" t="s">
        <v>77</v>
      </c>
      <c r="R145" s="16" t="s">
        <v>231</v>
      </c>
      <c r="S145" s="16"/>
      <c r="T145" s="99" t="s">
        <v>79</v>
      </c>
      <c r="U145" s="812" t="s">
        <v>81</v>
      </c>
      <c r="V145" s="812"/>
      <c r="W145" s="16"/>
      <c r="X145" s="16"/>
      <c r="Y145" s="16"/>
      <c r="AB145" s="343"/>
      <c r="AC145" s="11" t="s">
        <v>580</v>
      </c>
      <c r="AD145" s="11" t="s">
        <v>579</v>
      </c>
      <c r="AE145" t="s">
        <v>583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79"/>
      <c r="L146" s="537">
        <f>O115</f>
        <v>2.1666666666666667E-2</v>
      </c>
      <c r="M146" s="538"/>
      <c r="N146" s="779"/>
      <c r="O146" s="541" t="s">
        <v>146</v>
      </c>
      <c r="P146" s="542"/>
      <c r="Q146" s="779"/>
      <c r="R146" s="102" t="s">
        <v>79</v>
      </c>
      <c r="S146" s="16"/>
      <c r="T146" s="16"/>
      <c r="U146" s="16"/>
      <c r="AB146" s="343"/>
      <c r="AC146" s="11" t="s">
        <v>581</v>
      </c>
      <c r="AD146" s="11" t="s">
        <v>585</v>
      </c>
      <c r="AE146" t="s">
        <v>583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229</v>
      </c>
      <c r="L147" s="539" cm="1">
        <f t="array" ref="L147">angleConvert2Decimal(L146)</f>
        <v>2.1666666666666699E-2</v>
      </c>
      <c r="M147" s="540"/>
      <c r="N147" s="16"/>
      <c r="O147" s="583" cm="1">
        <f t="array" ref="O147">angleConvert2Decimal(O146)</f>
        <v>0.17166666666666669</v>
      </c>
      <c r="P147" s="584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55" t="str" cm="1">
        <f t="array" ref="W147">angleDecimal2Txt(V147)</f>
        <v>-00°21.69 (-00.3616) [-00°21'42.00]</v>
      </c>
      <c r="X147" s="471"/>
      <c r="Y147" s="471"/>
      <c r="Z147" s="471"/>
      <c r="AA147" s="472"/>
      <c r="AB147" s="343"/>
      <c r="AE147" t="s">
        <v>584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584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52" t="s">
        <v>145</v>
      </c>
      <c r="I149" s="553"/>
      <c r="J149" s="553"/>
      <c r="K149" s="553"/>
      <c r="L149" s="553"/>
      <c r="M149" s="553"/>
      <c r="N149" s="554"/>
      <c r="O149" s="555">
        <f>J146-L147+O147+R147</f>
        <v>66.566666666666677</v>
      </c>
      <c r="P149" s="556"/>
      <c r="Q149" s="556"/>
      <c r="R149" s="556"/>
      <c r="S149" s="16" t="s">
        <v>54</v>
      </c>
      <c r="T149" s="16"/>
      <c r="U149" s="455" t="str" cm="1">
        <f t="array" ref="U149">angleDecimal2Txt(O149)</f>
        <v>+66°34.00 (+66.5666) [+66°34'00.00]</v>
      </c>
      <c r="V149" s="471"/>
      <c r="W149" s="471"/>
      <c r="X149" s="471"/>
      <c r="Y149" s="471"/>
      <c r="Z149" s="472"/>
      <c r="AA149" s="16"/>
      <c r="AB149" s="343"/>
      <c r="AE149" t="s">
        <v>583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1017" t="s">
        <v>254</v>
      </c>
      <c r="C151" s="1018"/>
      <c r="D151" s="1018"/>
      <c r="E151" s="1018"/>
      <c r="F151" s="1018"/>
      <c r="G151" s="1018"/>
      <c r="H151" s="1018"/>
      <c r="I151" s="1018"/>
      <c r="J151" s="1018"/>
      <c r="K151" s="1018"/>
      <c r="L151" s="1018"/>
      <c r="M151" s="1018"/>
      <c r="N151" s="1018"/>
      <c r="O151" s="1018"/>
      <c r="P151" s="1018"/>
      <c r="Q151" s="1018"/>
      <c r="R151" s="1018"/>
      <c r="S151" s="1018"/>
      <c r="T151" s="1018"/>
      <c r="U151" s="1018"/>
      <c r="V151" s="1018"/>
      <c r="W151" s="1018"/>
      <c r="X151" s="1018"/>
      <c r="Y151" s="1018"/>
      <c r="Z151" s="1018"/>
      <c r="AA151" s="1018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93" t="s">
        <v>256</v>
      </c>
      <c r="F153" s="594"/>
      <c r="G153" s="594"/>
      <c r="H153" s="594"/>
      <c r="I153" s="436">
        <f>90-Q154</f>
        <v>22.855711148806449</v>
      </c>
      <c r="J153" s="421"/>
      <c r="K153" s="421"/>
      <c r="L153" s="421"/>
      <c r="M153" s="422"/>
      <c r="N153" s="16"/>
      <c r="O153" s="1023" t="s">
        <v>255</v>
      </c>
      <c r="P153" s="1024"/>
      <c r="Q153" s="1025"/>
      <c r="R153" s="1025"/>
      <c r="S153" s="1025"/>
      <c r="T153" s="1026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95"/>
      <c r="F154" s="596"/>
      <c r="G154" s="596"/>
      <c r="H154" s="596"/>
      <c r="I154" s="468"/>
      <c r="J154" s="469"/>
      <c r="K154" s="469"/>
      <c r="L154" s="469"/>
      <c r="M154" s="470"/>
      <c r="N154" s="48" t="s">
        <v>116</v>
      </c>
      <c r="O154" s="907" t="s">
        <v>72</v>
      </c>
      <c r="P154" s="1028"/>
      <c r="Q154" s="731">
        <f>F111</f>
        <v>67.144288851193551</v>
      </c>
      <c r="R154" s="732"/>
      <c r="S154" s="732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597"/>
      <c r="F155" s="598"/>
      <c r="G155" s="598"/>
      <c r="H155" s="598"/>
      <c r="I155" s="455" t="str" cm="1">
        <f t="array" ref="I155">angleDecimal2Txt(I153)</f>
        <v>+22°51.34 (+22.8557) [+22°51'20.56]</v>
      </c>
      <c r="J155" s="471"/>
      <c r="K155" s="471"/>
      <c r="L155" s="471"/>
      <c r="M155" s="472"/>
      <c r="N155" s="16"/>
      <c r="O155" s="907" t="s">
        <v>84</v>
      </c>
      <c r="P155" s="1028"/>
      <c r="Q155" s="731">
        <f>F90</f>
        <v>23.175000000000004</v>
      </c>
      <c r="R155" s="732"/>
      <c r="S155" s="732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584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1019" t="s">
        <v>212</v>
      </c>
      <c r="F158" s="1020"/>
      <c r="G158" s="1020"/>
      <c r="H158" s="1020"/>
      <c r="I158" s="1020"/>
      <c r="J158" s="1020"/>
      <c r="K158" s="1020"/>
      <c r="L158" s="1020"/>
      <c r="M158" s="1020"/>
      <c r="N158" s="1020"/>
      <c r="O158" s="1021"/>
      <c r="Q158" s="565" t="s">
        <v>586</v>
      </c>
      <c r="R158" s="565"/>
      <c r="S158" s="565"/>
      <c r="T158" s="1027" t="str">
        <f>IF(T159&gt;T160,AC157,AC158)</f>
        <v>Soleil au sud</v>
      </c>
      <c r="U158" s="1027"/>
      <c r="V158" s="1049" t="str">
        <f>IF(VLOOKUP(T158,AC157:AD158,2,FALSE)&lt;0,"Le soleil est au sud, et le nord est dans le dos","Le soleil est au nord, et le sud est dans le dos")</f>
        <v>Le soleil est au sud, et le nord est dans le dos</v>
      </c>
      <c r="W158" s="1049"/>
      <c r="X158" s="1049"/>
      <c r="Y158" s="1049"/>
      <c r="Z158" s="1049"/>
      <c r="AA158" s="1049"/>
      <c r="AB158" s="343"/>
      <c r="AC158" t="s">
        <v>583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78"/>
      <c r="F159" s="778" t="s">
        <v>214</v>
      </c>
      <c r="G159" s="778"/>
      <c r="H159" s="778"/>
      <c r="I159" s="778"/>
      <c r="J159" s="778"/>
      <c r="K159" s="476" t="s">
        <v>216</v>
      </c>
      <c r="L159" s="1022"/>
      <c r="M159" s="1022"/>
      <c r="N159" s="1022"/>
      <c r="O159" s="477"/>
      <c r="Q159" s="565" t="s">
        <v>85</v>
      </c>
      <c r="R159" s="565"/>
      <c r="S159" s="565"/>
      <c r="T159" s="1027">
        <f>E69</f>
        <v>46.092764659263878</v>
      </c>
      <c r="U159" s="1027"/>
      <c r="V159" s="1049" t="str">
        <f>CONCATENATE("Lat et Dec - Meme sens ?: ",AC159)</f>
        <v>Lat et Dec - Meme sens ?: TRUE</v>
      </c>
      <c r="W159" s="1049"/>
      <c r="X159" s="1049"/>
      <c r="Y159" s="1049"/>
      <c r="Z159" s="1049"/>
      <c r="AA159" s="1049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78"/>
      <c r="F160" s="778" t="s">
        <v>215</v>
      </c>
      <c r="G160" s="778"/>
      <c r="H160" s="778"/>
      <c r="I160" s="778"/>
      <c r="J160" s="778"/>
      <c r="K160" s="476" t="s">
        <v>217</v>
      </c>
      <c r="L160" s="1022"/>
      <c r="M160" s="1022"/>
      <c r="N160" s="1022"/>
      <c r="O160" s="477"/>
      <c r="Q160" s="565" t="s">
        <v>84</v>
      </c>
      <c r="R160" s="565"/>
      <c r="S160" s="565"/>
      <c r="T160" s="1027">
        <f>F90</f>
        <v>23.175000000000004</v>
      </c>
      <c r="U160" s="1027"/>
      <c r="V160" s="1049" t="str">
        <f>CONCATENATE("Lat &gt; Dec  ? : ",AC160)</f>
        <v>Lat &gt; Dec  ? : TRUE</v>
      </c>
      <c r="W160" s="1049"/>
      <c r="X160" s="1049"/>
      <c r="Y160" s="1049"/>
      <c r="Z160" s="1049"/>
      <c r="AA160" s="1049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1029" t="s">
        <v>213</v>
      </c>
      <c r="F161" s="1029"/>
      <c r="G161" s="1029"/>
      <c r="H161" s="1029"/>
      <c r="I161" s="1029"/>
      <c r="J161" s="1029"/>
      <c r="K161" s="476" t="s">
        <v>218</v>
      </c>
      <c r="L161" s="1022"/>
      <c r="M161" s="1022"/>
      <c r="N161" s="1022"/>
      <c r="O161" s="477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35" t="s">
        <v>211</v>
      </c>
      <c r="I164" s="736"/>
      <c r="J164" s="736"/>
      <c r="K164" s="736"/>
      <c r="L164" s="1016"/>
      <c r="M164" s="1037" cm="1">
        <f t="array" ref="M164">astroCalculLatitude(VLOOKUP(T158,AC157:AD158,2,FALSE), T160, Q154)</f>
        <v>46.030711148806454</v>
      </c>
      <c r="N164" s="1038"/>
      <c r="O164" s="216" t="s">
        <v>28</v>
      </c>
      <c r="P164" s="1039" t="str">
        <f>latitudeDecimal2Txt(M164)</f>
        <v>N 46°01.84 (N 46.0307) [N 46°01'50.56]</v>
      </c>
      <c r="Q164" s="1040"/>
      <c r="R164" s="1040"/>
      <c r="S164" s="1040"/>
      <c r="T164" s="1040"/>
      <c r="U164" s="1040"/>
      <c r="V164" t="s">
        <v>587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46">
        <f>IF(AC159,IF(AC160,I153+T160,T160-I153),I153-T160)</f>
        <v>46.030711148806454</v>
      </c>
      <c r="N165" s="1047"/>
      <c r="O165" s="290" t="s">
        <v>28</v>
      </c>
      <c r="P165" s="847" t="str">
        <f>latitudeDecimal2Txt(M165)</f>
        <v>N 46°01.84 (N 46.0307) [N 46°01'50.56]</v>
      </c>
      <c r="Q165" s="847"/>
      <c r="R165" s="847"/>
      <c r="S165" s="847"/>
      <c r="T165" s="847"/>
      <c r="U165" s="848"/>
      <c r="V165" s="16" t="s">
        <v>588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232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customHeight="1" outlineLevel="1" thickBot="1">
      <c r="A170" s="16"/>
      <c r="B170" s="16"/>
      <c r="C170" s="773" t="s">
        <v>233</v>
      </c>
      <c r="D170" s="773"/>
      <c r="E170" s="773"/>
      <c r="F170" s="773"/>
      <c r="G170" s="103"/>
      <c r="H170" s="773" t="s">
        <v>234</v>
      </c>
      <c r="I170" s="773"/>
      <c r="J170" s="773"/>
      <c r="K170" s="16"/>
      <c r="L170" s="1030" t="s">
        <v>223</v>
      </c>
      <c r="M170" s="1030"/>
      <c r="N170" s="1030"/>
      <c r="O170" s="16"/>
      <c r="P170" s="16"/>
      <c r="Q170" s="822" t="s">
        <v>235</v>
      </c>
      <c r="R170" s="822"/>
      <c r="S170" s="822"/>
      <c r="T170" s="822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customHeight="1" outlineLevel="1" thickTop="1" thickBot="1">
      <c r="A171" s="16"/>
      <c r="B171" s="16"/>
      <c r="C171" s="59"/>
      <c r="D171" s="127" t="s">
        <v>41</v>
      </c>
      <c r="E171" s="778">
        <f>M164</f>
        <v>46.030711148806454</v>
      </c>
      <c r="F171" s="778"/>
      <c r="G171" s="59"/>
      <c r="H171" s="16"/>
      <c r="I171" s="778">
        <f>W158</f>
        <v>0</v>
      </c>
      <c r="J171" s="778"/>
      <c r="K171" s="16" t="s">
        <v>104</v>
      </c>
      <c r="L171" s="16"/>
      <c r="M171" s="778">
        <v>180</v>
      </c>
      <c r="N171" s="778"/>
      <c r="O171" s="16"/>
      <c r="P171" s="16"/>
      <c r="Q171" s="16"/>
      <c r="R171" s="128" t="s">
        <v>41</v>
      </c>
      <c r="S171" s="641">
        <f>E171</f>
        <v>46.030711148806454</v>
      </c>
      <c r="T171" s="641"/>
      <c r="U171" s="640" t="str" cm="1">
        <f t="array" ref="U171">latitudeDecimal2Txt(S171)</f>
        <v>N 46°01.84 (N 46.0307) [N 46°01'50.56]</v>
      </c>
      <c r="V171" s="440"/>
      <c r="W171" s="440"/>
      <c r="X171" s="440"/>
      <c r="Y171" s="440"/>
      <c r="Z171" s="425"/>
      <c r="AA171" s="16"/>
      <c r="AB171" s="343"/>
      <c r="AD171" s="92"/>
      <c r="BN171" s="24"/>
      <c r="BO171" s="16"/>
    </row>
    <row r="172" spans="1:67" ht="17.25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822" t="s">
        <v>236</v>
      </c>
      <c r="R173" s="822"/>
      <c r="S173" s="822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641">
        <f>M171-90</f>
        <v>90</v>
      </c>
      <c r="S174" s="641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customHeight="1" outlineLevel="1"/>
    <row r="176" spans="1:67" ht="17.25" customHeight="1" thickBot="1"/>
    <row r="177" spans="2:33" ht="17.25" customHeight="1" thickBot="1">
      <c r="B177" s="109" t="s">
        <v>240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72" t="s">
        <v>235</v>
      </c>
      <c r="D179" s="772"/>
      <c r="E179" s="772"/>
      <c r="F179" s="772"/>
      <c r="G179" s="90"/>
      <c r="H179" s="16"/>
      <c r="I179" s="16"/>
      <c r="J179" s="16"/>
      <c r="K179" s="16"/>
      <c r="L179" s="16"/>
      <c r="Q179" s="104" t="s">
        <v>241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64">
        <f>I189</f>
        <v>0</v>
      </c>
      <c r="F180" s="564"/>
      <c r="G180" s="426" t="str" cm="1">
        <f t="array" ref="G180">latitudeDecimal2Txt(E180)</f>
        <v>N 00°00.00 (N 00.0000) [N 00°00'00.00]</v>
      </c>
      <c r="H180" s="426"/>
      <c r="I180" s="426"/>
      <c r="J180" s="426"/>
      <c r="K180" s="426"/>
      <c r="L180" s="426"/>
      <c r="R180" s="128" t="s">
        <v>41</v>
      </c>
      <c r="S180" s="641">
        <f>AG183</f>
        <v>46.030711148806454</v>
      </c>
      <c r="T180" s="641"/>
      <c r="U180" s="426" t="str" cm="1">
        <f t="array" ref="U180">latitudeDecimal2Txt(S180)</f>
        <v>N 46°01.84 (N 46.0307) [N 46°01'50.56]</v>
      </c>
      <c r="V180" s="426"/>
      <c r="W180" s="426"/>
      <c r="X180" s="426"/>
      <c r="Y180" s="426"/>
      <c r="Z180" s="426"/>
      <c r="AC180" s="121" t="s">
        <v>272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64">
        <v>-7</v>
      </c>
      <c r="F181" s="564"/>
      <c r="G181" s="426" t="str" cm="1">
        <f t="array" ref="G181">longitudeDecimal2Txt(E181)</f>
        <v>W 07°00.00 (W 07.0000) [W 07°00'00.00]</v>
      </c>
      <c r="H181" s="426"/>
      <c r="I181" s="426"/>
      <c r="J181" s="426"/>
      <c r="K181" s="426"/>
      <c r="L181" s="426"/>
      <c r="R181" s="128" t="s">
        <v>42</v>
      </c>
      <c r="S181" s="641">
        <f>AG184</f>
        <v>19.575843472753313</v>
      </c>
      <c r="T181" s="641"/>
      <c r="U181" s="426" t="str" cm="1">
        <f t="array" ref="U181">longitudeDecimal2Txt(S181)</f>
        <v>E 19°34.55 (E 19.5758) [E 19°34'33.03]</v>
      </c>
      <c r="V181" s="426"/>
      <c r="W181" s="426"/>
      <c r="X181" s="426"/>
      <c r="Y181" s="426"/>
      <c r="Z181" s="426"/>
      <c r="AC181" s="123" t="s">
        <v>274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275</v>
      </c>
      <c r="AD182" s="122">
        <f>E181</f>
        <v>-7</v>
      </c>
    </row>
    <row r="183" spans="2:33" ht="17.25" hidden="1" customHeight="1" outlineLevel="1">
      <c r="C183" s="772" t="s">
        <v>236</v>
      </c>
      <c r="D183" s="772"/>
      <c r="E183" s="772"/>
      <c r="F183" s="108"/>
      <c r="G183" s="16"/>
      <c r="H183" s="16"/>
      <c r="I183" s="16"/>
      <c r="J183" s="16"/>
      <c r="K183" s="16"/>
      <c r="L183" s="16"/>
      <c r="AC183" s="121" t="s">
        <v>242</v>
      </c>
      <c r="AD183" s="121">
        <f>TAN(AD180*Outils!F37) * (1 / COS(AD181*Outils!F37))</f>
        <v>0</v>
      </c>
      <c r="AE183" s="821" t="s">
        <v>278</v>
      </c>
      <c r="AF183" s="821"/>
      <c r="AG183" s="125">
        <f>S171</f>
        <v>46.030711148806454</v>
      </c>
    </row>
    <row r="184" spans="2:33" ht="17.25" hidden="1" customHeight="1" outlineLevel="1">
      <c r="D184" s="564">
        <v>30</v>
      </c>
      <c r="E184" s="564"/>
      <c r="F184" s="130" t="s">
        <v>28</v>
      </c>
      <c r="G184" s="16"/>
      <c r="H184" s="16"/>
      <c r="I184" s="16"/>
      <c r="J184" s="16"/>
      <c r="K184" s="16"/>
      <c r="L184" s="16"/>
      <c r="AC184" s="121" t="s">
        <v>243</v>
      </c>
      <c r="AD184" s="121">
        <f>AD182-AD181*AD183</f>
        <v>-7</v>
      </c>
      <c r="AE184" s="821"/>
      <c r="AF184" s="821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536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512" t="s">
        <v>1</v>
      </c>
      <c r="C190" s="512"/>
      <c r="D190" s="512" t="str">
        <f>I66</f>
        <v>2025/06/30</v>
      </c>
      <c r="E190" s="512"/>
      <c r="F190" s="512"/>
      <c r="G190" s="512"/>
      <c r="H190" s="234" t="s">
        <v>2</v>
      </c>
      <c r="I190" s="512" t="str">
        <f>M66</f>
        <v>12:33:08.51(12.5523)</v>
      </c>
      <c r="J190" s="512"/>
      <c r="K190" s="512"/>
      <c r="L190" s="512"/>
    </row>
    <row r="191" spans="2:33">
      <c r="B191" s="558" t="s">
        <v>30</v>
      </c>
      <c r="C191" s="558"/>
      <c r="D191" s="887" t="s">
        <v>430</v>
      </c>
      <c r="E191" s="887"/>
      <c r="F191" s="887"/>
      <c r="G191" s="887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400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41" t="s">
        <v>474</v>
      </c>
      <c r="D194" s="441"/>
      <c r="E194" s="441" t="str" cm="1">
        <f t="array" ref="E194">angleDecimal2Txt(angleConvert2Decimal(M78))</f>
        <v>+66°57.00 (+66.9500) [+66°57'00.00]</v>
      </c>
      <c r="F194" s="441"/>
      <c r="G194" s="441"/>
      <c r="H194" s="441"/>
      <c r="I194" s="441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43" t="s">
        <v>70</v>
      </c>
      <c r="D195" s="443"/>
      <c r="E195" s="443" t="str">
        <f>J80</f>
        <v>BordInf</v>
      </c>
      <c r="F195" s="443"/>
      <c r="G195" s="443"/>
      <c r="H195" s="443"/>
      <c r="I195" s="443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511" t="s">
        <v>402</v>
      </c>
      <c r="D196" s="511"/>
      <c r="E196" s="463" t="str" cm="1">
        <f t="array" ref="E196">angleDecimal2Txt(angleConvert2Decimal(M77))</f>
        <v>+00°01.30 (+00.0216) [+00°01'18.00]</v>
      </c>
      <c r="F196" s="463"/>
      <c r="G196" s="463"/>
      <c r="H196" s="463"/>
      <c r="I196" s="463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512" t="s">
        <v>403</v>
      </c>
      <c r="D197" s="512"/>
      <c r="E197" s="464" t="str">
        <f>CONCATENATE(M76, " m")</f>
        <v>2 m</v>
      </c>
      <c r="F197" s="464"/>
      <c r="G197" s="464"/>
      <c r="H197" s="464"/>
      <c r="I197" s="464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48" t="str" cm="1">
        <f t="array" ref="E198">angleDecimal2Txt(O118)</f>
        <v>+66°53.21 (+66.8868) [+66°53'12.82]</v>
      </c>
      <c r="F198" s="448"/>
      <c r="G198" s="448"/>
      <c r="H198" s="448"/>
      <c r="I198" s="448"/>
      <c r="J198" s="448" t="s">
        <v>475</v>
      </c>
      <c r="K198" s="448"/>
      <c r="L198" s="448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45" t="s">
        <v>403</v>
      </c>
      <c r="G199" s="447"/>
      <c r="H199" s="480" t="str" cm="1">
        <f t="array" ref="H199">angleDecimal2Txt(O116)</f>
        <v>+00°02.48 (+00.0414) [+00°02'29.17]</v>
      </c>
      <c r="I199" s="480"/>
      <c r="J199" s="480"/>
      <c r="K199" s="480"/>
      <c r="L199" s="480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60" t="s">
        <v>410</v>
      </c>
      <c r="G200" s="460"/>
      <c r="H200" s="480" t="str" cm="1">
        <f t="array" ref="H200">angleDecimal2Txt(O126)</f>
        <v>+00°00.42 (+00.0070) [+00°00'25.46]</v>
      </c>
      <c r="I200" s="480"/>
      <c r="J200" s="480"/>
      <c r="K200" s="480"/>
      <c r="L200" s="480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60" t="s">
        <v>411</v>
      </c>
      <c r="G201" s="460"/>
      <c r="H201" s="460" t="str" cm="1">
        <f t="array" ref="H201">angleDecimal2Txt(O121)</f>
        <v>+00°00.06 (+00.0011) [+00°00'04.07]</v>
      </c>
      <c r="I201" s="460"/>
      <c r="J201" s="460"/>
      <c r="K201" s="460"/>
      <c r="L201" s="460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60" t="s">
        <v>100</v>
      </c>
      <c r="G202" s="460"/>
      <c r="H202" s="460" t="str" cm="1">
        <f t="array" ref="H202">angleDecimal2Txt(O128)</f>
        <v>+00°31.60 (+00.5266) [+00°31'36.00]</v>
      </c>
      <c r="I202" s="460"/>
      <c r="J202" s="460"/>
      <c r="K202" s="460"/>
      <c r="L202" s="460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60" t="s">
        <v>71</v>
      </c>
      <c r="G203" s="460"/>
      <c r="H203" s="460" t="str" cm="1">
        <f t="array" ref="H203">angleDecimal2Txt(O130)</f>
        <v>+00°15.80 (+00.2633) [+00°15'48.00]</v>
      </c>
      <c r="I203" s="460"/>
      <c r="J203" s="460"/>
      <c r="K203" s="460"/>
      <c r="L203" s="460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48" t="str" cm="1">
        <f t="array" ref="E204">angleDecimal2Txt(F111)</f>
        <v>+67°08.65 (+67.1442) [+67°08'39.43]</v>
      </c>
      <c r="F204" s="448"/>
      <c r="G204" s="448"/>
      <c r="H204" s="448"/>
      <c r="I204" s="448"/>
      <c r="J204" s="448" t="s">
        <v>476</v>
      </c>
      <c r="K204" s="448"/>
      <c r="L204" s="448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60" t="str" cm="1">
        <f t="array" ref="F205">angleDecimal2Txt(O121-O126-O116)</f>
        <v>-00°02.84 (-00.0473) [-00°02'50.56]</v>
      </c>
      <c r="G205" s="460"/>
      <c r="H205" s="460"/>
      <c r="I205" s="460"/>
      <c r="J205" s="460"/>
      <c r="K205" s="460" t="s">
        <v>412</v>
      </c>
      <c r="L205" s="460"/>
      <c r="M205" s="460"/>
      <c r="N205" s="449" t="s">
        <v>427</v>
      </c>
      <c r="O205" s="449"/>
      <c r="P205" s="449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60" t="str" cm="1">
        <f t="array" ref="F206">angleDecimal2Txt(O121-O126-O116+O130)</f>
        <v>+00°12.95 (+00.2159) [+00°12'57.43]</v>
      </c>
      <c r="G206" s="460"/>
      <c r="H206" s="460"/>
      <c r="I206" s="460"/>
      <c r="J206" s="460"/>
      <c r="K206" s="460" t="s">
        <v>408</v>
      </c>
      <c r="L206" s="460"/>
      <c r="M206" s="460"/>
      <c r="N206" s="449"/>
      <c r="O206" s="449"/>
      <c r="P206" s="449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60" t="str" cm="1">
        <f t="array" ref="F207">angleDecimal2Txt(O121-O126+O130)</f>
        <v>+00°15.44 (+00.2573) [+00°15'26.61]</v>
      </c>
      <c r="G207" s="460"/>
      <c r="H207" s="460"/>
      <c r="I207" s="460"/>
      <c r="J207" s="460"/>
      <c r="K207" s="460" t="s">
        <v>409</v>
      </c>
      <c r="L207" s="460"/>
      <c r="M207" s="460"/>
      <c r="N207" s="449"/>
      <c r="O207" s="449"/>
      <c r="P207" s="449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545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849" t="s">
        <v>546</v>
      </c>
      <c r="C211" s="442" t="s">
        <v>603</v>
      </c>
      <c r="D211" s="442"/>
      <c r="E211" s="442" t="str">
        <f>O11</f>
        <v>N 46°06.00 (N 46.1000) [N 46°06'00.00]</v>
      </c>
      <c r="F211" s="442"/>
      <c r="G211" s="442"/>
      <c r="H211" s="442"/>
      <c r="I211" s="442"/>
      <c r="J211" s="442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849"/>
      <c r="C212" s="442" t="s">
        <v>599</v>
      </c>
      <c r="D212" s="442"/>
      <c r="E212" s="442" t="str">
        <f>O13</f>
        <v>W 07°05.00 (W 07.0833) [W 07°05'00.00]</v>
      </c>
      <c r="F212" s="442"/>
      <c r="G212" s="442"/>
      <c r="H212" s="442"/>
      <c r="I212" s="442"/>
      <c r="J212" s="442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849"/>
      <c r="C213" s="442" t="s">
        <v>11</v>
      </c>
      <c r="D213" s="442"/>
      <c r="E213" s="442" t="str">
        <f>O9</f>
        <v>10:20:35.00(10.3430)</v>
      </c>
      <c r="F213" s="442"/>
      <c r="G213" s="442"/>
      <c r="H213" s="442"/>
      <c r="I213" s="442"/>
      <c r="J213" s="442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849"/>
      <c r="C214" s="442" t="s">
        <v>106</v>
      </c>
      <c r="D214" s="442"/>
      <c r="E214" s="442">
        <f>F17</f>
        <v>260</v>
      </c>
      <c r="F214" s="442"/>
      <c r="G214" s="442"/>
      <c r="H214" s="442"/>
      <c r="I214" s="442"/>
      <c r="J214" s="442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849"/>
      <c r="C215" s="442" t="s">
        <v>105</v>
      </c>
      <c r="D215" s="442"/>
      <c r="E215" s="879">
        <f>E35</f>
        <v>5</v>
      </c>
      <c r="F215" s="880"/>
      <c r="G215" s="880"/>
      <c r="H215" s="880"/>
      <c r="I215" s="880"/>
      <c r="J215" s="303" t="s">
        <v>549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81" t="s">
        <v>602</v>
      </c>
      <c r="G216" s="882"/>
      <c r="H216" s="876" t="str">
        <f>I26</f>
        <v>N 46°05.56 (N 46.0927) [N 46°05'33.95]</v>
      </c>
      <c r="I216" s="873"/>
      <c r="J216" s="873"/>
      <c r="K216" s="873"/>
      <c r="L216" s="877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83" t="s">
        <v>548</v>
      </c>
      <c r="G217" s="884"/>
      <c r="H217" s="871">
        <f>P34</f>
        <v>-4.9240387650610398</v>
      </c>
      <c r="I217" s="872"/>
      <c r="J217" s="872"/>
      <c r="K217" s="872"/>
      <c r="L217" s="283" t="s">
        <v>549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85"/>
      <c r="G218" s="886"/>
      <c r="H218" s="871">
        <f>X39</f>
        <v>0.11833909603247456</v>
      </c>
      <c r="I218" s="872"/>
      <c r="J218" s="872"/>
      <c r="K218" s="872"/>
      <c r="L218" s="305" t="s">
        <v>550</v>
      </c>
      <c r="M218" s="446" t="str">
        <f>P39</f>
        <v>Vers l'Ouest</v>
      </c>
      <c r="N218" s="447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43" t="s">
        <v>547</v>
      </c>
      <c r="D219" s="443"/>
      <c r="E219" s="443"/>
      <c r="F219" s="443" t="str">
        <f>O21</f>
        <v>12:03:46.00(12.0627)</v>
      </c>
      <c r="G219" s="443"/>
      <c r="H219" s="878"/>
      <c r="I219" s="878"/>
      <c r="J219" s="878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74" t="s">
        <v>605</v>
      </c>
      <c r="E220" s="875"/>
      <c r="F220" s="446" t="s">
        <v>551</v>
      </c>
      <c r="G220" s="446"/>
      <c r="H220" s="445" t="e">
        <f>#REF!</f>
        <v>#REF!</v>
      </c>
      <c r="I220" s="872"/>
      <c r="J220" s="872"/>
      <c r="K220" s="872"/>
      <c r="L220" s="284" t="s">
        <v>257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75"/>
      <c r="E221" s="875"/>
      <c r="F221" s="873" t="s">
        <v>552</v>
      </c>
      <c r="G221" s="873"/>
      <c r="H221" s="445">
        <f>V56</f>
        <v>11.046545041329722</v>
      </c>
      <c r="I221" s="872"/>
      <c r="J221" s="872"/>
      <c r="K221" s="872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75"/>
      <c r="E222" s="875"/>
      <c r="F222" s="873" t="s">
        <v>553</v>
      </c>
      <c r="G222" s="873"/>
      <c r="H222" s="876" t="str">
        <f>CONCATENATE(V58, "° (", V58*60,"')")</f>
        <v>-0.261447630894595° (-15.6868578536757')</v>
      </c>
      <c r="I222" s="873"/>
      <c r="J222" s="873"/>
      <c r="K222" s="873"/>
      <c r="L222" s="877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75"/>
      <c r="E223" s="875"/>
      <c r="F223" s="857" t="s">
        <v>11</v>
      </c>
      <c r="G223" s="858"/>
      <c r="H223" s="861" t="str">
        <f>X62</f>
        <v>12:33:08.51(12.5523)</v>
      </c>
      <c r="I223" s="861"/>
      <c r="J223" s="861"/>
      <c r="K223" s="861"/>
      <c r="L223" s="861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75"/>
      <c r="E224" s="875"/>
      <c r="F224" s="859" t="s">
        <v>171</v>
      </c>
      <c r="G224" s="860"/>
      <c r="H224" s="860" t="str">
        <f>X60</f>
        <v>W 07°20.68 (W 07.3447) [W 07°20'41.21]</v>
      </c>
      <c r="I224" s="860"/>
      <c r="J224" s="860"/>
      <c r="K224" s="860"/>
      <c r="L224" s="860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544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42" t="s">
        <v>413</v>
      </c>
      <c r="D227" s="442"/>
      <c r="E227" s="442" t="str" cm="1">
        <f t="array" ref="E227">latitudeDecimal2Txt(E69)</f>
        <v>N 46°05.56 (N 46.0927) [N 46°05'33.95]</v>
      </c>
      <c r="F227" s="442"/>
      <c r="G227" s="442"/>
      <c r="H227" s="442"/>
      <c r="I227" s="442"/>
      <c r="J227" s="442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49" t="str">
        <f>CONCATENATE("Déc. - ", G91)</f>
        <v>Déc. - Par interval</v>
      </c>
      <c r="G228" s="449"/>
      <c r="H228" s="460">
        <f>IF($G$91=$AD$91,M95,CONCATENATE("T0:",M103))</f>
        <v>0</v>
      </c>
      <c r="I228" s="460"/>
      <c r="J228" s="460" t="str" cm="1">
        <f t="array" ref="J228">IF($G$91=$AD$91,angleDecimal2Txt(AE94,0),CONCATENATE("Pos. à T0:",angleDecimal2Txt(AD102,0)))</f>
        <v>+23°08.50</v>
      </c>
      <c r="K228" s="460"/>
      <c r="L228" s="460"/>
      <c r="M228" s="460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49"/>
      <c r="G229" s="449"/>
      <c r="H229" s="460" cm="1">
        <f t="array" ref="H229">IF($G$91=$AD$91,M97,CONCATENATE("V:",angleDecimal2Txt(AD104,0)))</f>
        <v>0</v>
      </c>
      <c r="I229" s="460"/>
      <c r="J229" s="460" t="str" cm="1">
        <f t="array" ref="J229">IF($G$91=$AD$91,angleDecimal2Txt(AE95,0),CONCATENATE("dt:",TEXT((I103-M103),"0.000")," h"))</f>
        <v>+23°08.30</v>
      </c>
      <c r="K229" s="460"/>
      <c r="L229" s="460"/>
      <c r="M229" s="460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44" t="s">
        <v>9</v>
      </c>
      <c r="D230" s="444"/>
      <c r="E230" s="444" t="str" cm="1">
        <f t="array" ref="E230">latitudeDecimal2Txt(F90)</f>
        <v>N 23°10.50 (N 23.1750) [N 23°10'30.00]</v>
      </c>
      <c r="F230" s="444"/>
      <c r="G230" s="444"/>
      <c r="H230" s="444"/>
      <c r="I230" s="444"/>
      <c r="J230" s="444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45" t="s">
        <v>431</v>
      </c>
      <c r="G231" s="446"/>
      <c r="H231" s="446"/>
      <c r="I231" s="446"/>
      <c r="J231" s="446"/>
      <c r="K231" s="446"/>
      <c r="L231" s="446"/>
      <c r="M231" s="447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60" t="s">
        <v>72</v>
      </c>
      <c r="G232" s="460"/>
      <c r="H232" s="445" t="str" cm="1">
        <f t="array" ref="H232">angleDecimal2Txt(Q154,0)</f>
        <v>+67°08.65</v>
      </c>
      <c r="I232" s="446"/>
      <c r="J232" s="446"/>
      <c r="K232" s="446"/>
      <c r="L232" s="446"/>
      <c r="M232" s="447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48" t="s">
        <v>432</v>
      </c>
      <c r="D233" s="448"/>
      <c r="E233" s="448" t="str">
        <f>angleDecimal2Txt(I153,1)</f>
        <v>+22°51.34 (+22.8557) [+22°51'20.56]</v>
      </c>
      <c r="F233" s="448"/>
      <c r="G233" s="448"/>
      <c r="H233" s="448"/>
      <c r="I233" s="448"/>
      <c r="J233" s="448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53" t="s">
        <v>212</v>
      </c>
      <c r="G234" s="854"/>
      <c r="H234" s="854"/>
      <c r="I234" s="854"/>
      <c r="J234" s="854"/>
      <c r="K234" s="854"/>
      <c r="L234" s="854"/>
      <c r="M234" s="854"/>
      <c r="N234" s="854"/>
      <c r="O234" s="854"/>
      <c r="P234" s="855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56"/>
      <c r="G235" s="856" t="s">
        <v>214</v>
      </c>
      <c r="H235" s="856"/>
      <c r="I235" s="856"/>
      <c r="J235" s="856"/>
      <c r="K235" s="856"/>
      <c r="L235" s="850" t="s">
        <v>216</v>
      </c>
      <c r="M235" s="851"/>
      <c r="N235" s="851"/>
      <c r="O235" s="851"/>
      <c r="P235" s="852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56"/>
      <c r="G236" s="856" t="s">
        <v>215</v>
      </c>
      <c r="H236" s="856"/>
      <c r="I236" s="856"/>
      <c r="J236" s="856"/>
      <c r="K236" s="856"/>
      <c r="L236" s="850" t="s">
        <v>217</v>
      </c>
      <c r="M236" s="851"/>
      <c r="N236" s="851"/>
      <c r="O236" s="851"/>
      <c r="P236" s="852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70" t="s">
        <v>213</v>
      </c>
      <c r="G237" s="870"/>
      <c r="H237" s="870"/>
      <c r="I237" s="870"/>
      <c r="J237" s="870"/>
      <c r="K237" s="870"/>
      <c r="L237" s="850" t="s">
        <v>218</v>
      </c>
      <c r="M237" s="851"/>
      <c r="N237" s="851"/>
      <c r="O237" s="851"/>
      <c r="P237" s="852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60" t="s">
        <v>433</v>
      </c>
      <c r="G238" s="460"/>
      <c r="H238" s="445" t="b">
        <f>((E69*F90)&gt;0)</f>
        <v>1</v>
      </c>
      <c r="I238" s="446"/>
      <c r="J238" s="446"/>
      <c r="K238" s="446"/>
      <c r="L238" s="446"/>
      <c r="M238" s="447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60" t="s">
        <v>434</v>
      </c>
      <c r="G239" s="460"/>
      <c r="H239" s="445" t="b">
        <f>(E69&gt;F90)</f>
        <v>1</v>
      </c>
      <c r="I239" s="446"/>
      <c r="J239" s="446"/>
      <c r="K239" s="446"/>
      <c r="L239" s="446"/>
      <c r="M239" s="447"/>
      <c r="N239" s="40" t="s">
        <v>608</v>
      </c>
      <c r="O239" s="846" t="str">
        <f>P165</f>
        <v>N 46°01.84 (N 46.0307) [N 46°01'50.56]</v>
      </c>
      <c r="P239" s="847"/>
      <c r="Q239" s="847"/>
      <c r="R239" s="847"/>
      <c r="S239" s="848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62" t="s">
        <v>567</v>
      </c>
      <c r="E240" s="863"/>
      <c r="F240" s="864" t="s">
        <v>586</v>
      </c>
      <c r="G240" s="864"/>
      <c r="H240" s="868" t="str">
        <f>V158</f>
        <v>Le soleil est au sud, et le nord est dans le dos</v>
      </c>
      <c r="I240" s="869"/>
      <c r="J240" s="869"/>
      <c r="K240" s="869"/>
      <c r="L240" s="869"/>
      <c r="M240" s="869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62"/>
      <c r="E241" s="863"/>
      <c r="F241" s="865" t="s">
        <v>606</v>
      </c>
      <c r="G241" s="866"/>
      <c r="H241" s="868" t="str">
        <f>V159</f>
        <v>Lat et Dec - Meme sens ?: TRUE</v>
      </c>
      <c r="I241" s="869"/>
      <c r="J241" s="869"/>
      <c r="K241" s="869"/>
      <c r="L241" s="869"/>
      <c r="M241" s="869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62"/>
      <c r="E242" s="863"/>
      <c r="F242" s="865" t="s">
        <v>607</v>
      </c>
      <c r="G242" s="867"/>
      <c r="H242" s="868" t="str">
        <f>V160</f>
        <v>Lat &gt; Dec  ? : TRUE</v>
      </c>
      <c r="I242" s="869"/>
      <c r="J242" s="869"/>
      <c r="K242" s="869"/>
      <c r="L242" s="869"/>
      <c r="M242" s="869"/>
      <c r="N242" s="40" t="s">
        <v>608</v>
      </c>
      <c r="O242" s="846" t="str">
        <f>P164</f>
        <v>N 46°01.84 (N 46.0307) [N 46°01'50.56]</v>
      </c>
      <c r="P242" s="847"/>
      <c r="Q242" s="847"/>
      <c r="R242" s="847"/>
      <c r="S242" s="848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41" t="s">
        <v>211</v>
      </c>
      <c r="C243" s="1042"/>
      <c r="D243" s="1043"/>
      <c r="E243" s="458" t="str" cm="1">
        <f t="array" ref="E243">latitudeDecimal2Txt(M164)</f>
        <v>N 46°01.84 (N 46.0307) [N 46°01'50.56]</v>
      </c>
      <c r="F243" s="458"/>
      <c r="G243" s="458"/>
      <c r="H243" s="458"/>
      <c r="I243" s="458"/>
      <c r="J243" s="458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1031" t="s">
        <v>477</v>
      </c>
      <c r="C244" s="1031"/>
      <c r="D244" s="1031"/>
      <c r="E244" s="1031" t="str">
        <f>longitudeDecimal2Txt(V60)</f>
        <v>W 07°20.68 (W 07.3447) [W 07°20'41.21]</v>
      </c>
      <c r="F244" s="1031"/>
      <c r="G244" s="1031"/>
      <c r="H244" s="1031"/>
      <c r="I244" s="1031"/>
      <c r="J244" s="1031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70" zoomScaleNormal="100" workbookViewId="0">
      <selection activeCell="U93" sqref="U93"/>
    </sheetView>
  </sheetViews>
  <sheetFormatPr baseColWidth="10"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258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316</v>
      </c>
      <c r="O6" s="26"/>
      <c r="P6" s="26"/>
      <c r="Q6" s="26"/>
      <c r="R6" s="26"/>
      <c r="S6" s="26" t="s">
        <v>317</v>
      </c>
      <c r="T6" s="807">
        <f>dateConvert2Decimal(F7)</f>
        <v>1751241600</v>
      </c>
      <c r="U6" s="807"/>
      <c r="V6" s="807"/>
      <c r="W6" s="26" t="s">
        <v>318</v>
      </c>
      <c r="X6" s="783">
        <f>(T6/86400)+DATE(1970,1,1)</f>
        <v>45838</v>
      </c>
      <c r="Y6" s="783"/>
      <c r="Z6" s="26" t="s">
        <v>319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49" t="s">
        <v>1</v>
      </c>
      <c r="D7" s="950"/>
      <c r="E7" s="950"/>
      <c r="F7" s="780" t="s">
        <v>227</v>
      </c>
      <c r="G7" s="781"/>
      <c r="H7" s="781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41" t="s">
        <v>250</v>
      </c>
      <c r="D8" s="942"/>
      <c r="E8" s="943"/>
      <c r="F8" s="561">
        <f>heureConvert2Decimal(I8)</f>
        <v>10.343055555555557</v>
      </c>
      <c r="G8" s="562"/>
      <c r="H8" s="562"/>
      <c r="I8" s="932" t="s">
        <v>538</v>
      </c>
      <c r="J8" s="630"/>
      <c r="K8" s="630"/>
      <c r="L8" s="630"/>
      <c r="M8" s="630"/>
      <c r="N8" s="933"/>
      <c r="O8" s="722" t="str">
        <f>heureDecimal2Txt(F8)</f>
        <v>10:20:35.00(10.3430)</v>
      </c>
      <c r="P8" s="722"/>
      <c r="Q8" s="722"/>
      <c r="R8" s="722"/>
      <c r="S8" s="722"/>
      <c r="T8" s="722"/>
      <c r="U8" s="722"/>
      <c r="V8" s="722"/>
      <c r="W8" s="722"/>
      <c r="X8" s="722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4"/>
      <c r="D9" s="945"/>
      <c r="E9" s="946"/>
      <c r="F9" s="562"/>
      <c r="G9" s="562"/>
      <c r="H9" s="562"/>
      <c r="I9" s="934"/>
      <c r="J9" s="610"/>
      <c r="K9" s="610"/>
      <c r="L9" s="610"/>
      <c r="M9" s="610"/>
      <c r="N9" s="935"/>
      <c r="O9" s="722"/>
      <c r="P9" s="722"/>
      <c r="Q9" s="722"/>
      <c r="R9" s="722"/>
      <c r="S9" s="722"/>
      <c r="T9" s="722"/>
      <c r="U9" s="722"/>
      <c r="V9" s="722"/>
      <c r="W9" s="722"/>
      <c r="X9" s="722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6" t="s">
        <v>7</v>
      </c>
      <c r="D10" s="435"/>
      <c r="E10" s="937"/>
      <c r="F10" s="561">
        <f>AD11</f>
        <v>46.1</v>
      </c>
      <c r="G10" s="562"/>
      <c r="H10" s="562"/>
      <c r="I10" s="620" t="s">
        <v>3</v>
      </c>
      <c r="J10" s="717" t="s">
        <v>268</v>
      </c>
      <c r="K10" s="620"/>
      <c r="L10" s="620"/>
      <c r="M10" s="620"/>
      <c r="N10" s="620"/>
      <c r="O10" s="722" t="str" cm="1">
        <f t="array" ref="O10">latitudeDecimal2Txt(F10)</f>
        <v>N 46°06.00 (N 46.1000) [N 46°06'00.00]</v>
      </c>
      <c r="P10" s="722"/>
      <c r="Q10" s="722"/>
      <c r="R10" s="722"/>
      <c r="S10" s="722"/>
      <c r="T10" s="722"/>
      <c r="U10" s="722"/>
      <c r="V10" s="722"/>
      <c r="W10" s="722"/>
      <c r="X10" s="722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38"/>
      <c r="D11" s="939"/>
      <c r="E11" s="940"/>
      <c r="F11" s="562"/>
      <c r="G11" s="562"/>
      <c r="H11" s="562"/>
      <c r="I11" s="620"/>
      <c r="J11" s="620"/>
      <c r="K11" s="620"/>
      <c r="L11" s="620"/>
      <c r="M11" s="620"/>
      <c r="N11" s="620"/>
      <c r="O11" s="722"/>
      <c r="P11" s="722"/>
      <c r="Q11" s="722"/>
      <c r="R11" s="722"/>
      <c r="S11" s="722"/>
      <c r="T11" s="722"/>
      <c r="U11" s="722"/>
      <c r="V11" s="722"/>
      <c r="W11" s="722"/>
      <c r="X11" s="722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41" t="s">
        <v>8</v>
      </c>
      <c r="D12" s="942"/>
      <c r="E12" s="943"/>
      <c r="F12" s="561">
        <f>AD13</f>
        <v>-5</v>
      </c>
      <c r="G12" s="562"/>
      <c r="H12" s="562"/>
      <c r="I12" s="905" t="s">
        <v>6</v>
      </c>
      <c r="J12" s="717">
        <v>5</v>
      </c>
      <c r="K12" s="620"/>
      <c r="L12" s="620"/>
      <c r="M12" s="620"/>
      <c r="N12" s="620"/>
      <c r="O12" s="722" t="str" cm="1">
        <f t="array" ref="O12">longitudeDecimal2Txt(F12)</f>
        <v>W 05°00.00 (W 05.0000) [W 05°00'00.00]</v>
      </c>
      <c r="P12" s="722"/>
      <c r="Q12" s="722"/>
      <c r="R12" s="722"/>
      <c r="S12" s="722"/>
      <c r="T12" s="722"/>
      <c r="U12" s="722"/>
      <c r="V12" s="722"/>
      <c r="W12" s="722"/>
      <c r="X12" s="722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4"/>
      <c r="D13" s="945"/>
      <c r="E13" s="946"/>
      <c r="F13" s="562"/>
      <c r="G13" s="562"/>
      <c r="H13" s="562"/>
      <c r="I13" s="619"/>
      <c r="J13" s="620"/>
      <c r="K13" s="620"/>
      <c r="L13" s="620"/>
      <c r="M13" s="620"/>
      <c r="N13" s="620"/>
      <c r="O13" s="722"/>
      <c r="P13" s="722"/>
      <c r="Q13" s="722"/>
      <c r="R13" s="722"/>
      <c r="S13" s="722"/>
      <c r="T13" s="722"/>
      <c r="U13" s="722"/>
      <c r="V13" s="722"/>
      <c r="W13" s="722"/>
      <c r="X13" s="722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259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7" t="s">
        <v>623</v>
      </c>
      <c r="D16" s="948"/>
      <c r="E16" s="948"/>
      <c r="F16" s="951" cm="1">
        <f t="array" ref="F16">angleConvert2Decimal(I16)</f>
        <v>21</v>
      </c>
      <c r="G16" s="952"/>
      <c r="H16" s="952"/>
      <c r="I16" s="954">
        <v>21</v>
      </c>
      <c r="J16" s="955"/>
      <c r="K16" s="955"/>
      <c r="L16" s="955"/>
      <c r="M16" s="955"/>
      <c r="N16" s="955"/>
      <c r="O16" s="953" t="str" cm="1">
        <f t="array" ref="O16">angleDecimal2Txt(F16)</f>
        <v>+21°00.00 (+21.0000) [+21°00'00.00]</v>
      </c>
      <c r="P16" s="953"/>
      <c r="Q16" s="953"/>
      <c r="R16" s="953"/>
      <c r="S16" s="953"/>
      <c r="T16" s="953"/>
      <c r="U16" s="953"/>
      <c r="V16" s="953"/>
      <c r="W16" s="953"/>
      <c r="X16" s="953"/>
      <c r="AB16" s="327"/>
      <c r="AC16"/>
      <c r="AD16"/>
      <c r="AE16"/>
      <c r="AF16"/>
      <c r="AG16"/>
    </row>
    <row r="17" spans="2:33" ht="12.75" customHeight="1" thickTop="1" thickBot="1">
      <c r="C17" s="420"/>
      <c r="D17" s="420"/>
      <c r="E17" s="420"/>
      <c r="F17" s="931"/>
      <c r="G17" s="931"/>
      <c r="H17" s="931"/>
      <c r="I17" s="791"/>
      <c r="J17" s="791"/>
      <c r="K17" s="791"/>
      <c r="L17" s="791"/>
      <c r="M17" s="791"/>
      <c r="N17" s="791"/>
      <c r="O17" s="738"/>
      <c r="P17" s="738"/>
      <c r="Q17" s="738"/>
      <c r="R17" s="738"/>
      <c r="S17" s="738"/>
      <c r="T17" s="738"/>
      <c r="U17" s="738"/>
      <c r="V17" s="738"/>
      <c r="W17" s="738"/>
      <c r="X17" s="738"/>
      <c r="AB17" s="327"/>
      <c r="AC17"/>
      <c r="AD17"/>
      <c r="AE17"/>
      <c r="AF17"/>
      <c r="AG17"/>
    </row>
    <row r="18" spans="2:33" ht="12.75" customHeight="1" thickTop="1" thickBot="1">
      <c r="C18" s="439" t="s">
        <v>624</v>
      </c>
      <c r="D18" s="420"/>
      <c r="E18" s="420"/>
      <c r="F18" s="428">
        <f>I18</f>
        <v>5</v>
      </c>
      <c r="G18" s="931"/>
      <c r="H18" s="931"/>
      <c r="I18" s="431">
        <v>5</v>
      </c>
      <c r="J18" s="791"/>
      <c r="K18" s="791"/>
      <c r="L18" s="791"/>
      <c r="M18" s="791"/>
      <c r="N18" s="791"/>
      <c r="O18" s="738"/>
      <c r="P18" s="738"/>
      <c r="Q18" s="738"/>
      <c r="R18" s="738"/>
      <c r="S18" s="738"/>
      <c r="T18" s="738"/>
      <c r="U18" s="738"/>
      <c r="V18" s="738"/>
      <c r="W18" s="738"/>
      <c r="X18" s="738"/>
      <c r="AB18" s="327"/>
      <c r="AC18"/>
      <c r="AD18"/>
      <c r="AE18"/>
      <c r="AF18"/>
      <c r="AG18"/>
    </row>
    <row r="19" spans="2:33" ht="12.75" customHeight="1" thickTop="1" thickBot="1">
      <c r="C19" s="420"/>
      <c r="D19" s="420"/>
      <c r="E19" s="420"/>
      <c r="F19" s="931"/>
      <c r="G19" s="931"/>
      <c r="H19" s="931"/>
      <c r="I19" s="791"/>
      <c r="J19" s="791"/>
      <c r="K19" s="791"/>
      <c r="L19" s="791"/>
      <c r="M19" s="791"/>
      <c r="N19" s="791"/>
      <c r="O19" s="738"/>
      <c r="P19" s="738"/>
      <c r="Q19" s="738"/>
      <c r="R19" s="738"/>
      <c r="S19" s="738"/>
      <c r="T19" s="738"/>
      <c r="U19" s="738"/>
      <c r="V19" s="738"/>
      <c r="W19" s="738"/>
      <c r="X19" s="738"/>
      <c r="AB19" s="327"/>
      <c r="AC19"/>
      <c r="AD19"/>
      <c r="AE19"/>
      <c r="AF19"/>
      <c r="AG19"/>
    </row>
    <row r="20" spans="2:33" ht="12.75" customHeight="1" thickTop="1" thickBot="1">
      <c r="C20" s="923" t="s">
        <v>625</v>
      </c>
      <c r="D20" s="924"/>
      <c r="E20" s="924"/>
      <c r="F20" s="956">
        <f>heureConvert2Decimal(I20)</f>
        <v>12.062777777777779</v>
      </c>
      <c r="G20" s="562"/>
      <c r="H20" s="562"/>
      <c r="I20" s="932" t="s">
        <v>543</v>
      </c>
      <c r="J20" s="630"/>
      <c r="K20" s="630"/>
      <c r="L20" s="630"/>
      <c r="M20" s="630"/>
      <c r="N20" s="933"/>
      <c r="O20" s="722" t="str">
        <f>heureDecimal2Txt(F20)</f>
        <v>12:03:46.00(12.0627)</v>
      </c>
      <c r="P20" s="722"/>
      <c r="Q20" s="722"/>
      <c r="R20" s="722"/>
      <c r="S20" s="722"/>
      <c r="T20" s="722"/>
      <c r="U20" s="722"/>
      <c r="V20" s="722"/>
      <c r="W20" s="722"/>
      <c r="X20" s="722"/>
      <c r="AB20" s="327"/>
      <c r="AC20"/>
      <c r="AD20"/>
      <c r="AE20"/>
      <c r="AF20"/>
      <c r="AG20"/>
    </row>
    <row r="21" spans="2:33" ht="12.75" customHeight="1" thickTop="1" thickBot="1">
      <c r="C21" s="924"/>
      <c r="D21" s="924"/>
      <c r="E21" s="924"/>
      <c r="F21" s="957"/>
      <c r="G21" s="562"/>
      <c r="H21" s="562"/>
      <c r="I21" s="934"/>
      <c r="J21" s="610"/>
      <c r="K21" s="610"/>
      <c r="L21" s="610"/>
      <c r="M21" s="610"/>
      <c r="N21" s="935"/>
      <c r="O21" s="722"/>
      <c r="P21" s="722"/>
      <c r="Q21" s="722"/>
      <c r="R21" s="722"/>
      <c r="S21" s="722"/>
      <c r="T21" s="722"/>
      <c r="U21" s="722"/>
      <c r="V21" s="722"/>
      <c r="W21" s="722"/>
      <c r="X21" s="722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25" t="s">
        <v>429</v>
      </c>
      <c r="D23" s="926"/>
      <c r="E23" s="926"/>
      <c r="F23" s="926"/>
      <c r="G23" s="926"/>
      <c r="H23" s="926"/>
      <c r="I23" s="926"/>
      <c r="J23" s="926"/>
      <c r="K23" s="927"/>
      <c r="AB23" s="327"/>
      <c r="AC23"/>
      <c r="AD23"/>
      <c r="AE23"/>
      <c r="AF23"/>
      <c r="AG23"/>
    </row>
    <row r="24" spans="2:33" ht="12.75" customHeight="1" thickBot="1">
      <c r="C24" s="928"/>
      <c r="D24" s="929"/>
      <c r="E24" s="929"/>
      <c r="F24" s="929"/>
      <c r="G24" s="929"/>
      <c r="H24" s="929"/>
      <c r="I24" s="929"/>
      <c r="J24" s="929"/>
      <c r="K24" s="930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58">
        <f>IF(C26=AC26,F10,(F10+F27)/2)</f>
        <v>46.138899184437385</v>
      </c>
      <c r="G25" s="959"/>
      <c r="H25" s="959"/>
      <c r="I25" s="962" t="str" cm="1">
        <f t="array" ref="I25">latitudeDecimal2Txt(F25)</f>
        <v>N 46°08.33 (N 46.1388) [N 46°08'20.03]</v>
      </c>
      <c r="J25" s="962"/>
      <c r="K25" s="962"/>
      <c r="L25" s="962"/>
      <c r="M25" s="962"/>
      <c r="N25" s="962"/>
      <c r="O25" s="962"/>
      <c r="P25" s="962"/>
      <c r="Q25" s="962"/>
      <c r="R25" s="962"/>
      <c r="AB25" s="327"/>
      <c r="AC25"/>
      <c r="AD25"/>
      <c r="AE25"/>
      <c r="AF25"/>
      <c r="AG25"/>
    </row>
    <row r="26" spans="2:33" ht="12.75" customHeight="1" thickTop="1" thickBot="1">
      <c r="C26" s="963" t="s">
        <v>601</v>
      </c>
      <c r="D26" s="963"/>
      <c r="E26" s="963"/>
      <c r="F26" s="960"/>
      <c r="G26" s="961"/>
      <c r="H26" s="961"/>
      <c r="I26" s="962"/>
      <c r="J26" s="962"/>
      <c r="K26" s="962"/>
      <c r="L26" s="962"/>
      <c r="M26" s="962"/>
      <c r="N26" s="962"/>
      <c r="O26" s="962"/>
      <c r="P26" s="962"/>
      <c r="Q26" s="962"/>
      <c r="R26" s="962"/>
      <c r="AB26" s="327"/>
      <c r="AC26" s="304" t="s">
        <v>590</v>
      </c>
      <c r="AD26"/>
      <c r="AE26"/>
      <c r="AF26"/>
      <c r="AG26"/>
    </row>
    <row r="27" spans="2:33" ht="12.75" customHeight="1" thickTop="1">
      <c r="C27" s="963"/>
      <c r="D27" s="963"/>
      <c r="E27" s="964"/>
      <c r="F27" s="965">
        <f>F10+SIN((90-F16)*Outils!$F$4)*F18/60</f>
        <v>46.177798368874768</v>
      </c>
      <c r="G27" s="966"/>
      <c r="H27" s="966"/>
      <c r="T27" s="11"/>
      <c r="AB27" s="327"/>
      <c r="AC27" s="304" t="s">
        <v>600</v>
      </c>
      <c r="AD27"/>
      <c r="AE27"/>
      <c r="AF27"/>
      <c r="AG27"/>
    </row>
    <row r="28" spans="2:33" s="126" customFormat="1" ht="12.75" customHeight="1">
      <c r="F28" s="966"/>
      <c r="G28" s="966"/>
      <c r="H28" s="966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85" t="s">
        <v>626</v>
      </c>
      <c r="C30" s="986"/>
      <c r="D30" s="986"/>
      <c r="E30" s="986"/>
      <c r="F30" s="986"/>
      <c r="G30" s="986"/>
      <c r="H30" s="986"/>
      <c r="I30" s="986"/>
      <c r="J30" s="986"/>
      <c r="K30" s="986"/>
      <c r="L30" s="986"/>
      <c r="M30" s="986"/>
      <c r="N30" s="986"/>
      <c r="O30" s="986"/>
      <c r="P30" s="986"/>
      <c r="Q30" s="986"/>
      <c r="R30" s="986"/>
      <c r="S30" s="986"/>
      <c r="T30" s="986"/>
      <c r="U30" s="986"/>
      <c r="V30" s="986"/>
      <c r="W30" s="986"/>
      <c r="X30" s="986"/>
      <c r="Y30" s="986"/>
      <c r="Z30" s="986"/>
      <c r="AA30" s="986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35" t="s">
        <v>260</v>
      </c>
      <c r="D32" s="836"/>
      <c r="E32" s="836"/>
      <c r="F32" s="836"/>
      <c r="G32" s="836"/>
      <c r="H32" s="836"/>
      <c r="I32" s="836"/>
      <c r="J32" s="836"/>
      <c r="K32" s="836"/>
      <c r="L32" s="836"/>
      <c r="M32" s="836"/>
      <c r="N32" s="836"/>
      <c r="O32" s="836"/>
      <c r="P32" s="836"/>
      <c r="Q32" s="836"/>
      <c r="R32" s="837"/>
      <c r="AB32" s="327"/>
      <c r="AC32"/>
      <c r="AD32"/>
      <c r="AE32"/>
      <c r="AF32"/>
      <c r="AG32"/>
    </row>
    <row r="33" spans="3:28" customFormat="1">
      <c r="C33" s="907" t="s">
        <v>106</v>
      </c>
      <c r="D33" s="907"/>
      <c r="E33" s="907">
        <f>F16</f>
        <v>21</v>
      </c>
      <c r="F33" s="907"/>
      <c r="G33" s="907"/>
      <c r="I33" s="997" t="s">
        <v>261</v>
      </c>
      <c r="J33" s="997"/>
      <c r="K33" s="983" t="b">
        <f>IF(E33&lt;180,TRUE,FALSE)</f>
        <v>1</v>
      </c>
      <c r="L33" s="983"/>
      <c r="N33" s="838" t="s">
        <v>246</v>
      </c>
      <c r="O33" s="838"/>
      <c r="P33" s="840">
        <f>E34*ABS(SIN(Outils!$F$4*E33))*(IF(K33,1,-1))</f>
        <v>1.7918397477265013</v>
      </c>
      <c r="Q33" s="841"/>
      <c r="R33" s="844" t="s">
        <v>245</v>
      </c>
      <c r="AB33" s="327"/>
    </row>
    <row r="34" spans="3:28" customFormat="1">
      <c r="C34" s="565" t="s">
        <v>105</v>
      </c>
      <c r="D34" s="565"/>
      <c r="E34" s="565">
        <f>F18</f>
        <v>5</v>
      </c>
      <c r="F34" s="565"/>
      <c r="G34" s="565"/>
      <c r="I34" s="998"/>
      <c r="J34" s="998"/>
      <c r="K34" s="984"/>
      <c r="L34" s="984"/>
      <c r="N34" s="839"/>
      <c r="O34" s="839"/>
      <c r="P34" s="842"/>
      <c r="Q34" s="843"/>
      <c r="R34" s="845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35" t="s">
        <v>248</v>
      </c>
      <c r="D37" s="836"/>
      <c r="E37" s="836"/>
      <c r="F37" s="836"/>
      <c r="G37" s="836"/>
      <c r="H37" s="836"/>
      <c r="I37" s="836"/>
      <c r="J37" s="836"/>
      <c r="K37" s="999"/>
      <c r="L37" s="999"/>
      <c r="M37" s="999"/>
      <c r="N37" s="999"/>
      <c r="O37" s="1000"/>
      <c r="AB37" s="327"/>
    </row>
    <row r="38" spans="3:28" customFormat="1">
      <c r="C38" s="907" t="s">
        <v>238</v>
      </c>
      <c r="D38" s="907"/>
      <c r="E38" s="907">
        <f>F25</f>
        <v>46.138899184437385</v>
      </c>
      <c r="F38" s="907"/>
      <c r="G38" s="907"/>
      <c r="I38" s="914" t="s">
        <v>247</v>
      </c>
      <c r="J38" s="914"/>
      <c r="K38" s="911" t="s">
        <v>74</v>
      </c>
      <c r="L38" s="912">
        <f>$P$33/(60 * COS($E$38*Outils!$F$4))</f>
        <v>4.3099232541779581E-2</v>
      </c>
      <c r="M38" s="912"/>
      <c r="N38" s="912"/>
      <c r="O38" s="913" t="s">
        <v>249</v>
      </c>
      <c r="P38" s="839" t="str">
        <f>IF(K33,"Vers l'Est","Vers l'Ouest")</f>
        <v>Vers l'Est</v>
      </c>
      <c r="Q38" s="839"/>
      <c r="R38" s="839"/>
      <c r="U38" s="915" t="s">
        <v>263</v>
      </c>
      <c r="V38" s="916"/>
      <c r="W38" s="917"/>
      <c r="X38" s="993">
        <f>IF(K33,-1*ABS(L38),ABS(L38))</f>
        <v>-4.3099232541779581E-2</v>
      </c>
      <c r="Y38" s="994"/>
      <c r="Z38" s="994"/>
      <c r="AA38" s="988" t="s">
        <v>249</v>
      </c>
      <c r="AB38" s="327"/>
    </row>
    <row r="39" spans="3:28" customFormat="1">
      <c r="C39" s="565" t="str">
        <f>N33</f>
        <v>VLong.</v>
      </c>
      <c r="D39" s="565"/>
      <c r="E39" s="565">
        <f>P33</f>
        <v>1.7918397477265013</v>
      </c>
      <c r="F39" s="565"/>
      <c r="G39" s="565"/>
      <c r="I39" s="914"/>
      <c r="J39" s="914"/>
      <c r="K39" s="911"/>
      <c r="L39" s="912"/>
      <c r="M39" s="912"/>
      <c r="N39" s="912"/>
      <c r="O39" s="913"/>
      <c r="P39" s="839"/>
      <c r="Q39" s="839"/>
      <c r="R39" s="839"/>
      <c r="U39" s="918"/>
      <c r="V39" s="919"/>
      <c r="W39" s="920"/>
      <c r="X39" s="995"/>
      <c r="Y39" s="996"/>
      <c r="Z39" s="996"/>
      <c r="AA39" s="989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08" t="s">
        <v>604</v>
      </c>
      <c r="D42" s="909"/>
      <c r="E42" s="909"/>
      <c r="F42" s="909"/>
      <c r="G42" s="909"/>
      <c r="H42" s="909"/>
      <c r="I42" s="909"/>
      <c r="J42" s="909"/>
      <c r="K42" s="909"/>
      <c r="L42" s="909"/>
      <c r="M42" s="909"/>
      <c r="N42" s="909"/>
      <c r="O42" s="910"/>
      <c r="AB42" s="327"/>
    </row>
    <row r="43" spans="3:28" customFormat="1" ht="15" customHeight="1">
      <c r="C43" s="907" t="s">
        <v>171</v>
      </c>
      <c r="D43" s="907"/>
      <c r="E43" s="907">
        <f>F12</f>
        <v>-5</v>
      </c>
      <c r="F43" s="907"/>
      <c r="G43" s="907"/>
      <c r="I43" s="921" t="s">
        <v>251</v>
      </c>
      <c r="J43" s="922"/>
      <c r="K43" s="906">
        <f>longitude2LongitudeHoraire(E43)</f>
        <v>5</v>
      </c>
      <c r="L43" s="906"/>
      <c r="M43" s="906"/>
      <c r="N43" s="906"/>
      <c r="O43" s="114" t="s">
        <v>28</v>
      </c>
      <c r="P43" s="990" t="str">
        <f>longitudeDecimal2Txt(E43)</f>
        <v>W 05°00.00 (W 05.0000) [W 05°00'00.00]</v>
      </c>
      <c r="Q43" s="991"/>
      <c r="R43" s="991"/>
      <c r="S43" s="991"/>
      <c r="T43" s="991"/>
      <c r="U43" s="991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87" t="s">
        <v>252</v>
      </c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AB46" s="327"/>
    </row>
    <row r="47" spans="3:28" customFormat="1" ht="15" customHeight="1" thickBot="1">
      <c r="C47" s="981" t="s">
        <v>262</v>
      </c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251" t="s">
        <v>265</v>
      </c>
      <c r="Q47" s="982" t="s">
        <v>264</v>
      </c>
      <c r="R47" s="982"/>
      <c r="S47" s="982"/>
      <c r="T47" s="982"/>
      <c r="U47" s="982"/>
      <c r="V47" s="340">
        <v>15.002000000000001</v>
      </c>
      <c r="W47" s="116" t="s">
        <v>249</v>
      </c>
      <c r="AB47" s="327"/>
    </row>
    <row r="48" spans="3:28" customFormat="1" ht="15.75" thickTop="1"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AB48" s="327"/>
    </row>
    <row r="49" spans="3:33"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636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966" t="str">
        <f>CONCATENATE("T = Temps pour que le soleil passe a la meridienne locale: ",P43)</f>
        <v>T = Temps pour que le soleil passe a la meridienne locale: W 05°00.00 (W 05.0000) [W 05°00'00.00]</v>
      </c>
      <c r="I53" s="966"/>
      <c r="J53" s="966"/>
      <c r="K53" s="966"/>
      <c r="L53" s="966"/>
      <c r="M53" s="966"/>
      <c r="N53" s="966"/>
      <c r="O53" s="966"/>
      <c r="P53" s="966"/>
      <c r="Q53" s="966"/>
      <c r="R53" s="966"/>
      <c r="S53" s="966"/>
      <c r="T53" s="966"/>
      <c r="U53" s="966"/>
      <c r="V53" s="976">
        <f>AD58</f>
        <v>2.0471299193002674</v>
      </c>
      <c r="W53" s="976"/>
      <c r="X53" s="976" t="s">
        <v>257</v>
      </c>
      <c r="AB53" s="327"/>
      <c r="AC53" s="3" t="s">
        <v>637</v>
      </c>
      <c r="AD53" s="5">
        <f>F8</f>
        <v>10.343055555555557</v>
      </c>
      <c r="AE53" t="s">
        <v>257</v>
      </c>
      <c r="AF53"/>
      <c r="AG53"/>
    </row>
    <row r="54" spans="3:33">
      <c r="H54" s="966"/>
      <c r="I54" s="966"/>
      <c r="J54" s="966"/>
      <c r="K54" s="966"/>
      <c r="L54" s="966"/>
      <c r="M54" s="966"/>
      <c r="N54" s="966"/>
      <c r="O54" s="966"/>
      <c r="P54" s="966"/>
      <c r="Q54" s="966"/>
      <c r="R54" s="966"/>
      <c r="S54" s="966"/>
      <c r="T54" s="966"/>
      <c r="U54" s="966"/>
      <c r="V54" s="976"/>
      <c r="W54" s="976"/>
      <c r="X54" s="977"/>
      <c r="AB54" s="327"/>
      <c r="AC54" s="3" t="s">
        <v>638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92" t="s">
        <v>270</v>
      </c>
      <c r="I55" s="992"/>
      <c r="J55" s="992"/>
      <c r="K55" s="992"/>
      <c r="L55" s="992"/>
      <c r="M55" s="992"/>
      <c r="N55" s="992"/>
      <c r="O55" s="992"/>
      <c r="P55" s="992"/>
      <c r="Q55" s="992"/>
      <c r="R55" s="992"/>
      <c r="S55" s="992"/>
      <c r="T55" s="992"/>
      <c r="U55" s="992"/>
      <c r="V55" s="971">
        <f>AD58*E34</f>
        <v>10.235649596501338</v>
      </c>
      <c r="W55" s="973"/>
      <c r="X55" s="969" t="s">
        <v>104</v>
      </c>
      <c r="AB55" s="327"/>
      <c r="AC55" s="3" t="s">
        <v>641</v>
      </c>
      <c r="AD55" s="3">
        <f>(-1)*V47</f>
        <v>-15.002000000000001</v>
      </c>
      <c r="AE55" t="s">
        <v>550</v>
      </c>
      <c r="AF55"/>
      <c r="AG55"/>
    </row>
    <row r="56" spans="3:33">
      <c r="H56" s="992"/>
      <c r="I56" s="992"/>
      <c r="J56" s="992"/>
      <c r="K56" s="992"/>
      <c r="L56" s="992"/>
      <c r="M56" s="992"/>
      <c r="N56" s="992"/>
      <c r="O56" s="992"/>
      <c r="P56" s="992"/>
      <c r="Q56" s="992"/>
      <c r="R56" s="992"/>
      <c r="S56" s="992"/>
      <c r="T56" s="992"/>
      <c r="U56" s="992"/>
      <c r="V56" s="973"/>
      <c r="W56" s="973"/>
      <c r="X56" s="970"/>
      <c r="AB56" s="327"/>
      <c r="AC56" s="3" t="s">
        <v>639</v>
      </c>
      <c r="AD56" s="5">
        <f>E43</f>
        <v>-5</v>
      </c>
      <c r="AE56" t="s">
        <v>28</v>
      </c>
      <c r="AF56"/>
      <c r="AG56"/>
    </row>
    <row r="57" spans="3:33">
      <c r="H57" s="992" t="s">
        <v>479</v>
      </c>
      <c r="I57" s="992"/>
      <c r="J57" s="992"/>
      <c r="K57" s="992"/>
      <c r="L57" s="992"/>
      <c r="M57" s="992"/>
      <c r="N57" s="992"/>
      <c r="O57" s="992"/>
      <c r="P57" s="992"/>
      <c r="Q57" s="992"/>
      <c r="R57" s="992"/>
      <c r="S57" s="992"/>
      <c r="T57" s="992"/>
      <c r="U57" s="992"/>
      <c r="V57" s="971">
        <f>AD58*L38</f>
        <v>8.8229728435156696E-2</v>
      </c>
      <c r="W57" s="972"/>
      <c r="X57" s="974" t="s">
        <v>28</v>
      </c>
      <c r="AB57" s="327"/>
      <c r="AC57" s="3" t="s">
        <v>640</v>
      </c>
      <c r="AD57" s="3">
        <f>L38</f>
        <v>4.3099232541779581E-2</v>
      </c>
      <c r="AE57" t="s">
        <v>550</v>
      </c>
      <c r="AF57"/>
      <c r="AG57"/>
    </row>
    <row r="58" spans="3:33">
      <c r="H58" s="992"/>
      <c r="I58" s="992"/>
      <c r="J58" s="992"/>
      <c r="K58" s="992"/>
      <c r="L58" s="992"/>
      <c r="M58" s="992"/>
      <c r="N58" s="992"/>
      <c r="O58" s="992"/>
      <c r="P58" s="992"/>
      <c r="Q58" s="992"/>
      <c r="R58" s="992"/>
      <c r="S58" s="992"/>
      <c r="T58" s="992"/>
      <c r="U58" s="992"/>
      <c r="V58" s="973"/>
      <c r="W58" s="972"/>
      <c r="X58" s="975"/>
      <c r="AB58" s="327"/>
      <c r="AC58" s="3" t="s">
        <v>635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992" t="s">
        <v>478</v>
      </c>
      <c r="I59" s="992"/>
      <c r="J59" s="992"/>
      <c r="K59" s="992"/>
      <c r="L59" s="992"/>
      <c r="M59" s="992"/>
      <c r="N59" s="992"/>
      <c r="O59" s="992"/>
      <c r="P59" s="992"/>
      <c r="Q59" s="992"/>
      <c r="R59" s="992"/>
      <c r="S59" s="992"/>
      <c r="T59" s="992"/>
      <c r="U59" s="992"/>
      <c r="V59" s="1032">
        <f>E43+AD58*L38</f>
        <v>-4.9117702715648432</v>
      </c>
      <c r="W59" s="1033"/>
      <c r="X59" s="1036" t="str">
        <f>longitudeDecimal2Txt(V59)</f>
        <v>W 04°54.70 (W 04.9117) [W 04°54'42.37]</v>
      </c>
      <c r="Y59" s="1036"/>
      <c r="Z59" s="1036"/>
      <c r="AA59" s="1036"/>
      <c r="AB59" s="1036"/>
      <c r="AC59" s="1036"/>
      <c r="AD59" s="1044" t="str" cm="1">
        <f t="array" ref="AD59">CONCATENATE("Memo depart: ", longitudeDecimal2Txt(E43))</f>
        <v>Memo depart: W 05°00.00 (W 05.0000) [W 05°00'00.00]</v>
      </c>
      <c r="AE59" s="1045"/>
      <c r="AF59" s="1045"/>
      <c r="AG59" s="1045"/>
    </row>
    <row r="60" spans="3:33">
      <c r="H60" s="992"/>
      <c r="I60" s="992"/>
      <c r="J60" s="992"/>
      <c r="K60" s="992"/>
      <c r="L60" s="992"/>
      <c r="M60" s="992"/>
      <c r="N60" s="992"/>
      <c r="O60" s="992"/>
      <c r="P60" s="992"/>
      <c r="Q60" s="992"/>
      <c r="R60" s="992"/>
      <c r="S60" s="992"/>
      <c r="T60" s="992"/>
      <c r="U60" s="992"/>
      <c r="V60" s="1034"/>
      <c r="W60" s="1035"/>
      <c r="X60" s="1036"/>
      <c r="Y60" s="1036"/>
      <c r="Z60" s="1036"/>
      <c r="AA60" s="1036"/>
      <c r="AB60" s="1036"/>
      <c r="AC60" s="1036"/>
      <c r="AD60" s="1044"/>
      <c r="AE60" s="1045"/>
      <c r="AF60" s="1045"/>
      <c r="AG60" s="1045"/>
    </row>
    <row r="61" spans="3:33">
      <c r="H61" s="825" t="s">
        <v>266</v>
      </c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978">
        <f>AD53+AD58</f>
        <v>12.390185474855825</v>
      </c>
      <c r="W61" s="979"/>
      <c r="X61" s="826" t="str">
        <f>heureDecimal2Txt(V61)</f>
        <v>12:23:24.66(12.3901)</v>
      </c>
      <c r="Y61" s="826"/>
      <c r="Z61" s="826"/>
      <c r="AA61" s="826"/>
      <c r="AB61" s="826"/>
      <c r="AC61" s="826"/>
      <c r="AD61"/>
      <c r="AE61"/>
      <c r="AF61"/>
      <c r="AG61"/>
    </row>
    <row r="62" spans="3:33"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980"/>
      <c r="W62" s="979"/>
      <c r="X62" s="826"/>
      <c r="Y62" s="826"/>
      <c r="Z62" s="826"/>
      <c r="AA62" s="826"/>
      <c r="AB62" s="826"/>
      <c r="AC62" s="826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627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83" t="s">
        <v>1</v>
      </c>
      <c r="D66" s="1084"/>
      <c r="E66" s="1085" t="s">
        <v>227</v>
      </c>
      <c r="F66" s="1086"/>
      <c r="G66" s="1087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628</v>
      </c>
      <c r="D67" s="312"/>
      <c r="E67" s="1088">
        <f>V61</f>
        <v>12.390185474855825</v>
      </c>
      <c r="F67" s="1089"/>
      <c r="G67" s="1090"/>
      <c r="H67" s="681" t="str" cm="1">
        <f t="array" ref="H67">heureDecimal2Txt(E67)</f>
        <v>12:23:24.66(12.3901)</v>
      </c>
      <c r="I67" s="682"/>
      <c r="J67" s="682"/>
      <c r="K67" s="682"/>
      <c r="L67" s="682"/>
      <c r="M67" s="683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91">
        <f>F25</f>
        <v>46.138899184437385</v>
      </c>
      <c r="F68" s="1092"/>
      <c r="G68" s="1093"/>
      <c r="H68" s="681" t="str" cm="1">
        <f t="array" ref="H68">latitudeDecimal2Txt(E68)</f>
        <v>N 46°08.33 (N 46.1388) [N 46°08'20.03]</v>
      </c>
      <c r="I68" s="682"/>
      <c r="J68" s="682"/>
      <c r="K68" s="682"/>
      <c r="L68" s="682"/>
      <c r="M68" s="683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281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26" t="s">
        <v>60</v>
      </c>
      <c r="F72" s="1127"/>
      <c r="G72" s="1069" t="s">
        <v>2</v>
      </c>
      <c r="H72" s="1070"/>
      <c r="I72" s="1070"/>
      <c r="J72" s="651" t="s">
        <v>228</v>
      </c>
      <c r="K72" s="651"/>
      <c r="L72" s="651"/>
      <c r="M72" s="1073" t="s">
        <v>283</v>
      </c>
      <c r="N72" s="1074"/>
      <c r="O72" s="1074"/>
      <c r="P72" s="1075"/>
      <c r="Q72" s="1073" t="s">
        <v>282</v>
      </c>
      <c r="R72" s="1074"/>
      <c r="S72" s="1074"/>
      <c r="T72" s="1075"/>
      <c r="U72" s="1139" t="s">
        <v>122</v>
      </c>
      <c r="V72" s="1139"/>
      <c r="W72" s="1139"/>
      <c r="X72" s="1063" t="s">
        <v>284</v>
      </c>
      <c r="Y72" s="1064"/>
      <c r="Z72" s="1064"/>
      <c r="AA72" s="1065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613"/>
      <c r="F73" s="615"/>
      <c r="G73" s="1071"/>
      <c r="H73" s="1072"/>
      <c r="I73" s="1072"/>
      <c r="J73" s="651"/>
      <c r="K73" s="651"/>
      <c r="L73" s="651"/>
      <c r="M73" s="1066"/>
      <c r="N73" s="1067"/>
      <c r="O73" s="1067"/>
      <c r="P73" s="1068"/>
      <c r="Q73" s="1066"/>
      <c r="R73" s="1067"/>
      <c r="S73" s="1067"/>
      <c r="T73" s="1068"/>
      <c r="U73" s="1139"/>
      <c r="V73" s="1139"/>
      <c r="W73" s="1139"/>
      <c r="X73" s="1066"/>
      <c r="Y73" s="1067"/>
      <c r="Z73" s="1067"/>
      <c r="AA73" s="1068"/>
      <c r="AB73" s="332"/>
      <c r="AC73" s="319" t="s">
        <v>630</v>
      </c>
      <c r="AD73" s="1153" t="s">
        <v>631</v>
      </c>
      <c r="AE73" s="1153"/>
      <c r="AF73" s="1153"/>
      <c r="AG73" s="1153"/>
      <c r="AH73" s="1141" t="s">
        <v>632</v>
      </c>
      <c r="AI73" s="1141"/>
      <c r="AJ73" s="1141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199</v>
      </c>
      <c r="D74" s="137"/>
      <c r="E74" s="1076" t="s">
        <v>209</v>
      </c>
      <c r="F74" s="1077"/>
      <c r="G74" s="1053" t="str">
        <f>heureDecimal2Txt(AC74)</f>
        <v>10:30:50.00(10.5138)</v>
      </c>
      <c r="H74" s="1054"/>
      <c r="I74" s="1055"/>
      <c r="J74" s="1056" t="s">
        <v>219</v>
      </c>
      <c r="K74" s="1050"/>
      <c r="L74" s="1050"/>
      <c r="M74" s="1050">
        <v>0</v>
      </c>
      <c r="N74" s="1050"/>
      <c r="O74" s="1050"/>
      <c r="P74" s="1050"/>
      <c r="Q74" s="1106">
        <v>2</v>
      </c>
      <c r="R74" s="1106"/>
      <c r="S74" s="1106"/>
      <c r="T74" s="1106"/>
      <c r="U74" s="1107" t="s">
        <v>285</v>
      </c>
      <c r="V74" s="1108"/>
      <c r="W74" s="1108"/>
      <c r="X74" s="1062" t="str">
        <f>heureDecimal2Txt(AH74)</f>
        <v>01:52:34.66(01.8762)</v>
      </c>
      <c r="Y74" s="1062"/>
      <c r="Z74" s="1062"/>
      <c r="AA74" s="1062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47">
        <f>$E$67-AC74</f>
        <v>1.8762965859669354</v>
      </c>
      <c r="AI74" s="1147"/>
      <c r="AJ74" s="1147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201</v>
      </c>
      <c r="D75" s="135"/>
      <c r="E75" s="1076" t="s">
        <v>294</v>
      </c>
      <c r="F75" s="1077"/>
      <c r="G75" s="1053" t="str">
        <f>heureDecimal2Txt(AC75)</f>
        <v>10:45:50.00(10.7638)</v>
      </c>
      <c r="H75" s="1054"/>
      <c r="I75" s="1055"/>
      <c r="J75" s="1056" t="s">
        <v>288</v>
      </c>
      <c r="K75" s="1050"/>
      <c r="L75" s="1050"/>
      <c r="M75" s="1050">
        <v>0</v>
      </c>
      <c r="N75" s="1050"/>
      <c r="O75" s="1050"/>
      <c r="P75" s="1050"/>
      <c r="Q75" s="1106">
        <v>2</v>
      </c>
      <c r="R75" s="1106"/>
      <c r="S75" s="1106"/>
      <c r="T75" s="1106"/>
      <c r="U75" s="1107" t="s">
        <v>285</v>
      </c>
      <c r="V75" s="1108"/>
      <c r="W75" s="1108"/>
      <c r="X75" s="1062" t="str">
        <f>heureDecimal2Txt(AH75)</f>
        <v>01:37:34.66(01.6262)</v>
      </c>
      <c r="Y75" s="1062"/>
      <c r="Z75" s="1062"/>
      <c r="AA75" s="1062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47">
        <f>$E$67-AC75</f>
        <v>1.6262965859669354</v>
      </c>
      <c r="AI75" s="1147"/>
      <c r="AJ75" s="1147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203</v>
      </c>
      <c r="D76" s="135"/>
      <c r="E76" s="1076" t="s">
        <v>295</v>
      </c>
      <c r="F76" s="1077"/>
      <c r="G76" s="1053" t="str">
        <f>heureDecimal2Txt(AC76)</f>
        <v>11:04:50.00(11.0805)</v>
      </c>
      <c r="H76" s="1054"/>
      <c r="I76" s="1055"/>
      <c r="J76" s="1056" t="s">
        <v>289</v>
      </c>
      <c r="K76" s="1050"/>
      <c r="L76" s="1050"/>
      <c r="M76" s="1050">
        <v>0</v>
      </c>
      <c r="N76" s="1050"/>
      <c r="O76" s="1050"/>
      <c r="P76" s="1050"/>
      <c r="Q76" s="1106">
        <v>2</v>
      </c>
      <c r="R76" s="1106"/>
      <c r="S76" s="1106"/>
      <c r="T76" s="1106"/>
      <c r="U76" s="1107" t="s">
        <v>285</v>
      </c>
      <c r="V76" s="1108"/>
      <c r="W76" s="1108"/>
      <c r="X76" s="1062" t="str">
        <f>heureDecimal2Txt(AH76)</f>
        <v>01:18:34.66(01.3096)</v>
      </c>
      <c r="Y76" s="1062"/>
      <c r="Z76" s="1062"/>
      <c r="AA76" s="1062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47">
        <f>$E$67-AC76</f>
        <v>1.309629919300269</v>
      </c>
      <c r="AI76" s="1147"/>
      <c r="AJ76" s="1147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205</v>
      </c>
      <c r="D77" s="135"/>
      <c r="E77" s="1076" t="s">
        <v>296</v>
      </c>
      <c r="F77" s="1077"/>
      <c r="G77" s="1053" t="str">
        <f>heureDecimal2Txt(AC77)</f>
        <v>11:20:50.00(11.3472)</v>
      </c>
      <c r="H77" s="1054"/>
      <c r="I77" s="1055"/>
      <c r="J77" s="1056" t="s">
        <v>290</v>
      </c>
      <c r="K77" s="1050"/>
      <c r="L77" s="1050"/>
      <c r="M77" s="1050">
        <v>0</v>
      </c>
      <c r="N77" s="1050"/>
      <c r="O77" s="1050"/>
      <c r="P77" s="1050"/>
      <c r="Q77" s="1106">
        <v>2</v>
      </c>
      <c r="R77" s="1106"/>
      <c r="S77" s="1106"/>
      <c r="T77" s="1106"/>
      <c r="U77" s="1107" t="s">
        <v>285</v>
      </c>
      <c r="V77" s="1108"/>
      <c r="W77" s="1108"/>
      <c r="X77" s="1062" t="str">
        <f>heureDecimal2Txt(AH77)</f>
        <v>01:02:34.66(01.0429)</v>
      </c>
      <c r="Y77" s="1062"/>
      <c r="Z77" s="1062"/>
      <c r="AA77" s="1062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47">
        <f>$E$67-AC77</f>
        <v>1.0429632526336032</v>
      </c>
      <c r="AI77" s="1147"/>
      <c r="AJ77" s="1147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207</v>
      </c>
      <c r="D78" s="139"/>
      <c r="E78" s="1051" t="s">
        <v>297</v>
      </c>
      <c r="F78" s="1052"/>
      <c r="G78" s="1057" t="str">
        <f>heureDecimal2Txt(AC78)</f>
        <v>12:20:50.00(12.3472)</v>
      </c>
      <c r="H78" s="1058"/>
      <c r="I78" s="1059"/>
      <c r="J78" s="1060" t="s">
        <v>291</v>
      </c>
      <c r="K78" s="1061"/>
      <c r="L78" s="1061"/>
      <c r="M78" s="1061">
        <v>0</v>
      </c>
      <c r="N78" s="1061"/>
      <c r="O78" s="1061"/>
      <c r="P78" s="1061"/>
      <c r="Q78" s="1109">
        <v>2</v>
      </c>
      <c r="R78" s="1109"/>
      <c r="S78" s="1109"/>
      <c r="T78" s="1109"/>
      <c r="U78" s="1112" t="s">
        <v>285</v>
      </c>
      <c r="V78" s="1113"/>
      <c r="W78" s="1113"/>
      <c r="X78" s="1114" t="str">
        <f>heureDecimal2Txt(AH78)</f>
        <v>00:02:34.66(00.0429)</v>
      </c>
      <c r="Y78" s="1114"/>
      <c r="Z78" s="1114"/>
      <c r="AA78" s="1114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47">
        <f>$E$67-AC78</f>
        <v>4.2963252633603233E-2</v>
      </c>
      <c r="AI78" s="1147"/>
      <c r="AJ78" s="1147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95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096"/>
      <c r="D79" s="1096"/>
      <c r="E79" s="1096"/>
      <c r="F79" s="1096"/>
      <c r="G79" s="1096"/>
      <c r="H79" s="1096"/>
      <c r="I79" s="1096"/>
      <c r="J79" s="1096"/>
      <c r="K79" s="1096"/>
      <c r="L79" s="1096"/>
      <c r="M79" s="1096"/>
      <c r="N79" s="1096"/>
      <c r="O79" s="1096"/>
      <c r="P79" s="1096"/>
      <c r="Q79" s="1096"/>
      <c r="R79" s="1096"/>
      <c r="S79" s="1096"/>
      <c r="T79" s="1096"/>
      <c r="U79" s="1096"/>
      <c r="V79" s="1096"/>
      <c r="W79" s="1096"/>
      <c r="X79" s="1096"/>
      <c r="Y79" s="1096"/>
      <c r="Z79" s="1096"/>
      <c r="AA79" s="1097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098"/>
      <c r="C80" s="1099"/>
      <c r="D80" s="1099"/>
      <c r="E80" s="1099"/>
      <c r="F80" s="1099"/>
      <c r="G80" s="1099"/>
      <c r="H80" s="1099"/>
      <c r="I80" s="1099"/>
      <c r="J80" s="1099"/>
      <c r="K80" s="1099"/>
      <c r="L80" s="1099"/>
      <c r="M80" s="1099"/>
      <c r="N80" s="1099"/>
      <c r="O80" s="1099"/>
      <c r="P80" s="1099"/>
      <c r="Q80" s="1099"/>
      <c r="R80" s="1099"/>
      <c r="S80" s="1099"/>
      <c r="T80" s="1099"/>
      <c r="U80" s="1099"/>
      <c r="V80" s="1099"/>
      <c r="W80" s="1099"/>
      <c r="X80" s="1099"/>
      <c r="Y80" s="1099"/>
      <c r="Z80" s="1099"/>
      <c r="AA80" s="1100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01" t="s">
        <v>286</v>
      </c>
      <c r="F81" s="1101"/>
      <c r="G81" s="1131" t="s">
        <v>287</v>
      </c>
      <c r="H81" s="1131"/>
      <c r="I81" s="1131"/>
      <c r="J81" s="1117" t="s">
        <v>308</v>
      </c>
      <c r="K81" s="1118"/>
      <c r="L81" s="1118"/>
      <c r="M81" s="1118"/>
      <c r="N81" s="1118"/>
      <c r="O81" s="1118"/>
      <c r="P81" s="1118"/>
      <c r="Q81" s="1118"/>
      <c r="R81" s="1118"/>
      <c r="S81" s="1118"/>
      <c r="T81" s="1118"/>
      <c r="U81" s="1118"/>
      <c r="V81" s="1118"/>
      <c r="W81" s="1118"/>
      <c r="X81" s="1118"/>
      <c r="Y81" s="1118"/>
      <c r="Z81" s="1119"/>
      <c r="AA81" s="1110" t="s">
        <v>292</v>
      </c>
      <c r="AB81" s="335"/>
      <c r="AC81" s="339" t="s">
        <v>293</v>
      </c>
      <c r="AD81" s="339" t="s">
        <v>3</v>
      </c>
      <c r="AE81" s="339" t="s">
        <v>307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02"/>
      <c r="F82" s="1102"/>
      <c r="G82" s="1132"/>
      <c r="H82" s="1132"/>
      <c r="I82" s="1132"/>
      <c r="J82" s="1120" t="s">
        <v>298</v>
      </c>
      <c r="K82" s="1120"/>
      <c r="L82" s="1120"/>
      <c r="M82" s="1115" t="s">
        <v>228</v>
      </c>
      <c r="N82" s="1115"/>
      <c r="O82" s="1115"/>
      <c r="P82" s="1116" t="s">
        <v>283</v>
      </c>
      <c r="Q82" s="1116"/>
      <c r="R82" s="1116"/>
      <c r="S82" s="1116"/>
      <c r="T82" s="1116" t="s">
        <v>282</v>
      </c>
      <c r="U82" s="1116"/>
      <c r="V82" s="1116"/>
      <c r="W82" s="1116"/>
      <c r="X82" s="1116" t="s">
        <v>122</v>
      </c>
      <c r="Y82" s="1116"/>
      <c r="Z82" s="1116"/>
      <c r="AA82" s="1111"/>
      <c r="AB82" s="336"/>
      <c r="AC82" s="319" t="s">
        <v>633</v>
      </c>
      <c r="AD82" s="1148" t="s">
        <v>634</v>
      </c>
      <c r="AE82" s="1149"/>
      <c r="AF82" s="1149"/>
      <c r="AG82" s="1149"/>
      <c r="AH82" s="1150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07" t="s">
        <v>208</v>
      </c>
      <c r="D83" s="607"/>
      <c r="E83" s="1128" t="str">
        <f>E78</f>
        <v>6°54</v>
      </c>
      <c r="F83" s="1129"/>
      <c r="G83" s="1130" t="str">
        <f>heureDecimal2Txt(AC83)</f>
        <v>12:25:59.33(12.4331)</v>
      </c>
      <c r="H83" s="1130"/>
      <c r="I83" s="1130"/>
      <c r="J83" s="1135" t="str">
        <f>heureDecimal2Txt(AD83)</f>
        <v>12:53:25.00(12.8902)</v>
      </c>
      <c r="K83" s="1135"/>
      <c r="L83" s="1136"/>
      <c r="M83" s="1137" t="s">
        <v>629</v>
      </c>
      <c r="N83" s="1138"/>
      <c r="O83" s="1138"/>
      <c r="P83" s="1138">
        <v>0</v>
      </c>
      <c r="Q83" s="1138"/>
      <c r="R83" s="1138"/>
      <c r="S83" s="1138"/>
      <c r="T83" s="1140">
        <v>2</v>
      </c>
      <c r="U83" s="1140"/>
      <c r="V83" s="1140"/>
      <c r="W83" s="1140"/>
      <c r="X83" s="1133" t="s">
        <v>285</v>
      </c>
      <c r="Y83" s="1134"/>
      <c r="Z83" s="1134"/>
      <c r="AA83" s="140" t="s">
        <v>293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07" t="s">
        <v>206</v>
      </c>
      <c r="D84" s="607"/>
      <c r="E84" s="1128" t="str">
        <f>E77</f>
        <v>5°54</v>
      </c>
      <c r="F84" s="1129"/>
      <c r="G84" s="1130" t="str">
        <f>heureDecimal2Txt(AC84)</f>
        <v>13:25:59.33(13.4331)</v>
      </c>
      <c r="H84" s="1130"/>
      <c r="I84" s="1130"/>
      <c r="J84" s="1054" t="str">
        <f>heureDecimal2Txt(AD84)</f>
        <v>13:50:25.00(13.8402)</v>
      </c>
      <c r="K84" s="1054"/>
      <c r="L84" s="1055"/>
      <c r="M84" s="1056" t="s">
        <v>305</v>
      </c>
      <c r="N84" s="1050"/>
      <c r="O84" s="1050"/>
      <c r="P84" s="1050">
        <v>0</v>
      </c>
      <c r="Q84" s="1050"/>
      <c r="R84" s="1050"/>
      <c r="S84" s="1050"/>
      <c r="T84" s="1106">
        <v>2</v>
      </c>
      <c r="U84" s="1106"/>
      <c r="V84" s="1106"/>
      <c r="W84" s="1106"/>
      <c r="X84" s="1107" t="s">
        <v>285</v>
      </c>
      <c r="Y84" s="1108"/>
      <c r="Z84" s="1108"/>
      <c r="AA84" s="140" t="s">
        <v>307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07" t="s">
        <v>204</v>
      </c>
      <c r="D85" s="607"/>
      <c r="E85" s="1128" t="str">
        <f>E76</f>
        <v>4°54</v>
      </c>
      <c r="F85" s="1129"/>
      <c r="G85" s="1130" t="str">
        <f>heureDecimal2Txt(AC85)</f>
        <v>13:41:59.33(13.6998)</v>
      </c>
      <c r="H85" s="1130"/>
      <c r="I85" s="1130"/>
      <c r="J85" s="1054" t="str">
        <f>heureDecimal2Txt(AD85)</f>
        <v>13:52:02.00(13.8672)</v>
      </c>
      <c r="K85" s="1054"/>
      <c r="L85" s="1055"/>
      <c r="M85" s="1056" t="s">
        <v>304</v>
      </c>
      <c r="N85" s="1050"/>
      <c r="O85" s="1050"/>
      <c r="P85" s="1050">
        <v>0</v>
      </c>
      <c r="Q85" s="1050"/>
      <c r="R85" s="1050"/>
      <c r="S85" s="1050"/>
      <c r="T85" s="1106">
        <v>2</v>
      </c>
      <c r="U85" s="1106"/>
      <c r="V85" s="1106"/>
      <c r="W85" s="1106"/>
      <c r="X85" s="1107" t="s">
        <v>121</v>
      </c>
      <c r="Y85" s="1108"/>
      <c r="Z85" s="1108"/>
      <c r="AA85" s="140" t="s">
        <v>307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07" t="s">
        <v>202</v>
      </c>
      <c r="D86" s="607"/>
      <c r="E86" s="1128" t="str">
        <f>E75</f>
        <v>3°54</v>
      </c>
      <c r="F86" s="1129"/>
      <c r="G86" s="1130" t="str">
        <f>heureDecimal2Txt(AC86)</f>
        <v>14:00:59.33(14.0164)</v>
      </c>
      <c r="H86" s="1130"/>
      <c r="I86" s="1130"/>
      <c r="J86" s="1054" t="str">
        <f>heureDecimal2Txt(AD86)</f>
        <v>14:10:02.00(14.1672)</v>
      </c>
      <c r="K86" s="1054"/>
      <c r="L86" s="1055"/>
      <c r="M86" s="1056" t="s">
        <v>303</v>
      </c>
      <c r="N86" s="1050"/>
      <c r="O86" s="1050"/>
      <c r="P86" s="1050">
        <v>0</v>
      </c>
      <c r="Q86" s="1050"/>
      <c r="R86" s="1050"/>
      <c r="S86" s="1050"/>
      <c r="T86" s="1106">
        <v>2</v>
      </c>
      <c r="U86" s="1106"/>
      <c r="V86" s="1106"/>
      <c r="W86" s="1106"/>
      <c r="X86" s="1107" t="s">
        <v>121</v>
      </c>
      <c r="Y86" s="1108"/>
      <c r="Z86" s="1108"/>
      <c r="AA86" s="140" t="s">
        <v>307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07" t="s">
        <v>200</v>
      </c>
      <c r="D87" s="607"/>
      <c r="E87" s="1128" t="str">
        <f>E74</f>
        <v>2°54</v>
      </c>
      <c r="F87" s="1129"/>
      <c r="G87" s="1130" t="str">
        <f>heureDecimal2Txt(AC87)</f>
        <v>14:15:59.33(14.2664)</v>
      </c>
      <c r="H87" s="1130"/>
      <c r="I87" s="1130"/>
      <c r="J87" s="1054" t="str">
        <f>heureDecimal2Txt(AD87)</f>
        <v>14:32:03.00(14.5341)</v>
      </c>
      <c r="K87" s="1054"/>
      <c r="L87" s="1055"/>
      <c r="M87" s="1056" t="s">
        <v>301</v>
      </c>
      <c r="N87" s="1050"/>
      <c r="O87" s="1050"/>
      <c r="P87" s="1050">
        <v>0</v>
      </c>
      <c r="Q87" s="1050"/>
      <c r="R87" s="1050"/>
      <c r="S87" s="1050"/>
      <c r="T87" s="1106">
        <v>2</v>
      </c>
      <c r="U87" s="1106"/>
      <c r="V87" s="1106"/>
      <c r="W87" s="1106"/>
      <c r="X87" s="1107" t="s">
        <v>121</v>
      </c>
      <c r="Y87" s="1108"/>
      <c r="Z87" s="1108"/>
      <c r="AA87" s="140" t="s">
        <v>307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299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41" t="s">
        <v>300</v>
      </c>
      <c r="F91" s="1141"/>
      <c r="G91" s="1141" t="s">
        <v>11</v>
      </c>
      <c r="H91" s="1141"/>
      <c r="I91" s="1141"/>
      <c r="J91" s="1141"/>
      <c r="K91" s="1141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199</v>
      </c>
      <c r="D92" s="191"/>
      <c r="E92" s="1141" t="b">
        <f>(AA87="O")</f>
        <v>0</v>
      </c>
      <c r="F92" s="1141"/>
      <c r="G92" s="1141">
        <f>IF(E92,(AD87+AC74)/2,0)</f>
        <v>0</v>
      </c>
      <c r="H92" s="1141"/>
      <c r="I92" s="91" t="str">
        <f>heureDecimal2Txt(G92)</f>
        <v>00:00:00.00(00.0000)</v>
      </c>
      <c r="J92" s="91"/>
      <c r="K92" s="91"/>
      <c r="Z92" s="16"/>
      <c r="AA92" s="16"/>
      <c r="AC92" s="14" t="s">
        <v>309</v>
      </c>
      <c r="AD92" s="14">
        <f>IF(G92&gt;0,1,0)</f>
        <v>0</v>
      </c>
    </row>
    <row r="93" spans="2:48">
      <c r="B93" s="16"/>
      <c r="C93" s="134" t="s">
        <v>201</v>
      </c>
      <c r="D93" s="192"/>
      <c r="E93" s="1141" t="b">
        <f>(AA86="O")</f>
        <v>0</v>
      </c>
      <c r="F93" s="1141"/>
      <c r="G93" s="1141">
        <f>IF(E93,(AD86+AC75)/2,0)</f>
        <v>0</v>
      </c>
      <c r="H93" s="1141"/>
      <c r="I93" s="91" t="str">
        <f t="shared" ref="I93:I98" si="0">heureDecimal2Txt(G93)</f>
        <v>00:00:00.00(00.0000)</v>
      </c>
      <c r="J93" s="91"/>
      <c r="K93" s="91"/>
      <c r="Z93" s="16"/>
      <c r="AA93" s="16"/>
      <c r="AC93" s="14" t="s">
        <v>309</v>
      </c>
      <c r="AD93" s="14">
        <f>IF(G93&gt;0,1,0)</f>
        <v>0</v>
      </c>
    </row>
    <row r="94" spans="2:48">
      <c r="B94" s="16"/>
      <c r="C94" s="134" t="s">
        <v>203</v>
      </c>
      <c r="D94" s="192"/>
      <c r="E94" s="1141" t="b">
        <f>(AA85="O")</f>
        <v>0</v>
      </c>
      <c r="F94" s="1141"/>
      <c r="G94" s="1141">
        <f>IF(E94,(AD85+AC76)/2,0)</f>
        <v>0</v>
      </c>
      <c r="H94" s="1141"/>
      <c r="I94" s="91" t="str">
        <f t="shared" si="0"/>
        <v>00:00:00.00(00.0000)</v>
      </c>
      <c r="J94" s="91"/>
      <c r="K94" s="91"/>
      <c r="Z94" s="16"/>
      <c r="AA94" s="16"/>
      <c r="AC94" s="14" t="s">
        <v>309</v>
      </c>
      <c r="AD94" s="14">
        <f>IF(G94&gt;0,1,0)</f>
        <v>0</v>
      </c>
    </row>
    <row r="95" spans="2:48">
      <c r="C95" s="134" t="s">
        <v>205</v>
      </c>
      <c r="D95" s="192"/>
      <c r="E95" s="1141" t="b">
        <f>(AA84="O")</f>
        <v>0</v>
      </c>
      <c r="F95" s="1141"/>
      <c r="G95" s="1141">
        <f>IF(E95,(AD84+AC77)/2,0)</f>
        <v>0</v>
      </c>
      <c r="H95" s="1141"/>
      <c r="I95" s="91" t="str">
        <f t="shared" si="0"/>
        <v>00:00:00.00(00.0000)</v>
      </c>
      <c r="J95" s="91"/>
      <c r="K95" s="91"/>
      <c r="AC95" s="14" t="s">
        <v>309</v>
      </c>
      <c r="AD95" s="14">
        <f>IF(G95&gt;0,1,0)</f>
        <v>0</v>
      </c>
    </row>
    <row r="96" spans="2:48">
      <c r="C96" s="138" t="s">
        <v>207</v>
      </c>
      <c r="D96" s="193"/>
      <c r="E96" s="1141" t="b">
        <f>(AA83="O")</f>
        <v>1</v>
      </c>
      <c r="F96" s="1141"/>
      <c r="G96" s="1141">
        <f>IF(E96,(AD83+AC78)/2,0)</f>
        <v>12.618749999999999</v>
      </c>
      <c r="H96" s="1141"/>
      <c r="I96" s="91" t="str">
        <f t="shared" si="0"/>
        <v>12:37:07.49(12.6187)</v>
      </c>
      <c r="J96" s="91"/>
      <c r="K96" s="91"/>
      <c r="AC96" s="14" t="s">
        <v>309</v>
      </c>
      <c r="AD96" s="14">
        <f>IF(G96&gt;0,1,0)</f>
        <v>1</v>
      </c>
    </row>
    <row r="98" spans="2:66">
      <c r="E98" t="s">
        <v>302</v>
      </c>
      <c r="G98" s="1142">
        <f>SUM(G92:G96)/SUM(AD92:AD96)</f>
        <v>12.618749999999999</v>
      </c>
      <c r="H98" s="1142"/>
      <c r="I98" t="str">
        <f t="shared" si="0"/>
        <v>12:37:07.49(12.6187)</v>
      </c>
      <c r="N98" s="1094" t="s">
        <v>306</v>
      </c>
      <c r="O98" s="1094"/>
      <c r="P98" s="1094"/>
      <c r="Q98" s="1094">
        <f>G98</f>
        <v>12.618749999999999</v>
      </c>
      <c r="R98" s="1094"/>
      <c r="S98" s="1152" t="str">
        <f>heureDecimal2Txt(Q98)</f>
        <v>12:37:07.49(12.6187)</v>
      </c>
      <c r="T98" s="1152"/>
      <c r="U98" s="1152"/>
      <c r="V98" s="1152"/>
      <c r="W98" s="1152"/>
      <c r="X98" s="1152"/>
      <c r="Y98" s="1152"/>
    </row>
    <row r="99" spans="2:66">
      <c r="N99" s="1094"/>
      <c r="O99" s="1094"/>
      <c r="P99" s="1094"/>
      <c r="Q99" s="1094"/>
      <c r="R99" s="1094"/>
      <c r="S99" s="1152"/>
      <c r="T99" s="1152"/>
      <c r="U99" s="1152"/>
      <c r="V99" s="1152"/>
      <c r="W99" s="1152"/>
      <c r="X99" s="1152"/>
      <c r="Y99" s="1152"/>
    </row>
    <row r="100" spans="2:66">
      <c r="N100" s="1094" t="s">
        <v>171</v>
      </c>
      <c r="O100" s="1094"/>
      <c r="P100" s="1094"/>
      <c r="Q100" s="1151">
        <f>(F20-Q98)*V47</f>
        <v>-8.3406952777777423</v>
      </c>
      <c r="R100" s="1094"/>
      <c r="S100" s="1152" t="str">
        <f>longitudeDecimal2Txt(Q100)</f>
        <v>W 08°20.44 (W 08.3406) [W 08°20'26.50]</v>
      </c>
      <c r="T100" s="1152"/>
      <c r="U100" s="1152"/>
      <c r="V100" s="1152"/>
      <c r="W100" s="1152"/>
      <c r="X100" s="1152"/>
      <c r="Y100" s="1152"/>
    </row>
    <row r="101" spans="2:66">
      <c r="N101" s="1094"/>
      <c r="O101" s="1094"/>
      <c r="P101" s="1094"/>
      <c r="Q101" s="1094"/>
      <c r="R101" s="1094"/>
      <c r="S101" s="1152"/>
      <c r="T101" s="1152"/>
      <c r="U101" s="1152"/>
      <c r="V101" s="1152"/>
      <c r="W101" s="1152"/>
      <c r="X101" s="1152"/>
      <c r="Y101" s="1152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61" t="s">
        <v>165</v>
      </c>
      <c r="D104" s="662"/>
      <c r="E104" s="662"/>
      <c r="F104" s="662"/>
      <c r="G104" s="662"/>
      <c r="H104" s="662"/>
      <c r="I104" s="663"/>
      <c r="J104" s="664" t="s">
        <v>167</v>
      </c>
      <c r="K104" s="665"/>
      <c r="L104" s="665"/>
      <c r="M104" s="665"/>
      <c r="N104" s="665"/>
      <c r="O104" s="666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61" t="s">
        <v>128</v>
      </c>
      <c r="D105" s="662"/>
      <c r="E105" s="662"/>
      <c r="F105" s="662"/>
      <c r="G105" s="662"/>
      <c r="H105" s="662"/>
      <c r="I105" s="663"/>
      <c r="J105" s="888" cm="1">
        <f t="array" ref="J105">angleConvert2Decimal(M105)</f>
        <v>0.9</v>
      </c>
      <c r="K105" s="889"/>
      <c r="L105" s="890"/>
      <c r="M105" s="891" t="s">
        <v>99</v>
      </c>
      <c r="N105" s="892"/>
      <c r="O105" s="893"/>
      <c r="P105" s="455" t="str" cm="1">
        <f t="array" ref="P105">angleDecimal2Txt(J105)</f>
        <v>+00°54.00 (+00.9000) [+00°54'00.00]</v>
      </c>
      <c r="Q105" s="471"/>
      <c r="R105" s="471"/>
      <c r="S105" s="471"/>
      <c r="T105" s="471"/>
      <c r="U105" s="471"/>
      <c r="V105" s="471"/>
      <c r="W105" s="471"/>
      <c r="X105" s="472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52" t="s">
        <v>127</v>
      </c>
      <c r="D106" s="652"/>
      <c r="E106" s="652"/>
      <c r="F106" s="652"/>
      <c r="G106" s="652"/>
      <c r="H106" s="652"/>
      <c r="I106" s="652"/>
      <c r="J106" s="659" cm="1">
        <f t="array" ref="J106">angleConvert2Decimal(M106)</f>
        <v>33.4</v>
      </c>
      <c r="K106" s="660"/>
      <c r="L106" s="555"/>
      <c r="M106" s="896" t="s">
        <v>210</v>
      </c>
      <c r="N106" s="897"/>
      <c r="O106" s="898"/>
      <c r="P106" s="557" t="str" cm="1">
        <f t="array" ref="P106">angleDecimal2Txt(J106)</f>
        <v>+33°24.00 (+33.3999) [+33°24'00.00]</v>
      </c>
      <c r="Q106" s="557"/>
      <c r="R106" s="557"/>
      <c r="S106" s="557"/>
      <c r="T106" s="557"/>
      <c r="U106" s="557"/>
      <c r="V106" s="557"/>
      <c r="W106" s="557"/>
      <c r="X106" s="557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52" t="s">
        <v>135</v>
      </c>
      <c r="D107" s="652"/>
      <c r="E107" s="652"/>
      <c r="F107" s="652"/>
      <c r="G107" s="652"/>
      <c r="H107" s="652"/>
      <c r="I107" s="652"/>
      <c r="J107" s="659" cm="1">
        <f t="array" ref="J107">angleConvert2Decimal(M107)</f>
        <v>16.25</v>
      </c>
      <c r="K107" s="660"/>
      <c r="L107" s="555"/>
      <c r="M107" s="896">
        <f>(J106-J105)/2</f>
        <v>16.25</v>
      </c>
      <c r="N107" s="897"/>
      <c r="O107" s="898"/>
      <c r="P107" s="557" t="str" cm="1">
        <f t="array" ref="P107">angleDecimal2Txt(J107)</f>
        <v>+16°15.00 (+16.2500) [+16°15'00.00]</v>
      </c>
      <c r="Q107" s="557"/>
      <c r="R107" s="557"/>
      <c r="S107" s="557"/>
      <c r="T107" s="557"/>
      <c r="U107" s="557"/>
      <c r="V107" s="557"/>
      <c r="W107" s="557"/>
      <c r="X107" s="557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68" t="s">
        <v>19</v>
      </c>
      <c r="D108" s="668"/>
      <c r="E108" s="668"/>
      <c r="F108" s="668"/>
      <c r="G108" s="668"/>
      <c r="H108" s="668"/>
      <c r="I108" s="668"/>
      <c r="J108" s="654">
        <f>M108</f>
        <v>2</v>
      </c>
      <c r="K108" s="655"/>
      <c r="L108" s="656"/>
      <c r="M108" s="716">
        <v>2</v>
      </c>
      <c r="N108" s="716"/>
      <c r="O108" s="716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84" t="s">
        <v>20</v>
      </c>
      <c r="D109" s="685"/>
      <c r="E109" s="685"/>
      <c r="F109" s="685"/>
      <c r="G109" s="685"/>
      <c r="H109" s="685"/>
      <c r="I109" s="686"/>
      <c r="J109" s="659" cm="1">
        <f t="array" ref="J109">angleConvert2Decimal(M109)</f>
        <v>2.1666666666666667E-2</v>
      </c>
      <c r="K109" s="660"/>
      <c r="L109" s="555"/>
      <c r="M109" s="715" t="s">
        <v>244</v>
      </c>
      <c r="N109" s="716"/>
      <c r="O109" s="716"/>
      <c r="P109" s="557" t="str" cm="1">
        <f t="array" ref="P109">angleDecimal2Txt(J109)</f>
        <v>+00°01.30 (+00.0216) [+00°01'18.00]</v>
      </c>
      <c r="Q109" s="557"/>
      <c r="R109" s="557"/>
      <c r="S109" s="557"/>
      <c r="T109" s="557"/>
      <c r="U109" s="557"/>
      <c r="V109" s="557"/>
      <c r="W109" s="557"/>
      <c r="X109" s="557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94" t="s">
        <v>26</v>
      </c>
      <c r="D110" s="794"/>
      <c r="E110" s="794"/>
      <c r="F110" s="794"/>
      <c r="G110" s="794"/>
      <c r="H110" s="794"/>
      <c r="I110" s="794"/>
      <c r="J110" s="902" cm="1">
        <f t="array" ref="J110">IF(J104=AC104,J107,angleConvert2Decimal(M110))</f>
        <v>66.95</v>
      </c>
      <c r="K110" s="903"/>
      <c r="L110" s="904"/>
      <c r="M110" s="715" t="s">
        <v>253</v>
      </c>
      <c r="N110" s="716"/>
      <c r="O110" s="716"/>
      <c r="P110" s="557" t="str" cm="1">
        <f t="array" ref="P110">angleDecimal2Txt(J110)</f>
        <v>+66°57.00 (+66.9500) [+66°57'00.00]</v>
      </c>
      <c r="Q110" s="557"/>
      <c r="R110" s="557"/>
      <c r="S110" s="557"/>
      <c r="T110" s="557"/>
      <c r="U110" s="557"/>
      <c r="V110" s="557"/>
      <c r="W110" s="557"/>
      <c r="X110" s="557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763" t="s">
        <v>30</v>
      </c>
      <c r="D111" s="763"/>
      <c r="E111" s="763"/>
      <c r="F111" s="763"/>
      <c r="G111" s="763"/>
      <c r="H111" s="763"/>
      <c r="I111" s="763"/>
      <c r="J111" s="532" t="str">
        <f>M111</f>
        <v>Soleil</v>
      </c>
      <c r="K111" s="533"/>
      <c r="L111" s="534"/>
      <c r="M111" s="1103" t="s">
        <v>31</v>
      </c>
      <c r="N111" s="1104"/>
      <c r="O111" s="1105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763" t="s">
        <v>56</v>
      </c>
      <c r="D112" s="763"/>
      <c r="E112" s="763"/>
      <c r="F112" s="763"/>
      <c r="G112" s="763"/>
      <c r="H112" s="763"/>
      <c r="I112" s="763"/>
      <c r="J112" s="532" t="str">
        <f>M112</f>
        <v>BordSup</v>
      </c>
      <c r="K112" s="533"/>
      <c r="L112" s="534"/>
      <c r="M112" s="673" t="s">
        <v>188</v>
      </c>
      <c r="N112" s="673"/>
      <c r="O112" s="67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757" t="s">
        <v>151</v>
      </c>
      <c r="D113" s="758"/>
      <c r="E113" s="27"/>
      <c r="F113" s="27"/>
      <c r="G113" s="27"/>
      <c r="H113" s="27"/>
      <c r="I113" s="28"/>
      <c r="J113" s="436" cm="1">
        <f t="array" ref="J113">angleConvert2Decimal(M113)</f>
        <v>2.8833333333333302E-3</v>
      </c>
      <c r="K113" s="421"/>
      <c r="L113" s="422"/>
      <c r="M113" s="723">
        <f>P115</f>
        <v>2.8833333333333302E-3</v>
      </c>
      <c r="N113" s="724"/>
      <c r="O113" s="724"/>
      <c r="P113" s="1004" t="s">
        <v>97</v>
      </c>
      <c r="Q113" s="1004"/>
      <c r="R113" s="1004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1005" t="s">
        <v>152</v>
      </c>
      <c r="E114" s="1005"/>
      <c r="F114" s="1005"/>
      <c r="G114" s="1005"/>
      <c r="H114" s="1005"/>
      <c r="I114" s="1006"/>
      <c r="J114" s="437"/>
      <c r="K114" s="423"/>
      <c r="L114" s="424"/>
      <c r="M114" s="725"/>
      <c r="N114" s="726"/>
      <c r="O114" s="726"/>
      <c r="P114" s="1004"/>
      <c r="Q114" s="1004"/>
      <c r="R114" s="1004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1005"/>
      <c r="E115" s="1005"/>
      <c r="F115" s="1005"/>
      <c r="G115" s="1005"/>
      <c r="H115" s="1005"/>
      <c r="I115" s="1006"/>
      <c r="J115" s="437"/>
      <c r="K115" s="423"/>
      <c r="L115" s="424"/>
      <c r="M115" s="725"/>
      <c r="N115" s="726"/>
      <c r="O115" s="726"/>
      <c r="P115" s="720" cm="1">
        <f t="array" ref="P115">astroHPSoleilEnDegre()</f>
        <v>2.8833333333333302E-3</v>
      </c>
      <c r="Q115" s="720"/>
      <c r="R115" s="720"/>
      <c r="S115" s="718" t="str" cm="1">
        <f t="array" ref="S115">angleDecimal2Txt(angleConvert2Decimal(P115))</f>
        <v>+00°00.17 (+00.0028) [+00°00'10.37]</v>
      </c>
      <c r="T115" s="718"/>
      <c r="U115" s="718"/>
      <c r="V115" s="718"/>
      <c r="W115" s="718"/>
      <c r="X115" s="719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1007"/>
      <c r="E116" s="1007"/>
      <c r="F116" s="1007"/>
      <c r="G116" s="1007"/>
      <c r="H116" s="1007"/>
      <c r="I116" s="1008"/>
      <c r="J116" s="1012"/>
      <c r="K116" s="1013"/>
      <c r="L116" s="1014"/>
      <c r="M116" s="727"/>
      <c r="N116" s="728"/>
      <c r="O116" s="728"/>
      <c r="P116" s="622" t="str" cm="1">
        <f t="array" ref="P116">angleDecimal2Txt(J113)</f>
        <v>+00°00.17 (+00.0028) [+00°00'10.37]</v>
      </c>
      <c r="Q116" s="622"/>
      <c r="R116" s="622"/>
      <c r="S116" s="557"/>
      <c r="T116" s="557"/>
      <c r="U116" s="557"/>
      <c r="V116" s="557"/>
      <c r="W116" s="557"/>
      <c r="X116" s="557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827" t="s">
        <v>100</v>
      </c>
      <c r="D117" s="828"/>
      <c r="E117" s="828"/>
      <c r="F117" s="828"/>
      <c r="G117" s="828"/>
      <c r="H117" s="828"/>
      <c r="I117" s="829"/>
      <c r="J117" s="436" cm="1">
        <f t="array" ref="J117">angleConvert2Decimal(M117)</f>
        <v>0.52666666699999998</v>
      </c>
      <c r="K117" s="421"/>
      <c r="L117" s="422"/>
      <c r="M117" s="723">
        <f>P119</f>
        <v>0.52666666699999998</v>
      </c>
      <c r="N117" s="724"/>
      <c r="O117" s="724"/>
      <c r="P117" s="1004" t="s">
        <v>97</v>
      </c>
      <c r="Q117" s="1004"/>
      <c r="R117" s="1004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830"/>
      <c r="D118" s="786"/>
      <c r="E118" s="786"/>
      <c r="F118" s="786"/>
      <c r="G118" s="786"/>
      <c r="H118" s="786"/>
      <c r="I118" s="831"/>
      <c r="J118" s="437"/>
      <c r="K118" s="423"/>
      <c r="L118" s="424"/>
      <c r="M118" s="725"/>
      <c r="N118" s="726"/>
      <c r="O118" s="726"/>
      <c r="P118" s="1004"/>
      <c r="Q118" s="1004"/>
      <c r="R118" s="1004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830"/>
      <c r="D119" s="786"/>
      <c r="E119" s="786"/>
      <c r="F119" s="786"/>
      <c r="G119" s="786"/>
      <c r="H119" s="786"/>
      <c r="I119" s="831"/>
      <c r="J119" s="437"/>
      <c r="K119" s="423"/>
      <c r="L119" s="424"/>
      <c r="M119" s="725"/>
      <c r="N119" s="726"/>
      <c r="O119" s="726"/>
      <c r="P119" s="720" cm="1">
        <f t="array" ref="P119">astroDiametreSoleilEnDegre(AA6)</f>
        <v>0.52666666699999998</v>
      </c>
      <c r="Q119" s="720"/>
      <c r="R119" s="720"/>
      <c r="S119" s="718" t="str" cm="1">
        <f t="array" ref="S119">angleDecimal2Txt(angleConvert2Decimal(P119))</f>
        <v>+00°31.60 (+00.5266) [+00°31'36.00]</v>
      </c>
      <c r="T119" s="718"/>
      <c r="U119" s="718"/>
      <c r="V119" s="718"/>
      <c r="W119" s="718"/>
      <c r="X119" s="719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832"/>
      <c r="D120" s="833"/>
      <c r="E120" s="833"/>
      <c r="F120" s="833"/>
      <c r="G120" s="833"/>
      <c r="H120" s="833"/>
      <c r="I120" s="834"/>
      <c r="J120" s="808"/>
      <c r="K120" s="809"/>
      <c r="L120" s="810"/>
      <c r="M120" s="727"/>
      <c r="N120" s="728"/>
      <c r="O120" s="728"/>
      <c r="P120" s="622" t="str" cm="1">
        <f t="array" ref="P120">angleDecimal2Txt(J117)</f>
        <v>+00°31.60 (+00.5266) [+00°31'36.00]</v>
      </c>
      <c r="Q120" s="622"/>
      <c r="R120" s="622"/>
      <c r="S120" s="557"/>
      <c r="T120" s="557"/>
      <c r="U120" s="557"/>
      <c r="V120" s="557"/>
      <c r="W120" s="557"/>
      <c r="X120" s="557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647">
        <f>IF(G123=AD123,D126,IF(G123=AD124,D133,D139))</f>
        <v>-14.728333333333333</v>
      </c>
      <c r="G122" s="647"/>
      <c r="H122" s="647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554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634" t="s">
        <v>35</v>
      </c>
      <c r="D123" s="634"/>
      <c r="E123" s="634"/>
      <c r="F123" s="634"/>
      <c r="G123" s="753" t="s">
        <v>554</v>
      </c>
      <c r="H123" s="513"/>
      <c r="I123" s="754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510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408" t="s">
        <v>10</v>
      </c>
      <c r="D124" s="419" t="s">
        <v>9</v>
      </c>
      <c r="E124" s="420"/>
      <c r="F124" s="420"/>
      <c r="G124" s="420"/>
      <c r="H124" s="420"/>
      <c r="I124" s="415" t="s">
        <v>619</v>
      </c>
      <c r="J124" s="416"/>
      <c r="K124" s="415" t="s">
        <v>13</v>
      </c>
      <c r="L124" s="432"/>
      <c r="M124" s="612"/>
      <c r="N124" s="430" t="s">
        <v>15</v>
      </c>
      <c r="O124" s="430"/>
      <c r="P124" s="430"/>
      <c r="Q124" s="430"/>
      <c r="R124" s="430"/>
      <c r="S124" s="14"/>
      <c r="AB124" s="343"/>
      <c r="AC124" s="510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408"/>
      <c r="D125" s="419"/>
      <c r="E125" s="420"/>
      <c r="F125" s="420"/>
      <c r="G125" s="420"/>
      <c r="H125" s="420"/>
      <c r="I125" s="417"/>
      <c r="J125" s="418"/>
      <c r="K125" s="613"/>
      <c r="L125" s="614"/>
      <c r="M125" s="615"/>
      <c r="N125" s="430"/>
      <c r="O125" s="430"/>
      <c r="P125" s="430"/>
      <c r="Q125" s="430"/>
      <c r="R125" s="430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408"/>
      <c r="D126" s="421" t="str">
        <f>IF(G123=AD123,AD131,"---")</f>
        <v>---</v>
      </c>
      <c r="E126" s="421"/>
      <c r="F126" s="421"/>
      <c r="G126" s="421"/>
      <c r="H126" s="422"/>
      <c r="I126" s="409" t="b">
        <f>E95</f>
        <v>0</v>
      </c>
      <c r="J126" s="410"/>
      <c r="K126" s="787">
        <v>10</v>
      </c>
      <c r="L126" s="616"/>
      <c r="M126" s="788"/>
      <c r="N126" s="620" t="s">
        <v>3</v>
      </c>
      <c r="O126" s="680" t="s">
        <v>539</v>
      </c>
      <c r="P126" s="815"/>
      <c r="Q126" s="815"/>
      <c r="R126" s="815"/>
      <c r="S126" s="722" t="str" cm="1">
        <f t="array" ref="S126">angleDecimal2Txt(AE126)</f>
        <v>+23°08.50 (+23.1416) [+23°08'30.00]</v>
      </c>
      <c r="T126" s="729"/>
      <c r="U126" s="729"/>
      <c r="V126" s="729"/>
      <c r="W126" s="729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408"/>
      <c r="D127" s="423"/>
      <c r="E127" s="423"/>
      <c r="F127" s="423"/>
      <c r="G127" s="423"/>
      <c r="H127" s="424"/>
      <c r="I127" s="411"/>
      <c r="J127" s="412"/>
      <c r="K127" s="767"/>
      <c r="L127" s="768"/>
      <c r="M127" s="769"/>
      <c r="N127" s="620"/>
      <c r="O127" s="793"/>
      <c r="P127" s="793"/>
      <c r="Q127" s="793"/>
      <c r="R127" s="793"/>
      <c r="S127" s="729"/>
      <c r="T127" s="729"/>
      <c r="U127" s="729"/>
      <c r="V127" s="729"/>
      <c r="W127" s="729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408"/>
      <c r="D128" s="423"/>
      <c r="E128" s="423"/>
      <c r="F128" s="423"/>
      <c r="G128" s="423"/>
      <c r="H128" s="424"/>
      <c r="I128" s="411"/>
      <c r="J128" s="412"/>
      <c r="K128" s="764">
        <v>11</v>
      </c>
      <c r="L128" s="765"/>
      <c r="M128" s="766"/>
      <c r="N128" s="620" t="s">
        <v>3</v>
      </c>
      <c r="O128" s="792" t="s">
        <v>540</v>
      </c>
      <c r="P128" s="793"/>
      <c r="Q128" s="793"/>
      <c r="R128" s="793"/>
      <c r="S128" s="722" t="str" cm="1">
        <f t="array" ref="S128">angleDecimal2Txt((AE127))</f>
        <v>+23°08.30 (+23.1383) [+23°08'18.00]</v>
      </c>
      <c r="T128" s="729"/>
      <c r="U128" s="729"/>
      <c r="V128" s="729"/>
      <c r="W128" s="729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408"/>
      <c r="D129" s="425" t="e" cm="1">
        <f t="array" ref="D129">latitudeDecimal2Txt(D126)</f>
        <v>#VALUE!</v>
      </c>
      <c r="E129" s="426"/>
      <c r="F129" s="426"/>
      <c r="G129" s="426"/>
      <c r="H129" s="426"/>
      <c r="I129" s="413"/>
      <c r="J129" s="414"/>
      <c r="K129" s="767"/>
      <c r="L129" s="768"/>
      <c r="M129" s="769"/>
      <c r="N129" s="620"/>
      <c r="O129" s="793"/>
      <c r="P129" s="793"/>
      <c r="Q129" s="793"/>
      <c r="R129" s="793"/>
      <c r="S129" s="729"/>
      <c r="T129" s="729"/>
      <c r="U129" s="729"/>
      <c r="V129" s="729"/>
      <c r="W129" s="729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427" t="s">
        <v>14</v>
      </c>
      <c r="D131" s="420" t="s">
        <v>9</v>
      </c>
      <c r="E131" s="420"/>
      <c r="F131" s="420"/>
      <c r="G131" s="420"/>
      <c r="H131" s="420"/>
      <c r="I131" s="415" t="s">
        <v>619</v>
      </c>
      <c r="J131" s="416"/>
      <c r="K131" s="415" t="s">
        <v>611</v>
      </c>
      <c r="L131" s="432"/>
      <c r="M131" s="612"/>
      <c r="N131" s="430" t="s">
        <v>16</v>
      </c>
      <c r="O131" s="430"/>
      <c r="P131" s="430"/>
      <c r="Q131" s="430"/>
      <c r="R131" s="430"/>
      <c r="S131" s="430" t="s">
        <v>131</v>
      </c>
      <c r="T131" s="430"/>
      <c r="U131" s="430"/>
      <c r="V131" s="430"/>
      <c r="W131" s="430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427"/>
      <c r="D132" s="420"/>
      <c r="E132" s="420"/>
      <c r="F132" s="420"/>
      <c r="G132" s="420"/>
      <c r="H132" s="420"/>
      <c r="I132" s="417"/>
      <c r="J132" s="418"/>
      <c r="K132" s="613"/>
      <c r="L132" s="614"/>
      <c r="M132" s="615"/>
      <c r="N132" s="430"/>
      <c r="O132" s="430"/>
      <c r="P132" s="430"/>
      <c r="Q132" s="430"/>
      <c r="R132" s="430"/>
      <c r="S132" s="430"/>
      <c r="T132" s="430"/>
      <c r="U132" s="430"/>
      <c r="V132" s="430"/>
      <c r="W132" s="430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427"/>
      <c r="D133" s="421" t="str">
        <f>IF(G123=AD124,AD137,"---")</f>
        <v>---</v>
      </c>
      <c r="E133" s="421"/>
      <c r="F133" s="421"/>
      <c r="G133" s="421"/>
      <c r="H133" s="421"/>
      <c r="I133" s="429" t="b">
        <f>E95</f>
        <v>0</v>
      </c>
      <c r="J133" s="429"/>
      <c r="K133" s="608">
        <v>0</v>
      </c>
      <c r="L133" s="608"/>
      <c r="M133" s="609"/>
      <c r="N133" s="620" t="s">
        <v>3</v>
      </c>
      <c r="O133" s="618" t="s">
        <v>610</v>
      </c>
      <c r="P133" s="619"/>
      <c r="Q133" s="619"/>
      <c r="R133" s="619"/>
      <c r="S133" s="620" t="s">
        <v>3</v>
      </c>
      <c r="T133" s="618">
        <f>0.2/60</f>
        <v>3.3333333333333335E-3</v>
      </c>
      <c r="U133" s="619"/>
      <c r="V133" s="619"/>
      <c r="W133" s="619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427"/>
      <c r="D134" s="423"/>
      <c r="E134" s="423"/>
      <c r="F134" s="423"/>
      <c r="G134" s="423"/>
      <c r="H134" s="423"/>
      <c r="I134" s="429"/>
      <c r="J134" s="429"/>
      <c r="K134" s="610"/>
      <c r="L134" s="610"/>
      <c r="M134" s="611"/>
      <c r="N134" s="620"/>
      <c r="O134" s="620"/>
      <c r="P134" s="620"/>
      <c r="Q134" s="620"/>
      <c r="R134" s="620"/>
      <c r="S134" s="620"/>
      <c r="T134" s="620"/>
      <c r="U134" s="620"/>
      <c r="V134" s="620"/>
      <c r="W134" s="620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427"/>
      <c r="D135" s="425" t="e" cm="1">
        <f t="array" ref="D135">latitudeDecimal2Txt(D133)</f>
        <v>#VALUE!</v>
      </c>
      <c r="E135" s="426"/>
      <c r="F135" s="426"/>
      <c r="G135" s="426"/>
      <c r="H135" s="640"/>
      <c r="I135" s="429"/>
      <c r="J135" s="429"/>
      <c r="K135" s="440" t="str" cm="1">
        <f t="array" ref="K135">heureDecimal2Txt(K133)</f>
        <v>00:00:00.00(00.0000)</v>
      </c>
      <c r="L135" s="440"/>
      <c r="M135" s="425"/>
      <c r="N135" s="557" t="str" cm="1">
        <f t="array" ref="N135">angleDecimal2Txt(AD134)</f>
        <v>+23°10.59 (+23.1766) [+23°10'36.00]</v>
      </c>
      <c r="O135" s="557"/>
      <c r="P135" s="557"/>
      <c r="Q135" s="557"/>
      <c r="R135" s="557"/>
      <c r="S135" s="557" t="str" cm="1">
        <f t="array" ref="S135">angleDecimal2Txt(AD136)</f>
        <v>+00°00.19 (+00.0033) [+00°00'11.99]</v>
      </c>
      <c r="T135" s="621"/>
      <c r="U135" s="621"/>
      <c r="V135" s="621"/>
      <c r="W135" s="621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537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427" t="s">
        <v>620</v>
      </c>
      <c r="D137" s="420" t="s">
        <v>9</v>
      </c>
      <c r="E137" s="420"/>
      <c r="F137" s="420"/>
      <c r="G137" s="420"/>
      <c r="H137" s="420"/>
      <c r="I137" s="522" t="s">
        <v>556</v>
      </c>
      <c r="J137" s="523"/>
      <c r="K137" s="523"/>
      <c r="L137" s="523"/>
      <c r="M137" s="524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427"/>
      <c r="D138" s="420"/>
      <c r="E138" s="420"/>
      <c r="F138" s="420"/>
      <c r="G138" s="420"/>
      <c r="H138" s="420"/>
      <c r="I138" s="782"/>
      <c r="J138" s="526"/>
      <c r="K138" s="526"/>
      <c r="L138" s="526"/>
      <c r="M138" s="527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427"/>
      <c r="D139" s="437">
        <f>IF(G123=AD122,AD140,"---")</f>
        <v>-14.728333333333333</v>
      </c>
      <c r="E139" s="423"/>
      <c r="F139" s="423"/>
      <c r="G139" s="423"/>
      <c r="H139" s="423"/>
      <c r="I139" s="791" t="s">
        <v>4</v>
      </c>
      <c r="J139" s="431" t="s">
        <v>618</v>
      </c>
      <c r="K139" s="431"/>
      <c r="L139" s="431"/>
      <c r="M139" s="431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427"/>
      <c r="D140" s="468"/>
      <c r="E140" s="469"/>
      <c r="F140" s="469"/>
      <c r="G140" s="469"/>
      <c r="H140" s="469"/>
      <c r="I140" s="791"/>
      <c r="J140" s="431"/>
      <c r="K140" s="431"/>
      <c r="L140" s="431"/>
      <c r="M140" s="431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427"/>
      <c r="D141" s="426" t="str" cm="1">
        <f t="array" ref="D141">latitudeDecimal2Txt(AD140)</f>
        <v>S 14°43.70 (S 14.7283) [S 14°43'42.00]</v>
      </c>
      <c r="E141" s="426"/>
      <c r="F141" s="426"/>
      <c r="G141" s="426"/>
      <c r="H141" s="426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82" t="s">
        <v>72</v>
      </c>
      <c r="E143" s="643"/>
      <c r="F143" s="647">
        <f>IF(G144=AD144,O181,O171)</f>
        <v>66.61762218419355</v>
      </c>
      <c r="G143" s="647"/>
      <c r="H143" s="647"/>
      <c r="I143" s="26"/>
      <c r="J143" s="26"/>
      <c r="K143" s="26"/>
      <c r="L143" s="26" t="s">
        <v>60</v>
      </c>
      <c r="M143" s="582">
        <f>O146</f>
        <v>66.95</v>
      </c>
      <c r="N143" s="582"/>
      <c r="O143" s="26"/>
      <c r="P143" s="60"/>
      <c r="Q143" s="26" t="s">
        <v>95</v>
      </c>
      <c r="R143" s="26"/>
      <c r="S143" s="625">
        <f>-O158+O153+O162</f>
        <v>-0.26927469176226565</v>
      </c>
      <c r="T143" s="626"/>
      <c r="U143" s="627"/>
      <c r="V143" s="1009" t="str" cm="1">
        <f t="array" ref="V143">angleDecimal2Txt(S143)</f>
        <v>-00°16.15 (-00.2692) [-00°16'09.38]</v>
      </c>
      <c r="W143" s="1010"/>
      <c r="X143" s="1010"/>
      <c r="Y143" s="1010"/>
      <c r="Z143" s="1011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86" t="s">
        <v>35</v>
      </c>
      <c r="D144" s="786"/>
      <c r="E144" s="786"/>
      <c r="F144" s="786"/>
      <c r="G144" s="513" t="s">
        <v>51</v>
      </c>
      <c r="H144" s="513"/>
      <c r="I144" s="513"/>
      <c r="P144" s="16" t="s">
        <v>69</v>
      </c>
      <c r="V144" s="14"/>
      <c r="W144" s="14"/>
      <c r="X144" s="14"/>
      <c r="Y144" s="14"/>
      <c r="Z144" s="14"/>
      <c r="AB144" s="324"/>
      <c r="AC144" s="1121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514" t="s">
        <v>62</v>
      </c>
      <c r="G145" s="514"/>
      <c r="H145" s="515"/>
      <c r="I145" s="515"/>
      <c r="J145" s="902">
        <f>IF(G144=AD144,"---",O171)</f>
        <v>66.61762218419355</v>
      </c>
      <c r="K145" s="903"/>
      <c r="L145" s="904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21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85" t="s">
        <v>47</v>
      </c>
      <c r="I146" s="586"/>
      <c r="J146" s="586"/>
      <c r="K146" s="586"/>
      <c r="L146" s="586"/>
      <c r="M146" s="586"/>
      <c r="N146" s="587"/>
      <c r="O146" s="565">
        <f>J110</f>
        <v>66.95</v>
      </c>
      <c r="P146" s="565"/>
      <c r="Q146" s="565"/>
      <c r="R146" s="565"/>
      <c r="S146" s="16" t="s">
        <v>54</v>
      </c>
      <c r="U146" s="455" t="str" cm="1">
        <f t="array" ref="U146">angleDecimal2Txt(O146)</f>
        <v>+66°57.00 (+66.9500) [+66°57'00.00]</v>
      </c>
      <c r="V146" s="471"/>
      <c r="W146" s="471"/>
      <c r="X146" s="471"/>
      <c r="Y146" s="471"/>
      <c r="Z146" s="472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85" t="s">
        <v>24</v>
      </c>
      <c r="I147" s="586"/>
      <c r="J147" s="586"/>
      <c r="K147" s="586"/>
      <c r="L147" s="586"/>
      <c r="M147" s="586"/>
      <c r="N147" s="587"/>
      <c r="O147" s="565">
        <f>J109</f>
        <v>2.1666666666666667E-2</v>
      </c>
      <c r="P147" s="565"/>
      <c r="Q147" s="565"/>
      <c r="R147" s="565"/>
      <c r="S147" s="16" t="s">
        <v>54</v>
      </c>
      <c r="U147" s="455" t="str" cm="1">
        <f t="array" ref="U147">angleDecimal2Txt(O147)</f>
        <v>+00°01.30 (+00.0216) [+00°01'18.00]</v>
      </c>
      <c r="V147" s="471"/>
      <c r="W147" s="471"/>
      <c r="X147" s="471"/>
      <c r="Y147" s="471"/>
      <c r="Z147" s="472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85" t="s">
        <v>68</v>
      </c>
      <c r="I148" s="586"/>
      <c r="J148" s="586"/>
      <c r="K148" s="586"/>
      <c r="L148" s="586"/>
      <c r="M148" s="586"/>
      <c r="N148" s="587"/>
      <c r="O148" s="592">
        <f>AD149</f>
        <v>4.1436457377531689E-2</v>
      </c>
      <c r="P148" s="592"/>
      <c r="Q148" s="592"/>
      <c r="R148" s="592"/>
      <c r="S148" s="16" t="s">
        <v>54</v>
      </c>
      <c r="U148" s="455" t="str" cm="1">
        <f t="array" ref="U148">angleDecimal2Txt(O148)</f>
        <v>+00°02.48 (+00.0414) [+00°02'29.17]</v>
      </c>
      <c r="V148" s="471"/>
      <c r="W148" s="471"/>
      <c r="X148" s="471"/>
      <c r="Y148" s="471"/>
      <c r="Z148" s="472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1015" t="s">
        <v>113</v>
      </c>
      <c r="N149" s="1015"/>
      <c r="O149" s="1015"/>
      <c r="P149" s="1015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817" t="s">
        <v>48</v>
      </c>
      <c r="I150" s="600"/>
      <c r="J150" s="600"/>
      <c r="K150" s="600"/>
      <c r="L150" s="600"/>
      <c r="M150" s="600"/>
      <c r="N150" s="601"/>
      <c r="O150" s="659">
        <f>O146-O147-O148</f>
        <v>66.886896875955813</v>
      </c>
      <c r="P150" s="555"/>
      <c r="Q150" s="16" t="s">
        <v>54</v>
      </c>
      <c r="R150" s="588">
        <f>O150*Outils!F4</f>
        <v>1.1673965769273382</v>
      </c>
      <c r="S150" s="588"/>
      <c r="T150" s="37" t="s">
        <v>64</v>
      </c>
      <c r="U150" s="455" t="str" cm="1">
        <f t="array" ref="U150">angleDecimal2Txt(O150)</f>
        <v>+66°53.21 (+66.8868) [+66°53'12.82]</v>
      </c>
      <c r="V150" s="471"/>
      <c r="W150" s="471"/>
      <c r="X150" s="471"/>
      <c r="Y150" s="471"/>
      <c r="Z150" s="472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32" t="s">
        <v>52</v>
      </c>
      <c r="I152" s="533"/>
      <c r="J152" s="533"/>
      <c r="K152" s="533"/>
      <c r="L152" s="533"/>
      <c r="M152" s="533"/>
      <c r="N152" s="534"/>
      <c r="O152" s="784">
        <f>J113</f>
        <v>2.8833333333333302E-3</v>
      </c>
      <c r="P152" s="785"/>
      <c r="Q152" s="785"/>
      <c r="R152" s="785"/>
      <c r="S152" s="16" t="s">
        <v>54</v>
      </c>
      <c r="T152" s="16"/>
      <c r="U152" s="455" t="str" cm="1">
        <f t="array" ref="U152">angleDecimal2Txt(O152)</f>
        <v>+00°00.17 (+00.0028) [+00°00'10.37]</v>
      </c>
      <c r="V152" s="471"/>
      <c r="W152" s="471"/>
      <c r="X152" s="471"/>
      <c r="Y152" s="471"/>
      <c r="Z152" s="472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599" t="s">
        <v>140</v>
      </c>
      <c r="I153" s="600"/>
      <c r="J153" s="600"/>
      <c r="K153" s="600"/>
      <c r="L153" s="600"/>
      <c r="M153" s="600"/>
      <c r="N153" s="601"/>
      <c r="O153" s="556">
        <f>AD152</f>
        <v>1.1318451843031951E-3</v>
      </c>
      <c r="P153" s="556"/>
      <c r="Q153" s="556"/>
      <c r="R153" s="556"/>
      <c r="S153" s="16" t="s">
        <v>54</v>
      </c>
      <c r="T153" s="16"/>
      <c r="U153" s="455" t="str" cm="1">
        <f t="array" ref="U153">angleDecimal2Txt(O153)</f>
        <v>+00°00.06 (+00.0011) [+00°00'04.07]</v>
      </c>
      <c r="V153" s="471"/>
      <c r="W153" s="471"/>
      <c r="X153" s="471"/>
      <c r="Y153" s="471"/>
      <c r="Z153" s="472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604" t="s">
        <v>126</v>
      </c>
      <c r="T155" s="605"/>
      <c r="U155" s="606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32" t="s">
        <v>65</v>
      </c>
      <c r="I156" s="533"/>
      <c r="J156" s="533"/>
      <c r="K156" s="533"/>
      <c r="L156" s="533"/>
      <c r="M156" s="533"/>
      <c r="N156" s="534"/>
      <c r="O156" s="590">
        <f>S156</f>
        <v>10</v>
      </c>
      <c r="P156" s="591"/>
      <c r="Q156" s="591"/>
      <c r="R156" s="591"/>
      <c r="S156" s="644">
        <v>10</v>
      </c>
      <c r="T156" s="645"/>
      <c r="U156" s="646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32" t="s">
        <v>66</v>
      </c>
      <c r="I157" s="533"/>
      <c r="J157" s="533"/>
      <c r="K157" s="533"/>
      <c r="L157" s="533"/>
      <c r="M157" s="533"/>
      <c r="N157" s="534"/>
      <c r="O157" s="590">
        <f>S157</f>
        <v>1010</v>
      </c>
      <c r="P157" s="591"/>
      <c r="Q157" s="591"/>
      <c r="R157" s="591"/>
      <c r="S157" s="644">
        <v>1010</v>
      </c>
      <c r="T157" s="645"/>
      <c r="U157" s="646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599" t="s">
        <v>141</v>
      </c>
      <c r="I158" s="600"/>
      <c r="J158" s="600"/>
      <c r="K158" s="600"/>
      <c r="L158" s="600"/>
      <c r="M158" s="600"/>
      <c r="N158" s="601"/>
      <c r="O158" s="556">
        <f>AD159</f>
        <v>7.0732034465688749E-3</v>
      </c>
      <c r="P158" s="556"/>
      <c r="Q158" s="556"/>
      <c r="R158" s="556"/>
      <c r="S158" s="16" t="s">
        <v>54</v>
      </c>
      <c r="T158" s="16"/>
      <c r="U158" s="455" t="str" cm="1">
        <f t="array" ref="U158">angleDecimal2Txt(O158)</f>
        <v>+00°00.42 (+00.0070) [+00°00'25.46]</v>
      </c>
      <c r="V158" s="471"/>
      <c r="W158" s="471"/>
      <c r="X158" s="471"/>
      <c r="Y158" s="471"/>
      <c r="Z158" s="472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32" t="s">
        <v>100</v>
      </c>
      <c r="I160" s="533"/>
      <c r="J160" s="533"/>
      <c r="K160" s="533"/>
      <c r="L160" s="533"/>
      <c r="M160" s="533"/>
      <c r="N160" s="534"/>
      <c r="O160" s="589">
        <f>J117</f>
        <v>0.52666666699999998</v>
      </c>
      <c r="P160" s="589"/>
      <c r="Q160" s="589"/>
      <c r="R160" s="589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32" t="s">
        <v>70</v>
      </c>
      <c r="I161" s="533"/>
      <c r="J161" s="533"/>
      <c r="K161" s="533"/>
      <c r="L161" s="533"/>
      <c r="M161" s="533"/>
      <c r="N161" s="534"/>
      <c r="O161" s="589" t="str">
        <f>J112</f>
        <v>BordSup</v>
      </c>
      <c r="P161" s="589"/>
      <c r="Q161" s="589"/>
      <c r="R161" s="589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56" t="str">
        <f>J111</f>
        <v>Soleil</v>
      </c>
      <c r="AE161" s="556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599" t="s">
        <v>71</v>
      </c>
      <c r="I162" s="600"/>
      <c r="J162" s="600"/>
      <c r="K162" s="600"/>
      <c r="L162" s="600"/>
      <c r="M162" s="600"/>
      <c r="N162" s="601"/>
      <c r="O162" s="602">
        <f>AD165</f>
        <v>-0.26333333349999999</v>
      </c>
      <c r="P162" s="602"/>
      <c r="Q162" s="602"/>
      <c r="R162" s="602"/>
      <c r="S162" s="16" t="s">
        <v>54</v>
      </c>
      <c r="T162" s="16"/>
      <c r="U162" s="455" t="str" cm="1">
        <f t="array" ref="U162">angleDecimal2Txt(O162)</f>
        <v>-00°15.80 (-00.2633) [-00°15'48.00]</v>
      </c>
      <c r="V162" s="471"/>
      <c r="W162" s="471"/>
      <c r="X162" s="471"/>
      <c r="Y162" s="471"/>
      <c r="Z162" s="472"/>
      <c r="AA162" s="16"/>
      <c r="AB162" s="324"/>
      <c r="AC162" s="292" t="s">
        <v>190</v>
      </c>
      <c r="AD162" s="556" t="str">
        <f>O161</f>
        <v>BordSup</v>
      </c>
      <c r="AE162" s="556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53">
        <f>HLOOKUP(AD162,AD116:AF117,2)</f>
        <v>0</v>
      </c>
      <c r="AE163" s="653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45" t="s">
        <v>107</v>
      </c>
      <c r="H164" s="546"/>
      <c r="I164" s="546"/>
      <c r="J164" s="546"/>
      <c r="K164" s="546"/>
      <c r="L164" s="546"/>
      <c r="M164" s="546"/>
      <c r="N164" s="546"/>
      <c r="O164" s="546"/>
      <c r="P164" s="546"/>
      <c r="Q164" s="546"/>
      <c r="R164" s="546"/>
      <c r="S164" s="547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409" t="s">
        <v>115</v>
      </c>
      <c r="H165" s="410"/>
      <c r="I165" s="516" t="s">
        <v>110</v>
      </c>
      <c r="J165" s="517"/>
      <c r="K165" s="517"/>
      <c r="L165" s="517"/>
      <c r="M165" s="517"/>
      <c r="N165" s="518"/>
      <c r="O165" s="550">
        <f>(O153-O158-O148+O160/2) * 60</f>
        <v>12.957331071612156</v>
      </c>
      <c r="P165" s="543"/>
      <c r="Q165" s="543"/>
      <c r="R165" s="543"/>
      <c r="S165" s="548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53" cm="1">
        <f t="array" ref="AD165">astroDiametreSoleilEnDegre($AA$6,AD162)</f>
        <v>-0.26333333349999999</v>
      </c>
      <c r="AE165" s="653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413"/>
      <c r="H166" s="414"/>
      <c r="I166" s="519" t="s">
        <v>114</v>
      </c>
      <c r="J166" s="520"/>
      <c r="K166" s="520"/>
      <c r="L166" s="520"/>
      <c r="M166" s="520"/>
      <c r="N166" s="521"/>
      <c r="O166" s="551"/>
      <c r="P166" s="544"/>
      <c r="Q166" s="544"/>
      <c r="R166" s="544"/>
      <c r="S166" s="549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516" t="s">
        <v>111</v>
      </c>
      <c r="J167" s="517"/>
      <c r="K167" s="517"/>
      <c r="L167" s="517"/>
      <c r="M167" s="517"/>
      <c r="N167" s="518"/>
      <c r="O167" s="543">
        <f>(O153-O158+O160/2)*60</f>
        <v>15.44351851426406</v>
      </c>
      <c r="P167" s="543"/>
      <c r="Q167" s="543"/>
      <c r="R167" s="543"/>
      <c r="S167" s="548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19" t="s">
        <v>112</v>
      </c>
      <c r="J168" s="520"/>
      <c r="K168" s="520"/>
      <c r="L168" s="520"/>
      <c r="M168" s="520"/>
      <c r="N168" s="521"/>
      <c r="O168" s="544"/>
      <c r="P168" s="544"/>
      <c r="Q168" s="544"/>
      <c r="R168" s="544"/>
      <c r="S168" s="549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818" t="s">
        <v>71</v>
      </c>
      <c r="J169" s="819"/>
      <c r="K169" s="819"/>
      <c r="L169" s="819"/>
      <c r="M169" s="819"/>
      <c r="N169" s="820"/>
      <c r="O169" s="535">
        <f>O162*60</f>
        <v>-15.80000001</v>
      </c>
      <c r="P169" s="536"/>
      <c r="Q169" s="536"/>
      <c r="R169" s="536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52" t="s">
        <v>142</v>
      </c>
      <c r="I171" s="553"/>
      <c r="J171" s="553"/>
      <c r="K171" s="553"/>
      <c r="L171" s="553"/>
      <c r="M171" s="553"/>
      <c r="N171" s="554"/>
      <c r="O171" s="555">
        <f>O150-O158+O153+O162</f>
        <v>66.61762218419355</v>
      </c>
      <c r="P171" s="556"/>
      <c r="Q171" s="556"/>
      <c r="R171" s="556"/>
      <c r="S171" s="16" t="s">
        <v>54</v>
      </c>
      <c r="T171" s="16"/>
      <c r="U171" s="455" t="str" cm="1">
        <f t="array" ref="U171">angleDecimal2Txt(O171)</f>
        <v>+66°37.05 (+66.6176) [+66°37'03.43]</v>
      </c>
      <c r="V171" s="471"/>
      <c r="W171" s="471"/>
      <c r="X171" s="471"/>
      <c r="Y171" s="471"/>
      <c r="Z171" s="472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514" t="s">
        <v>63</v>
      </c>
      <c r="G173" s="514"/>
      <c r="H173" s="514"/>
      <c r="I173" s="514"/>
      <c r="J173" s="659" t="str">
        <f>IF(G144=AD144,O181,"---")</f>
        <v>---</v>
      </c>
      <c r="K173" s="660"/>
      <c r="L173" s="555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811" t="s">
        <v>33</v>
      </c>
      <c r="V175" s="811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811" t="s">
        <v>80</v>
      </c>
      <c r="V176" s="811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79" t="s">
        <v>75</v>
      </c>
      <c r="L177" s="16" t="s">
        <v>59</v>
      </c>
      <c r="M177" s="16"/>
      <c r="N177" s="779" t="s">
        <v>77</v>
      </c>
      <c r="O177" s="40" t="s">
        <v>230</v>
      </c>
      <c r="P177" s="16"/>
      <c r="Q177" s="779" t="s">
        <v>77</v>
      </c>
      <c r="R177" s="16" t="s">
        <v>231</v>
      </c>
      <c r="S177" s="16"/>
      <c r="T177" s="99" t="s">
        <v>79</v>
      </c>
      <c r="U177" s="812" t="s">
        <v>81</v>
      </c>
      <c r="V177" s="812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79"/>
      <c r="L178" s="537">
        <f>O147</f>
        <v>2.1666666666666667E-2</v>
      </c>
      <c r="M178" s="538"/>
      <c r="N178" s="779"/>
      <c r="O178" s="541" t="s">
        <v>146</v>
      </c>
      <c r="P178" s="542"/>
      <c r="Q178" s="779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229</v>
      </c>
      <c r="L179" s="539" cm="1">
        <f t="array" ref="L179">angleConvert2Decimal(L178)</f>
        <v>2.1666666666666699E-2</v>
      </c>
      <c r="M179" s="540"/>
      <c r="N179" s="16"/>
      <c r="O179" s="583" cm="1">
        <f t="array" ref="O179">angleConvert2Decimal(O178)</f>
        <v>0.17166666666666669</v>
      </c>
      <c r="P179" s="584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55" t="str" cm="1">
        <f t="array" ref="W179">angleDecimal2Txt(V179)</f>
        <v>-00°21.69 (-00.3616) [-00°21'42.00]</v>
      </c>
      <c r="X179" s="471"/>
      <c r="Y179" s="471"/>
      <c r="Z179" s="471"/>
      <c r="AA179" s="472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52" t="s">
        <v>145</v>
      </c>
      <c r="I181" s="553"/>
      <c r="J181" s="553"/>
      <c r="K181" s="553"/>
      <c r="L181" s="553"/>
      <c r="M181" s="553"/>
      <c r="N181" s="554"/>
      <c r="O181" s="555">
        <f>J178-L179+O179+R179</f>
        <v>66.566666666666677</v>
      </c>
      <c r="P181" s="556"/>
      <c r="Q181" s="556"/>
      <c r="R181" s="556"/>
      <c r="S181" s="16" t="s">
        <v>54</v>
      </c>
      <c r="T181" s="16"/>
      <c r="U181" s="455" t="str" cm="1">
        <f t="array" ref="U181">angleDecimal2Txt(O181)</f>
        <v>+66°34.00 (+66.5666) [+66°34'00.00]</v>
      </c>
      <c r="V181" s="471"/>
      <c r="W181" s="471"/>
      <c r="X181" s="471"/>
      <c r="Y181" s="471"/>
      <c r="Z181" s="472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1017" t="s">
        <v>254</v>
      </c>
      <c r="C183" s="1018"/>
      <c r="D183" s="1018"/>
      <c r="E183" s="1018"/>
      <c r="F183" s="1018"/>
      <c r="G183" s="1018"/>
      <c r="H183" s="1018"/>
      <c r="I183" s="1018"/>
      <c r="J183" s="1018"/>
      <c r="K183" s="1018"/>
      <c r="L183" s="1018"/>
      <c r="M183" s="1018"/>
      <c r="N183" s="1018"/>
      <c r="O183" s="1018"/>
      <c r="P183" s="1018"/>
      <c r="Q183" s="1018"/>
      <c r="R183" s="1018"/>
      <c r="S183" s="1018"/>
      <c r="T183" s="1018"/>
      <c r="U183" s="1018"/>
      <c r="V183" s="1018"/>
      <c r="W183" s="1018"/>
      <c r="X183" s="1018"/>
      <c r="Y183" s="1018"/>
      <c r="Z183" s="1018"/>
      <c r="AA183" s="1018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93" t="s">
        <v>256</v>
      </c>
      <c r="F185" s="594"/>
      <c r="G185" s="594"/>
      <c r="H185" s="594"/>
      <c r="I185" s="436">
        <f>90-Q186</f>
        <v>23.38237781580645</v>
      </c>
      <c r="J185" s="421"/>
      <c r="K185" s="421"/>
      <c r="L185" s="421"/>
      <c r="M185" s="422"/>
      <c r="N185" s="16"/>
      <c r="O185" s="1023" t="s">
        <v>255</v>
      </c>
      <c r="P185" s="1024"/>
      <c r="Q185" s="1025"/>
      <c r="R185" s="1025"/>
      <c r="S185" s="1025"/>
      <c r="T185" s="1026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95"/>
      <c r="F186" s="596"/>
      <c r="G186" s="596"/>
      <c r="H186" s="596"/>
      <c r="I186" s="468"/>
      <c r="J186" s="469"/>
      <c r="K186" s="469"/>
      <c r="L186" s="469"/>
      <c r="M186" s="470"/>
      <c r="N186" s="48" t="s">
        <v>116</v>
      </c>
      <c r="O186" s="907" t="s">
        <v>72</v>
      </c>
      <c r="P186" s="1028"/>
      <c r="Q186" s="731">
        <f>F143</f>
        <v>66.61762218419355</v>
      </c>
      <c r="R186" s="732"/>
      <c r="S186" s="732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597"/>
      <c r="F187" s="598"/>
      <c r="G187" s="598"/>
      <c r="H187" s="598"/>
      <c r="I187" s="455" t="str" cm="1">
        <f t="array" ref="I187">angleDecimal2Txt(I185)</f>
        <v>+23°22.94 (+23.3823) [+23°22'56.56]</v>
      </c>
      <c r="J187" s="471"/>
      <c r="K187" s="471"/>
      <c r="L187" s="471"/>
      <c r="M187" s="472"/>
      <c r="N187" s="16"/>
      <c r="O187" s="907" t="s">
        <v>84</v>
      </c>
      <c r="P187" s="1028"/>
      <c r="Q187" s="731">
        <f>F129</f>
        <v>0</v>
      </c>
      <c r="R187" s="732"/>
      <c r="S187" s="732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584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1019" t="s">
        <v>212</v>
      </c>
      <c r="F190" s="1020"/>
      <c r="G190" s="1020"/>
      <c r="H190" s="1020"/>
      <c r="I190" s="1020"/>
      <c r="J190" s="1020"/>
      <c r="K190" s="1020"/>
      <c r="L190" s="1020"/>
      <c r="M190" s="1020"/>
      <c r="N190" s="1020"/>
      <c r="O190" s="1021"/>
      <c r="Q190" s="565" t="s">
        <v>586</v>
      </c>
      <c r="R190" s="565"/>
      <c r="S190" s="565"/>
      <c r="T190" s="1027" t="str">
        <f>IF(T191&gt;T192,AC189,AC190)</f>
        <v>Soleil au Nord</v>
      </c>
      <c r="U190" s="1027"/>
      <c r="V190" s="1049" t="str">
        <f>IF(VLOOKUP(T190,AC189:AD190,2,FALSE)&lt;0,"Le soleil est au sud, et le nord est dans le dos","Le soleil est au nord, et le sud est dans le dos")</f>
        <v>Le soleil est au nord, et le sud est dans le dos</v>
      </c>
      <c r="W190" s="1049"/>
      <c r="X190" s="1049"/>
      <c r="Y190" s="1049"/>
      <c r="Z190" s="1049"/>
      <c r="AA190" s="1049"/>
      <c r="AB190" s="324"/>
      <c r="AC190" s="14" t="s">
        <v>583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78"/>
      <c r="F191" s="778" t="s">
        <v>214</v>
      </c>
      <c r="G191" s="778"/>
      <c r="H191" s="778"/>
      <c r="I191" s="778"/>
      <c r="J191" s="778"/>
      <c r="K191" s="476" t="s">
        <v>216</v>
      </c>
      <c r="L191" s="1022"/>
      <c r="M191" s="1022"/>
      <c r="N191" s="1022"/>
      <c r="O191" s="477"/>
      <c r="Q191" s="565" t="s">
        <v>85</v>
      </c>
      <c r="R191" s="565"/>
      <c r="S191" s="565"/>
      <c r="T191" s="1027">
        <f>F125</f>
        <v>0</v>
      </c>
      <c r="U191" s="1027"/>
      <c r="V191" s="1049" t="str">
        <f>CONCATENATE("Lat et Dec - Meme sens ?: ",AC191)</f>
        <v>Lat et Dec - Meme sens ?: FALSE</v>
      </c>
      <c r="W191" s="1049"/>
      <c r="X191" s="1049"/>
      <c r="Y191" s="1049"/>
      <c r="Z191" s="1049"/>
      <c r="AA191" s="1049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78"/>
      <c r="F192" s="778" t="s">
        <v>215</v>
      </c>
      <c r="G192" s="778"/>
      <c r="H192" s="778"/>
      <c r="I192" s="778"/>
      <c r="J192" s="778"/>
      <c r="K192" s="476" t="s">
        <v>217</v>
      </c>
      <c r="L192" s="1022"/>
      <c r="M192" s="1022"/>
      <c r="N192" s="1022"/>
      <c r="O192" s="477"/>
      <c r="Q192" s="565" t="s">
        <v>84</v>
      </c>
      <c r="R192" s="565"/>
      <c r="S192" s="565"/>
      <c r="T192" s="1027">
        <f>Q187</f>
        <v>0</v>
      </c>
      <c r="U192" s="1027"/>
      <c r="V192" s="1049" t="str">
        <f>CONCATENATE("Lat &gt; Dec  ? : ",AC192)</f>
        <v>Lat &gt; Dec  ? : FALSE</v>
      </c>
      <c r="W192" s="1049"/>
      <c r="X192" s="1049"/>
      <c r="Y192" s="1049"/>
      <c r="Z192" s="1049"/>
      <c r="AA192" s="1049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1029" t="s">
        <v>213</v>
      </c>
      <c r="F193" s="1029"/>
      <c r="G193" s="1029"/>
      <c r="H193" s="1029"/>
      <c r="I193" s="1029"/>
      <c r="J193" s="1029"/>
      <c r="K193" s="476" t="s">
        <v>218</v>
      </c>
      <c r="L193" s="1022"/>
      <c r="M193" s="1022"/>
      <c r="N193" s="1022"/>
      <c r="O193" s="477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35" t="s">
        <v>211</v>
      </c>
      <c r="I196" s="736"/>
      <c r="J196" s="736"/>
      <c r="K196" s="736"/>
      <c r="L196" s="1016"/>
      <c r="M196" s="1037" cm="1">
        <f t="array" ref="M196">astroCalculLatitude(VLOOKUP(T190,AC189:AD190,2,FALSE),T192,Q186)</f>
        <v>-23.38237781580645</v>
      </c>
      <c r="N196" s="1038"/>
      <c r="O196" s="216" t="s">
        <v>28</v>
      </c>
      <c r="P196" s="1039" t="str">
        <f>latitudeDecimal2Txt(M196)</f>
        <v>S 23°22.94 (S 23.3823) [S 23°22'56.56]</v>
      </c>
      <c r="Q196" s="1040"/>
      <c r="R196" s="1040"/>
      <c r="S196" s="1040"/>
      <c r="T196" s="1040"/>
      <c r="U196" s="1040"/>
      <c r="V196" t="s">
        <v>589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43">
        <f>IF(AC191,IF(AC192,I185+T192,T192-I185),I185-T192)</f>
        <v>23.38237781580645</v>
      </c>
      <c r="N197" s="1144"/>
      <c r="O197" s="289" t="s">
        <v>28</v>
      </c>
      <c r="P197" s="1145" t="str">
        <f>latitudeDecimal2Txt(M197)</f>
        <v>N 23°22.94 (N 23.3823) [N 23°22'56.56]</v>
      </c>
      <c r="Q197" s="1146"/>
      <c r="R197" s="1146"/>
      <c r="S197" s="1146"/>
      <c r="T197" s="1146"/>
      <c r="U197" s="1146"/>
      <c r="V197" s="16" t="s">
        <v>588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35" t="s">
        <v>171</v>
      </c>
      <c r="I198" s="736"/>
      <c r="J198" s="736"/>
      <c r="K198" s="736"/>
      <c r="L198" s="1016"/>
      <c r="M198" s="1122">
        <f>Q100</f>
        <v>-8.3406952777777423</v>
      </c>
      <c r="N198" s="1123"/>
      <c r="O198" s="288" t="s">
        <v>28</v>
      </c>
      <c r="P198" s="1124" t="str">
        <f>longitudeDecimal2Txt(M198)</f>
        <v>W 08°20.44 (W 08.3406) [W 08°20'26.50]</v>
      </c>
      <c r="Q198" s="622"/>
      <c r="R198" s="622"/>
      <c r="S198" s="622"/>
      <c r="T198" s="622"/>
      <c r="U198" s="622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232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73" t="s">
        <v>233</v>
      </c>
      <c r="D202" s="773"/>
      <c r="E202" s="773"/>
      <c r="F202" s="773"/>
      <c r="G202" s="103"/>
      <c r="H202" s="773" t="s">
        <v>234</v>
      </c>
      <c r="I202" s="773"/>
      <c r="J202" s="773"/>
      <c r="K202" s="16"/>
      <c r="L202" s="1030" t="s">
        <v>223</v>
      </c>
      <c r="M202" s="1030"/>
      <c r="N202" s="1030"/>
      <c r="O202" s="16"/>
      <c r="P202" s="16"/>
      <c r="Q202" s="822" t="s">
        <v>235</v>
      </c>
      <c r="R202" s="822"/>
      <c r="S202" s="822"/>
      <c r="T202" s="822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78">
        <f>M196</f>
        <v>-23.38237781580645</v>
      </c>
      <c r="F203" s="778"/>
      <c r="G203" s="59"/>
      <c r="H203" s="16"/>
      <c r="I203" s="778" t="str">
        <f>V190</f>
        <v>Le soleil est au nord, et le sud est dans le dos</v>
      </c>
      <c r="J203" s="778"/>
      <c r="K203" s="16" t="s">
        <v>104</v>
      </c>
      <c r="L203" s="16"/>
      <c r="M203" s="778">
        <v>180</v>
      </c>
      <c r="N203" s="778"/>
      <c r="O203" s="16"/>
      <c r="P203" s="16"/>
      <c r="Q203" s="16"/>
      <c r="R203" s="128" t="s">
        <v>41</v>
      </c>
      <c r="S203" s="641">
        <f>E203</f>
        <v>-23.38237781580645</v>
      </c>
      <c r="T203" s="641"/>
      <c r="U203" s="640" t="str" cm="1">
        <f t="array" ref="U203">latitudeDecimal2Txt(S203)</f>
        <v>S 23°22.94 (S 23.3823) [S 23°22'56.56]</v>
      </c>
      <c r="V203" s="440"/>
      <c r="W203" s="440"/>
      <c r="X203" s="440"/>
      <c r="Y203" s="440"/>
      <c r="Z203" s="425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78">
        <f>M198</f>
        <v>-8.3406952777777423</v>
      </c>
      <c r="F204" s="778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822" t="s">
        <v>236</v>
      </c>
      <c r="R205" s="822"/>
      <c r="S205" s="822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641">
        <f>M203-90</f>
        <v>90</v>
      </c>
      <c r="S206" s="641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240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72" t="s">
        <v>235</v>
      </c>
      <c r="D211" s="772"/>
      <c r="E211" s="772"/>
      <c r="F211" s="772"/>
      <c r="G211" s="90"/>
      <c r="H211" s="16"/>
      <c r="I211" s="16"/>
      <c r="J211" s="16"/>
      <c r="K211" s="16"/>
      <c r="L211" s="16"/>
      <c r="Q211" s="104" t="s">
        <v>241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64">
        <f>I221</f>
        <v>0</v>
      </c>
      <c r="F212" s="564"/>
      <c r="G212" s="426" t="str" cm="1">
        <f t="array" ref="G212">latitudeDecimal2Txt(E212)</f>
        <v>N 00°00.00 (N 00.0000) [N 00°00'00.00]</v>
      </c>
      <c r="H212" s="426"/>
      <c r="I212" s="426"/>
      <c r="J212" s="426"/>
      <c r="K212" s="426"/>
      <c r="L212" s="426"/>
      <c r="R212" s="128" t="s">
        <v>41</v>
      </c>
      <c r="S212" s="641">
        <f>AG215</f>
        <v>-23.38237781580645</v>
      </c>
      <c r="T212" s="641"/>
      <c r="U212" s="426" t="str" cm="1">
        <f t="array" ref="U212">latitudeDecimal2Txt(S212)</f>
        <v>S 23°22.94 (S 23.3823) [S 23°22'56.56]</v>
      </c>
      <c r="V212" s="426"/>
      <c r="W212" s="426"/>
      <c r="X212" s="426"/>
      <c r="Y212" s="426"/>
      <c r="Z212" s="426"/>
      <c r="AC212" s="299" t="s">
        <v>272</v>
      </c>
      <c r="AD212" s="300">
        <f>D216</f>
        <v>30</v>
      </c>
    </row>
    <row r="213" spans="2:33" ht="17.25" customHeight="1" thickTop="1" thickBot="1">
      <c r="D213" s="129" t="s">
        <v>42</v>
      </c>
      <c r="E213" s="564">
        <v>-7</v>
      </c>
      <c r="F213" s="564"/>
      <c r="G213" s="426" t="str" cm="1">
        <f t="array" ref="G213">longitudeDecimal2Txt(E213)</f>
        <v>W 07°00.00 (W 07.0000) [W 07°00'00.00]</v>
      </c>
      <c r="H213" s="426"/>
      <c r="I213" s="426"/>
      <c r="J213" s="426"/>
      <c r="K213" s="426"/>
      <c r="L213" s="426"/>
      <c r="R213" s="128" t="s">
        <v>42</v>
      </c>
      <c r="S213" s="641">
        <f>AG216</f>
        <v>-20.499822126249384</v>
      </c>
      <c r="T213" s="641"/>
      <c r="U213" s="426" t="str" cm="1">
        <f t="array" ref="U213">longitudeDecimal2Txt(S213)</f>
        <v>W 20°29.98 (W 20.4998) [W 20°29'59.35]</v>
      </c>
      <c r="V213" s="426"/>
      <c r="W213" s="426"/>
      <c r="X213" s="426"/>
      <c r="Y213" s="426"/>
      <c r="Z213" s="426"/>
      <c r="AC213" s="299" t="s">
        <v>592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591</v>
      </c>
      <c r="AD214" s="300">
        <f>E213</f>
        <v>-7</v>
      </c>
    </row>
    <row r="215" spans="2:33" ht="17.25" customHeight="1">
      <c r="C215" s="772" t="s">
        <v>236</v>
      </c>
      <c r="D215" s="772"/>
      <c r="E215" s="772"/>
      <c r="F215" s="108"/>
      <c r="G215" s="16"/>
      <c r="H215" s="16"/>
      <c r="I215" s="16"/>
      <c r="J215" s="16"/>
      <c r="K215" s="16"/>
      <c r="L215" s="16"/>
      <c r="AC215" s="299" t="s">
        <v>242</v>
      </c>
      <c r="AD215" s="299">
        <f>TAN(AD212*Outils!F37) * (1 / COS(AD213*Outils!F37))</f>
        <v>0</v>
      </c>
      <c r="AE215" s="1125" t="s">
        <v>278</v>
      </c>
      <c r="AF215" s="1125"/>
      <c r="AG215" s="301">
        <f>S203</f>
        <v>-23.38237781580645</v>
      </c>
    </row>
    <row r="216" spans="2:33" ht="17.25" customHeight="1">
      <c r="D216" s="564">
        <v>30</v>
      </c>
      <c r="E216" s="564"/>
      <c r="F216" s="130" t="s">
        <v>28</v>
      </c>
      <c r="G216" s="16"/>
      <c r="H216" s="16"/>
      <c r="I216" s="16"/>
      <c r="J216" s="16"/>
      <c r="K216" s="16"/>
      <c r="L216" s="16"/>
      <c r="AC216" s="299" t="s">
        <v>243</v>
      </c>
      <c r="AD216" s="299">
        <f>AD214-AD213*AD215</f>
        <v>-7</v>
      </c>
      <c r="AE216" s="1125"/>
      <c r="AF216" s="1125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535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512" t="s">
        <v>1</v>
      </c>
      <c r="C224" s="512"/>
      <c r="D224" s="512" t="e">
        <f>#REF!</f>
        <v>#REF!</v>
      </c>
      <c r="E224" s="512"/>
      <c r="F224" s="512"/>
      <c r="G224" s="512"/>
      <c r="H224" s="234" t="s">
        <v>2</v>
      </c>
      <c r="I224" s="512" t="e">
        <f>#REF!</f>
        <v>#REF!</v>
      </c>
      <c r="J224" s="512"/>
      <c r="K224" s="512"/>
      <c r="L224" s="512"/>
      <c r="AB224" s="327"/>
    </row>
    <row r="225" spans="2:65">
      <c r="B225" s="558" t="s">
        <v>30</v>
      </c>
      <c r="C225" s="558"/>
      <c r="D225" s="887" t="s">
        <v>430</v>
      </c>
      <c r="E225" s="887"/>
      <c r="F225" s="887"/>
      <c r="G225" s="887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400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41" t="s">
        <v>474</v>
      </c>
      <c r="D228" s="441"/>
      <c r="E228" s="442" t="str">
        <f>P110</f>
        <v>+66°57.00 (+66.9500) [+66°57'00.00]</v>
      </c>
      <c r="F228" s="441"/>
      <c r="G228" s="441"/>
      <c r="H228" s="441"/>
      <c r="I228" s="441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43" t="s">
        <v>70</v>
      </c>
      <c r="D229" s="443"/>
      <c r="E229" s="443" t="str">
        <f>M112</f>
        <v>BordSup</v>
      </c>
      <c r="F229" s="443"/>
      <c r="G229" s="443"/>
      <c r="H229" s="443"/>
      <c r="I229" s="443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511" t="s">
        <v>402</v>
      </c>
      <c r="D230" s="511"/>
      <c r="E230" s="443" t="str">
        <f>P109</f>
        <v>+00°01.30 (+00.0216) [+00°01'18.00]</v>
      </c>
      <c r="F230" s="463"/>
      <c r="G230" s="463"/>
      <c r="H230" s="463"/>
      <c r="I230" s="463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512" t="s">
        <v>403</v>
      </c>
      <c r="D231" s="512"/>
      <c r="E231" s="464" t="str">
        <f>CONCATENATE(M108, " m")</f>
        <v>2 m</v>
      </c>
      <c r="F231" s="464"/>
      <c r="G231" s="464"/>
      <c r="H231" s="464"/>
      <c r="I231" s="464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48" t="str">
        <f>U150</f>
        <v>+66°53.21 (+66.8868) [+66°53'12.82]</v>
      </c>
      <c r="F232" s="448"/>
      <c r="G232" s="448"/>
      <c r="H232" s="448"/>
      <c r="I232" s="448"/>
      <c r="J232" s="448" t="s">
        <v>475</v>
      </c>
      <c r="K232" s="448"/>
      <c r="L232" s="448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45" t="s">
        <v>403</v>
      </c>
      <c r="G233" s="447"/>
      <c r="H233" s="473" t="str">
        <f>U148</f>
        <v>+00°02.48 (+00.0414) [+00°02'29.17]</v>
      </c>
      <c r="I233" s="480"/>
      <c r="J233" s="480"/>
      <c r="K233" s="480"/>
      <c r="L233" s="480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60" t="s">
        <v>410</v>
      </c>
      <c r="G234" s="460"/>
      <c r="H234" s="473" t="str">
        <f>U158</f>
        <v>+00°00.42 (+00.0070) [+00°00'25.46]</v>
      </c>
      <c r="I234" s="480"/>
      <c r="J234" s="480"/>
      <c r="K234" s="480"/>
      <c r="L234" s="480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60" t="s">
        <v>411</v>
      </c>
      <c r="G235" s="460"/>
      <c r="H235" s="460" t="str">
        <f>U153</f>
        <v>+00°00.06 (+00.0011) [+00°00'04.07]</v>
      </c>
      <c r="I235" s="460"/>
      <c r="J235" s="460"/>
      <c r="K235" s="460"/>
      <c r="L235" s="460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60" t="s">
        <v>100</v>
      </c>
      <c r="G236" s="460"/>
      <c r="H236" s="460" t="str" cm="1">
        <f t="array" ref="H236">angleDecimal2Txt(O160)</f>
        <v>+00°31.60 (+00.5266) [+00°31'36.00]</v>
      </c>
      <c r="I236" s="460"/>
      <c r="J236" s="460"/>
      <c r="K236" s="460"/>
      <c r="L236" s="460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60" t="s">
        <v>71</v>
      </c>
      <c r="G237" s="460"/>
      <c r="H237" s="460" t="str">
        <f>U162</f>
        <v>-00°15.80 (-00.2633) [-00°15'48.00]</v>
      </c>
      <c r="I237" s="460"/>
      <c r="J237" s="460"/>
      <c r="K237" s="460"/>
      <c r="L237" s="460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48" t="str" cm="1">
        <f t="array" ref="E238">angleDecimal2Txt(F143)</f>
        <v>+66°37.05 (+66.6176) [+66°37'03.43]</v>
      </c>
      <c r="F238" s="448"/>
      <c r="G238" s="448"/>
      <c r="H238" s="448"/>
      <c r="I238" s="448"/>
      <c r="J238" s="448" t="s">
        <v>476</v>
      </c>
      <c r="K238" s="448"/>
      <c r="L238" s="448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60" t="str" cm="1">
        <f t="array" ref="F239">angleDecimal2Txt(O153-O158-O148)</f>
        <v>-00°02.84 (-00.0473) [-00°02'50.56]</v>
      </c>
      <c r="G239" s="460"/>
      <c r="H239" s="460"/>
      <c r="I239" s="460"/>
      <c r="J239" s="460"/>
      <c r="K239" s="460" t="s">
        <v>412</v>
      </c>
      <c r="L239" s="460"/>
      <c r="M239" s="460"/>
      <c r="N239" s="449" t="s">
        <v>427</v>
      </c>
      <c r="O239" s="449"/>
      <c r="P239" s="449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60" t="str" cm="1">
        <f t="array" ref="F240">angleDecimal2Txt(O153-O158-O148+O162)</f>
        <v>-00°18.64 (-00.3107) [-00°18'38.56]</v>
      </c>
      <c r="G240" s="460"/>
      <c r="H240" s="460"/>
      <c r="I240" s="460"/>
      <c r="J240" s="460"/>
      <c r="K240" s="460" t="s">
        <v>408</v>
      </c>
      <c r="L240" s="460"/>
      <c r="M240" s="460"/>
      <c r="N240" s="449"/>
      <c r="O240" s="449"/>
      <c r="P240" s="449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60" t="str" cm="1">
        <f t="array" ref="F241">angleDecimal2Txt(O153-O158+O162)</f>
        <v>-00°16.15 (-00.2692) [-00°16'09.38]</v>
      </c>
      <c r="G241" s="460"/>
      <c r="H241" s="460"/>
      <c r="I241" s="460"/>
      <c r="J241" s="460"/>
      <c r="K241" s="460" t="s">
        <v>409</v>
      </c>
      <c r="L241" s="460"/>
      <c r="M241" s="460"/>
      <c r="N241" s="449"/>
      <c r="O241" s="449"/>
      <c r="P241" s="449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545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849" t="s">
        <v>546</v>
      </c>
      <c r="C245" s="442" t="s">
        <v>603</v>
      </c>
      <c r="D245" s="442"/>
      <c r="E245" s="442" t="str">
        <f>O10</f>
        <v>N 46°06.00 (N 46.1000) [N 46°06'00.00]</v>
      </c>
      <c r="F245" s="442"/>
      <c r="G245" s="442"/>
      <c r="H245" s="442"/>
      <c r="I245" s="442"/>
      <c r="J245" s="44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849"/>
      <c r="C246" s="442" t="s">
        <v>599</v>
      </c>
      <c r="D246" s="442"/>
      <c r="E246" s="442" t="str">
        <f>O12</f>
        <v>W 05°00.00 (W 05.0000) [W 05°00'00.00]</v>
      </c>
      <c r="F246" s="442"/>
      <c r="G246" s="442"/>
      <c r="H246" s="442"/>
      <c r="I246" s="442"/>
      <c r="J246" s="44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849"/>
      <c r="C247" s="442" t="s">
        <v>11</v>
      </c>
      <c r="D247" s="442"/>
      <c r="E247" s="442" t="str">
        <f>O8</f>
        <v>10:20:35.00(10.3430)</v>
      </c>
      <c r="F247" s="442"/>
      <c r="G247" s="442"/>
      <c r="H247" s="442"/>
      <c r="I247" s="442"/>
      <c r="J247" s="44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849"/>
      <c r="C248" s="442" t="s">
        <v>106</v>
      </c>
      <c r="D248" s="442"/>
      <c r="E248" s="442" t="str">
        <f>O16</f>
        <v>+21°00.00 (+21.0000) [+21°00'00.00]</v>
      </c>
      <c r="F248" s="442"/>
      <c r="G248" s="442"/>
      <c r="H248" s="442"/>
      <c r="I248" s="442"/>
      <c r="J248" s="44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849"/>
      <c r="C249" s="442" t="s">
        <v>105</v>
      </c>
      <c r="D249" s="442"/>
      <c r="E249" s="879">
        <f>I18</f>
        <v>5</v>
      </c>
      <c r="F249" s="880"/>
      <c r="G249" s="880"/>
      <c r="H249" s="880"/>
      <c r="I249" s="880"/>
      <c r="J249" s="303" t="s">
        <v>549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81" t="s">
        <v>602</v>
      </c>
      <c r="G250" s="882"/>
      <c r="H250" s="876">
        <f>F25</f>
        <v>46.138899184437385</v>
      </c>
      <c r="I250" s="873"/>
      <c r="J250" s="873"/>
      <c r="K250" s="873"/>
      <c r="L250" s="877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83" t="s">
        <v>548</v>
      </c>
      <c r="G251" s="884"/>
      <c r="H251" s="871">
        <f>P33</f>
        <v>1.7918397477265013</v>
      </c>
      <c r="I251" s="872"/>
      <c r="J251" s="872"/>
      <c r="K251" s="872"/>
      <c r="L251" s="283" t="s">
        <v>549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85"/>
      <c r="G252" s="886"/>
      <c r="H252" s="871">
        <f>L38</f>
        <v>4.3099232541779581E-2</v>
      </c>
      <c r="I252" s="872"/>
      <c r="J252" s="872"/>
      <c r="K252" s="872"/>
      <c r="L252" s="305" t="s">
        <v>550</v>
      </c>
      <c r="M252" s="446" t="str">
        <f>P38</f>
        <v>Vers l'Est</v>
      </c>
      <c r="N252" s="447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43" t="s">
        <v>547</v>
      </c>
      <c r="D253" s="443"/>
      <c r="E253" s="443"/>
      <c r="F253" s="443" t="str">
        <f>O20</f>
        <v>12:03:46.00(12.0627)</v>
      </c>
      <c r="G253" s="443"/>
      <c r="H253" s="878"/>
      <c r="I253" s="878"/>
      <c r="J253" s="878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74" t="s">
        <v>605</v>
      </c>
      <c r="E254" s="875"/>
      <c r="F254" s="446" t="s">
        <v>551</v>
      </c>
      <c r="G254" s="446"/>
      <c r="H254" s="445">
        <f>V53</f>
        <v>2.0471299193002674</v>
      </c>
      <c r="I254" s="872"/>
      <c r="J254" s="872"/>
      <c r="K254" s="872"/>
      <c r="L254" s="284" t="s">
        <v>257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75"/>
      <c r="E255" s="875"/>
      <c r="F255" s="873" t="s">
        <v>552</v>
      </c>
      <c r="G255" s="873"/>
      <c r="H255" s="445">
        <f>V55</f>
        <v>10.235649596501338</v>
      </c>
      <c r="I255" s="872"/>
      <c r="J255" s="872"/>
      <c r="K255" s="872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75"/>
      <c r="E256" s="875"/>
      <c r="F256" s="873" t="s">
        <v>553</v>
      </c>
      <c r="G256" s="873"/>
      <c r="H256" s="876">
        <f>V57</f>
        <v>8.8229728435156696E-2</v>
      </c>
      <c r="I256" s="873"/>
      <c r="J256" s="873"/>
      <c r="K256" s="873"/>
      <c r="L256" s="877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75"/>
      <c r="E257" s="875"/>
      <c r="F257" s="857" t="s">
        <v>11</v>
      </c>
      <c r="G257" s="858"/>
      <c r="H257" s="861" t="str">
        <f>X61</f>
        <v>12:23:24.66(12.3901)</v>
      </c>
      <c r="I257" s="861"/>
      <c r="J257" s="861"/>
      <c r="K257" s="861"/>
      <c r="L257" s="861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75"/>
      <c r="E258" s="875"/>
      <c r="F258" s="859" t="s">
        <v>171</v>
      </c>
      <c r="G258" s="860"/>
      <c r="H258" s="860" t="str">
        <f>X59</f>
        <v>W 04°54.70 (W 04.9117) [W 04°54'42.37]</v>
      </c>
      <c r="I258" s="860"/>
      <c r="J258" s="860"/>
      <c r="K258" s="860"/>
      <c r="L258" s="860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609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78" t="s">
        <v>11</v>
      </c>
      <c r="D261" s="1078"/>
      <c r="E261" s="1078" t="str">
        <f>S98</f>
        <v>12:37:07.49(12.6187)</v>
      </c>
      <c r="F261" s="1078"/>
      <c r="G261" s="1078"/>
      <c r="H261" s="1078"/>
      <c r="I261" s="1078"/>
      <c r="J261" s="1078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78" t="s">
        <v>171</v>
      </c>
      <c r="D262" s="1078"/>
      <c r="E262" s="1078" t="str">
        <f>S100</f>
        <v>W 08°20.44 (W 08.3406) [W 08°20'26.50]</v>
      </c>
      <c r="F262" s="1078"/>
      <c r="G262" s="1078"/>
      <c r="H262" s="1078"/>
      <c r="I262" s="1078"/>
      <c r="J262" s="1078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544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42" t="s">
        <v>413</v>
      </c>
      <c r="D266" s="442"/>
      <c r="E266" s="442" t="str">
        <f>O10</f>
        <v>N 46°06.00 (N 46.1000) [N 46°06'00.00]</v>
      </c>
      <c r="F266" s="442"/>
      <c r="G266" s="442"/>
      <c r="H266" s="442"/>
      <c r="I266" s="442"/>
      <c r="J266" s="878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44" t="s">
        <v>9</v>
      </c>
      <c r="D267" s="444"/>
      <c r="E267" s="444" t="str" cm="1">
        <f t="array" ref="E267">latitudeDecimal2Txt(F122)</f>
        <v>S 14°43.70 (S 14.7283) [S 14°43'42.00]</v>
      </c>
      <c r="F267" s="444"/>
      <c r="G267" s="444"/>
      <c r="H267" s="444"/>
      <c r="I267" s="444"/>
      <c r="J267" s="1082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45" t="s">
        <v>431</v>
      </c>
      <c r="G268" s="446"/>
      <c r="H268" s="446"/>
      <c r="I268" s="446"/>
      <c r="J268" s="446"/>
      <c r="K268" s="446"/>
      <c r="L268" s="446"/>
      <c r="M268" s="447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60" t="s">
        <v>72</v>
      </c>
      <c r="G269" s="460"/>
      <c r="H269" s="445" t="str" cm="1">
        <f t="array" ref="H269">angleDecimal2Txt(F143,0)</f>
        <v>+66°37.05</v>
      </c>
      <c r="I269" s="446"/>
      <c r="J269" s="446"/>
      <c r="K269" s="446"/>
      <c r="L269" s="446"/>
      <c r="M269" s="447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48" t="s">
        <v>432</v>
      </c>
      <c r="D270" s="448"/>
      <c r="E270" s="448" t="str">
        <f>angleDecimal2Txt(I185,1)</f>
        <v>+23°22.94 (+23.3823) [+23°22'56.56]</v>
      </c>
      <c r="F270" s="448"/>
      <c r="G270" s="448"/>
      <c r="H270" s="448"/>
      <c r="I270" s="448"/>
      <c r="J270" s="448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53" t="s">
        <v>212</v>
      </c>
      <c r="G271" s="854"/>
      <c r="H271" s="854"/>
      <c r="I271" s="854"/>
      <c r="J271" s="854"/>
      <c r="K271" s="854"/>
      <c r="L271" s="854"/>
      <c r="M271" s="854"/>
      <c r="N271" s="854"/>
      <c r="O271" s="854"/>
      <c r="P271" s="855"/>
      <c r="R271" s="16"/>
      <c r="S271" s="16"/>
      <c r="T271" s="16"/>
    </row>
    <row r="272" spans="2:33">
      <c r="B272" s="16"/>
      <c r="C272" s="59"/>
      <c r="D272" s="59"/>
      <c r="E272" s="59"/>
      <c r="F272" s="856"/>
      <c r="G272" s="856" t="s">
        <v>214</v>
      </c>
      <c r="H272" s="856"/>
      <c r="I272" s="856"/>
      <c r="J272" s="856"/>
      <c r="K272" s="856"/>
      <c r="L272" s="850" t="s">
        <v>216</v>
      </c>
      <c r="M272" s="851"/>
      <c r="N272" s="851"/>
      <c r="O272" s="851"/>
      <c r="P272" s="852"/>
      <c r="R272" s="16"/>
      <c r="S272" s="16"/>
      <c r="T272" s="16"/>
    </row>
    <row r="273" spans="2:20">
      <c r="B273" s="16"/>
      <c r="C273" s="59"/>
      <c r="D273" s="59"/>
      <c r="E273" s="59"/>
      <c r="F273" s="856"/>
      <c r="G273" s="856" t="s">
        <v>215</v>
      </c>
      <c r="H273" s="856"/>
      <c r="I273" s="856"/>
      <c r="J273" s="856"/>
      <c r="K273" s="856"/>
      <c r="L273" s="850" t="s">
        <v>217</v>
      </c>
      <c r="M273" s="851"/>
      <c r="N273" s="851"/>
      <c r="O273" s="851"/>
      <c r="P273" s="852"/>
      <c r="R273" s="16"/>
      <c r="S273" s="16"/>
      <c r="T273" s="16"/>
    </row>
    <row r="274" spans="2:20">
      <c r="B274" s="16"/>
      <c r="C274" s="59"/>
      <c r="D274" s="59"/>
      <c r="E274" s="59"/>
      <c r="F274" s="870" t="s">
        <v>213</v>
      </c>
      <c r="G274" s="870"/>
      <c r="H274" s="870"/>
      <c r="I274" s="870"/>
      <c r="J274" s="870"/>
      <c r="K274" s="870"/>
      <c r="L274" s="850" t="s">
        <v>218</v>
      </c>
      <c r="M274" s="851"/>
      <c r="N274" s="851"/>
      <c r="O274" s="851"/>
      <c r="P274" s="852"/>
      <c r="R274" s="16"/>
      <c r="S274" s="16"/>
      <c r="T274" s="16"/>
    </row>
    <row r="275" spans="2:20">
      <c r="B275" s="16"/>
      <c r="C275" s="59"/>
      <c r="D275" s="59"/>
      <c r="E275" s="59"/>
      <c r="F275" s="460" t="s">
        <v>433</v>
      </c>
      <c r="G275" s="460"/>
      <c r="H275" s="445" t="b">
        <f>((F122*E68)&gt;0)</f>
        <v>0</v>
      </c>
      <c r="I275" s="446"/>
      <c r="J275" s="446"/>
      <c r="K275" s="446"/>
      <c r="L275" s="446"/>
      <c r="M275" s="447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60" t="s">
        <v>434</v>
      </c>
      <c r="G276" s="460"/>
      <c r="H276" s="445" t="b">
        <f>(E68&gt;F122)</f>
        <v>1</v>
      </c>
      <c r="I276" s="446"/>
      <c r="J276" s="446"/>
      <c r="K276" s="446"/>
      <c r="L276" s="446"/>
      <c r="M276" s="447"/>
      <c r="N276" s="40" t="s">
        <v>608</v>
      </c>
      <c r="O276" s="846" t="str">
        <f>P197</f>
        <v>N 23°22.94 (N 23.3823) [N 23°22'56.56]</v>
      </c>
      <c r="P276" s="847"/>
      <c r="Q276" s="847"/>
      <c r="R276" s="847"/>
      <c r="S276" s="848"/>
    </row>
    <row r="277" spans="2:20">
      <c r="B277" s="16"/>
      <c r="C277" s="59"/>
      <c r="D277" s="862" t="s">
        <v>567</v>
      </c>
      <c r="E277" s="863"/>
      <c r="F277" s="864" t="s">
        <v>586</v>
      </c>
      <c r="G277" s="864"/>
      <c r="H277" s="1079" t="str">
        <f>V190</f>
        <v>Le soleil est au nord, et le sud est dans le dos</v>
      </c>
      <c r="I277" s="1080"/>
      <c r="J277" s="1080"/>
      <c r="K277" s="1080"/>
      <c r="L277" s="1080"/>
      <c r="M277" s="1081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62"/>
      <c r="E278" s="863"/>
      <c r="F278" s="865" t="s">
        <v>606</v>
      </c>
      <c r="G278" s="866"/>
      <c r="H278" s="1079" t="str">
        <f>V191</f>
        <v>Lat et Dec - Meme sens ?: FALSE</v>
      </c>
      <c r="I278" s="1080"/>
      <c r="J278" s="1080"/>
      <c r="K278" s="1080"/>
      <c r="L278" s="1080"/>
      <c r="M278" s="1081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62"/>
      <c r="E279" s="863"/>
      <c r="F279" s="865" t="s">
        <v>607</v>
      </c>
      <c r="G279" s="867"/>
      <c r="H279" s="1079" t="str">
        <f>V192</f>
        <v>Lat &gt; Dec  ? : FALSE</v>
      </c>
      <c r="I279" s="1080"/>
      <c r="J279" s="1080"/>
      <c r="K279" s="1080"/>
      <c r="L279" s="1080"/>
      <c r="M279" s="1081"/>
      <c r="N279" s="40" t="s">
        <v>608</v>
      </c>
      <c r="O279" s="846" t="str">
        <f>P196</f>
        <v>S 23°22.94 (S 23.3823) [S 23°22'56.56]</v>
      </c>
      <c r="P279" s="847"/>
      <c r="Q279" s="847"/>
      <c r="R279" s="847"/>
      <c r="S279" s="848"/>
    </row>
    <row r="280" spans="2:20">
      <c r="B280" s="1041" t="s">
        <v>211</v>
      </c>
      <c r="C280" s="1042"/>
      <c r="D280" s="1043"/>
      <c r="E280" s="458" t="str">
        <f>P196</f>
        <v>S 23°22.94 (S 23.3823) [S 23°22'56.56]</v>
      </c>
      <c r="F280" s="458"/>
      <c r="G280" s="458"/>
      <c r="H280" s="1078"/>
      <c r="I280" s="1078"/>
      <c r="J280" s="1078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58" t="s">
        <v>171</v>
      </c>
      <c r="C281" s="458"/>
      <c r="D281" s="458"/>
      <c r="E281" s="458" t="str">
        <f>P198</f>
        <v>W 08°20.44 (W 08.3406) [W 08°20'26.50]</v>
      </c>
      <c r="F281" s="458"/>
      <c r="G281" s="458"/>
      <c r="H281" s="458"/>
      <c r="I281" s="458"/>
      <c r="J281" s="458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5" priority="8">
      <formula>$AA83="N"</formula>
    </cfRule>
  </conditionalFormatting>
  <conditionalFormatting sqref="E84:Z87">
    <cfRule type="expression" dxfId="4" priority="6">
      <formula>$AA84="N"</formula>
    </cfRule>
  </conditionalFormatting>
  <conditionalFormatting sqref="E92:K92">
    <cfRule type="expression" dxfId="3" priority="2">
      <formula>($E92)</formula>
    </cfRule>
  </conditionalFormatting>
  <conditionalFormatting sqref="E93:K96">
    <cfRule type="expression" dxfId="2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190" zoomScaleNormal="100" workbookViewId="0">
      <selection activeCell="S213" sqref="S213"/>
    </sheetView>
  </sheetViews>
  <sheetFormatPr baseColWidth="10"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</row>
    <row r="2" spans="2:66" ht="17.25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</row>
    <row r="3" spans="2:66" ht="17.25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</row>
    <row r="4" spans="2:66" ht="17.25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742" t="s">
        <v>1</v>
      </c>
      <c r="D8" s="743"/>
      <c r="E8" s="780" t="s">
        <v>310</v>
      </c>
      <c r="F8" s="781"/>
      <c r="G8" s="781"/>
      <c r="H8" s="59"/>
      <c r="I8" s="771"/>
      <c r="J8" s="771"/>
      <c r="K8" s="771"/>
      <c r="L8" s="771"/>
      <c r="M8" s="771"/>
      <c r="N8" s="771"/>
      <c r="O8" s="771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744" t="s">
        <v>11</v>
      </c>
      <c r="D9" s="416"/>
      <c r="E9" s="744" t="s">
        <v>2</v>
      </c>
      <c r="F9" s="752"/>
      <c r="G9" s="752"/>
      <c r="H9" s="416"/>
      <c r="I9" s="651" t="s">
        <v>228</v>
      </c>
      <c r="J9" s="651"/>
      <c r="K9" s="651"/>
      <c r="L9" s="651" t="s">
        <v>224</v>
      </c>
      <c r="M9" s="651"/>
      <c r="N9" s="651"/>
      <c r="O9" s="651"/>
      <c r="P9" s="651"/>
      <c r="Q9" s="651" t="s">
        <v>225</v>
      </c>
      <c r="R9" s="651"/>
      <c r="S9" s="651"/>
      <c r="T9" s="651"/>
      <c r="U9" s="651"/>
      <c r="V9" s="674" t="s">
        <v>122</v>
      </c>
      <c r="W9" s="675"/>
      <c r="X9" s="675"/>
      <c r="Y9" s="676"/>
      <c r="AB9" s="63"/>
      <c r="AC9" s="3" t="s">
        <v>163</v>
      </c>
      <c r="AD9" s="67">
        <f>L11</f>
        <v>0</v>
      </c>
    </row>
    <row r="10" spans="2:66" ht="17.25" customHeight="1">
      <c r="C10" s="434"/>
      <c r="D10" s="745"/>
      <c r="E10" s="417"/>
      <c r="F10" s="433"/>
      <c r="G10" s="433"/>
      <c r="H10" s="418"/>
      <c r="I10" s="651"/>
      <c r="J10" s="651"/>
      <c r="K10" s="651"/>
      <c r="L10" s="651"/>
      <c r="M10" s="651"/>
      <c r="N10" s="651"/>
      <c r="O10" s="651"/>
      <c r="P10" s="651"/>
      <c r="Q10" s="651"/>
      <c r="R10" s="651"/>
      <c r="S10" s="651"/>
      <c r="T10" s="651"/>
      <c r="U10" s="651"/>
      <c r="V10" s="677"/>
      <c r="W10" s="678"/>
      <c r="X10" s="678"/>
      <c r="Y10" s="679"/>
      <c r="AC10" s="3" t="s">
        <v>164</v>
      </c>
      <c r="AD10" s="3">
        <f>Q11/3600</f>
        <v>0</v>
      </c>
    </row>
    <row r="11" spans="2:66" ht="17.25" customHeight="1" thickBot="1">
      <c r="C11" s="417"/>
      <c r="D11" s="418"/>
      <c r="E11" s="687">
        <f>AD8+AD9+AD10+AD11</f>
        <v>8.3147222222222226</v>
      </c>
      <c r="F11" s="688"/>
      <c r="G11" s="688"/>
      <c r="H11" s="689"/>
      <c r="I11" s="680" t="s">
        <v>311</v>
      </c>
      <c r="J11" s="680"/>
      <c r="K11" s="680"/>
      <c r="L11" s="670">
        <v>0</v>
      </c>
      <c r="M11" s="670"/>
      <c r="N11" s="670"/>
      <c r="O11" s="670"/>
      <c r="P11" s="670"/>
      <c r="Q11" s="670">
        <v>0</v>
      </c>
      <c r="R11" s="670"/>
      <c r="S11" s="670"/>
      <c r="T11" s="670"/>
      <c r="U11" s="671"/>
      <c r="V11" s="669" t="s">
        <v>121</v>
      </c>
      <c r="W11" s="669"/>
      <c r="X11" s="669"/>
      <c r="Y11" s="669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81" t="str" cm="1">
        <f t="array" ref="E12">heureDecimal2Txt(E11)</f>
        <v>08:18:53.00(08.3147)</v>
      </c>
      <c r="F12" s="682"/>
      <c r="G12" s="682"/>
      <c r="H12" s="68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61" t="s">
        <v>165</v>
      </c>
      <c r="D15" s="662"/>
      <c r="E15" s="662"/>
      <c r="F15" s="662"/>
      <c r="G15" s="662"/>
      <c r="H15" s="662"/>
      <c r="I15" s="663"/>
      <c r="J15" s="1177" t="s">
        <v>167</v>
      </c>
      <c r="K15" s="1177"/>
      <c r="L15" s="1177"/>
      <c r="M15" s="1177"/>
      <c r="N15" s="1177"/>
      <c r="O15" s="1177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61" t="s">
        <v>128</v>
      </c>
      <c r="D16" s="662"/>
      <c r="E16" s="662"/>
      <c r="F16" s="662"/>
      <c r="G16" s="662"/>
      <c r="H16" s="662"/>
      <c r="I16" s="663"/>
      <c r="J16" s="888" cm="1">
        <f t="array" ref="J16">angleConvert2Decimal(M16)</f>
        <v>0.9</v>
      </c>
      <c r="K16" s="889"/>
      <c r="L16" s="890"/>
      <c r="M16" s="891" t="s">
        <v>99</v>
      </c>
      <c r="N16" s="892"/>
      <c r="O16" s="893"/>
      <c r="P16" s="455" t="str" cm="1">
        <f t="array" ref="P16">angleDecimal2Txt(J16)</f>
        <v>+00°54.00 (+00.9000) [+00°54'00.00]</v>
      </c>
      <c r="Q16" s="471"/>
      <c r="R16" s="471"/>
      <c r="S16" s="471"/>
      <c r="T16" s="471"/>
      <c r="U16" s="471"/>
      <c r="V16" s="471"/>
      <c r="W16" s="471"/>
      <c r="X16" s="472"/>
      <c r="Y16" s="14"/>
    </row>
    <row r="17" spans="2:46" ht="18" hidden="1" customHeight="1" outlineLevel="1" thickTop="1" thickBot="1">
      <c r="C17" s="652" t="s">
        <v>127</v>
      </c>
      <c r="D17" s="652"/>
      <c r="E17" s="652"/>
      <c r="F17" s="652"/>
      <c r="G17" s="652"/>
      <c r="H17" s="652"/>
      <c r="I17" s="652"/>
      <c r="J17" s="659" cm="1">
        <f t="array" ref="J17">angleConvert2Decimal(M17)</f>
        <v>33.4</v>
      </c>
      <c r="K17" s="660"/>
      <c r="L17" s="555"/>
      <c r="M17" s="896" t="s">
        <v>210</v>
      </c>
      <c r="N17" s="897"/>
      <c r="O17" s="898"/>
      <c r="P17" s="557" t="str" cm="1">
        <f t="array" ref="P17">angleDecimal2Txt(J17)</f>
        <v>+33°24.00 (+33.3999) [+33°24'00.00]</v>
      </c>
      <c r="Q17" s="557"/>
      <c r="R17" s="557"/>
      <c r="S17" s="557"/>
      <c r="T17" s="557"/>
      <c r="U17" s="557"/>
      <c r="V17" s="557"/>
      <c r="W17" s="557"/>
      <c r="X17" s="557"/>
      <c r="Y17" s="14"/>
    </row>
    <row r="18" spans="2:46" ht="18" hidden="1" customHeight="1" outlineLevel="1" thickTop="1" thickBot="1">
      <c r="C18" s="652" t="s">
        <v>135</v>
      </c>
      <c r="D18" s="652"/>
      <c r="E18" s="652"/>
      <c r="F18" s="652"/>
      <c r="G18" s="652"/>
      <c r="H18" s="652"/>
      <c r="I18" s="652"/>
      <c r="J18" s="659" cm="1">
        <f t="array" ref="J18">angleConvert2Decimal(M18)</f>
        <v>16.25</v>
      </c>
      <c r="K18" s="660"/>
      <c r="L18" s="555"/>
      <c r="M18" s="896">
        <f>(J17-J16)/2</f>
        <v>16.25</v>
      </c>
      <c r="N18" s="897"/>
      <c r="O18" s="898"/>
      <c r="P18" s="557" t="str" cm="1">
        <f t="array" ref="P18">angleDecimal2Txt(J18)</f>
        <v>+16°15.00 (+16.2500) [+16°15'00.00]</v>
      </c>
      <c r="Q18" s="557"/>
      <c r="R18" s="557"/>
      <c r="S18" s="557"/>
      <c r="T18" s="557"/>
      <c r="U18" s="557"/>
      <c r="V18" s="557"/>
      <c r="W18" s="557"/>
      <c r="X18" s="557"/>
      <c r="Y18" s="14"/>
    </row>
    <row r="19" spans="2:46" ht="18" customHeight="1" collapsed="1" thickBot="1">
      <c r="C19" s="668" t="s">
        <v>19</v>
      </c>
      <c r="D19" s="668"/>
      <c r="E19" s="668"/>
      <c r="F19" s="668"/>
      <c r="G19" s="668"/>
      <c r="H19" s="668"/>
      <c r="I19" s="668"/>
      <c r="J19" s="654">
        <f>M19</f>
        <v>4</v>
      </c>
      <c r="K19" s="655"/>
      <c r="L19" s="656"/>
      <c r="M19" s="716">
        <v>4</v>
      </c>
      <c r="N19" s="716"/>
      <c r="O19" s="7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84" t="s">
        <v>20</v>
      </c>
      <c r="D20" s="685"/>
      <c r="E20" s="685"/>
      <c r="F20" s="685"/>
      <c r="G20" s="685"/>
      <c r="H20" s="685"/>
      <c r="I20" s="686"/>
      <c r="J20" s="556" cm="1">
        <f t="array" ref="J20">angleConvert2Decimal(M20)</f>
        <v>0.05</v>
      </c>
      <c r="K20" s="653"/>
      <c r="L20" s="653"/>
      <c r="M20" s="715" t="s">
        <v>398</v>
      </c>
      <c r="N20" s="716"/>
      <c r="O20" s="716"/>
      <c r="P20" s="557" t="str" cm="1">
        <f t="array" ref="P20">angleDecimal2Txt(J20)</f>
        <v>+00°03.00 (+00.0500) [+00°03'00.00]</v>
      </c>
      <c r="Q20" s="557"/>
      <c r="R20" s="557"/>
      <c r="S20" s="557"/>
      <c r="T20" s="557"/>
      <c r="U20" s="557"/>
      <c r="V20" s="557"/>
      <c r="W20" s="557"/>
      <c r="X20" s="557"/>
      <c r="Y20" s="14"/>
    </row>
    <row r="21" spans="2:46" ht="18" customHeight="1" thickTop="1" thickBot="1">
      <c r="C21" s="794" t="s">
        <v>26</v>
      </c>
      <c r="D21" s="794"/>
      <c r="E21" s="794"/>
      <c r="F21" s="794"/>
      <c r="G21" s="794"/>
      <c r="H21" s="794"/>
      <c r="I21" s="794"/>
      <c r="J21" s="556" cm="1">
        <f t="array" ref="J21">IF(J15=AC15,J18,angleConvert2Decimal(M21))</f>
        <v>18.916666666666668</v>
      </c>
      <c r="K21" s="653"/>
      <c r="L21" s="653"/>
      <c r="M21" s="715" t="s">
        <v>399</v>
      </c>
      <c r="N21" s="716"/>
      <c r="O21" s="716"/>
      <c r="P21" s="557" t="str" cm="1">
        <f t="array" ref="P21">angleDecimal2Txt(J21)</f>
        <v>+18°55.00 (+18.9166) [+18°55'00.00]</v>
      </c>
      <c r="Q21" s="557"/>
      <c r="R21" s="557"/>
      <c r="S21" s="557"/>
      <c r="T21" s="557"/>
      <c r="U21" s="557"/>
      <c r="V21" s="557"/>
      <c r="W21" s="557"/>
      <c r="X21" s="557"/>
      <c r="Y21" s="14"/>
    </row>
    <row r="22" spans="2:46" ht="18" hidden="1" customHeight="1" outlineLevel="1" thickTop="1">
      <c r="C22" s="763" t="s">
        <v>30</v>
      </c>
      <c r="D22" s="763"/>
      <c r="E22" s="763"/>
      <c r="F22" s="763"/>
      <c r="G22" s="763"/>
      <c r="H22" s="763"/>
      <c r="I22" s="763"/>
      <c r="J22" s="532" t="str">
        <f>M22</f>
        <v>Lune</v>
      </c>
      <c r="K22" s="533"/>
      <c r="L22" s="534"/>
      <c r="M22" s="1170" t="s">
        <v>33</v>
      </c>
      <c r="N22" s="1171"/>
      <c r="O22" s="1172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763" t="s">
        <v>56</v>
      </c>
      <c r="D23" s="763"/>
      <c r="E23" s="763"/>
      <c r="F23" s="763"/>
      <c r="G23" s="763"/>
      <c r="H23" s="763"/>
      <c r="I23" s="763"/>
      <c r="J23" s="592" t="str">
        <f>M23</f>
        <v>BordInf</v>
      </c>
      <c r="K23" s="592"/>
      <c r="L23" s="592"/>
      <c r="M23" s="673" t="s">
        <v>57</v>
      </c>
      <c r="N23" s="673"/>
      <c r="O23" s="673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757" t="s">
        <v>151</v>
      </c>
      <c r="D24" s="758"/>
      <c r="E24" s="758" t="s">
        <v>152</v>
      </c>
      <c r="F24" s="758"/>
      <c r="G24" s="758"/>
      <c r="H24" s="758"/>
      <c r="I24" s="1175"/>
      <c r="J24" s="436" cm="1">
        <f t="array" ref="J24">angleConvert2Decimal(M24)</f>
        <v>0.90666666666666662</v>
      </c>
      <c r="K24" s="421"/>
      <c r="L24" s="422"/>
      <c r="M24" s="723" t="s">
        <v>483</v>
      </c>
      <c r="N24" s="724"/>
      <c r="O24" s="724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761"/>
      <c r="D25" s="762"/>
      <c r="E25" s="762"/>
      <c r="F25" s="762"/>
      <c r="G25" s="762"/>
      <c r="H25" s="762"/>
      <c r="I25" s="1176"/>
      <c r="J25" s="1012"/>
      <c r="K25" s="1013"/>
      <c r="L25" s="1014"/>
      <c r="M25" s="727"/>
      <c r="N25" s="728"/>
      <c r="O25" s="728"/>
      <c r="P25" s="426" t="str" cm="1">
        <f t="array" ref="P25">angleDecimal2Txt(J24)</f>
        <v>+00°54.39 (+00.9066) [+00°54'24.00]</v>
      </c>
      <c r="Q25" s="426"/>
      <c r="R25" s="426"/>
      <c r="S25" s="426"/>
      <c r="T25" s="426"/>
      <c r="U25" s="426"/>
      <c r="V25" s="426"/>
      <c r="W25" s="426"/>
      <c r="X25" s="426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827" t="s">
        <v>100</v>
      </c>
      <c r="D26" s="828"/>
      <c r="E26" s="828"/>
      <c r="F26" s="828"/>
      <c r="G26" s="828"/>
      <c r="H26" s="828"/>
      <c r="I26" s="829"/>
      <c r="J26" s="436" cm="1">
        <f t="array" ref="J26">angleConvert2Decimal(M26)</f>
        <v>0.49399999999999999</v>
      </c>
      <c r="K26" s="421"/>
      <c r="L26" s="422"/>
      <c r="M26" s="723">
        <f>P28</f>
        <v>0.49399999999999999</v>
      </c>
      <c r="N26" s="724"/>
      <c r="O26" s="724"/>
      <c r="P26" s="1004" t="s">
        <v>97</v>
      </c>
      <c r="Q26" s="1004"/>
      <c r="R26" s="1004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313</v>
      </c>
      <c r="AJ26">
        <f>J24*60</f>
        <v>54.4</v>
      </c>
      <c r="AK26" t="s">
        <v>332</v>
      </c>
      <c r="AM26">
        <f>INDEX($E$74:$Q$76,3,$AL$25)</f>
        <v>0.49</v>
      </c>
      <c r="AN26">
        <f>INDEX($E$74:$Q$76,3,1+$AL$25)</f>
        <v>0.5</v>
      </c>
      <c r="AQ26" s="255" t="s">
        <v>333</v>
      </c>
      <c r="AR26" s="255">
        <f>AJ26-AM25</f>
        <v>0.39999999999999858</v>
      </c>
    </row>
    <row r="27" spans="2:46" ht="17.25" customHeight="1" thickBot="1">
      <c r="C27" s="830"/>
      <c r="D27" s="786"/>
      <c r="E27" s="786"/>
      <c r="F27" s="786"/>
      <c r="G27" s="786"/>
      <c r="H27" s="786"/>
      <c r="I27" s="831"/>
      <c r="J27" s="437"/>
      <c r="K27" s="423"/>
      <c r="L27" s="424"/>
      <c r="M27" s="725"/>
      <c r="N27" s="726"/>
      <c r="O27" s="726"/>
      <c r="P27" s="1004"/>
      <c r="Q27" s="1004"/>
      <c r="R27" s="1004"/>
      <c r="S27" s="14"/>
      <c r="T27" s="1189" t="s">
        <v>488</v>
      </c>
      <c r="U27" s="1190"/>
      <c r="V27" s="1190"/>
      <c r="W27" s="1190"/>
      <c r="X27" s="1190"/>
      <c r="Y27" s="1187" t="str" cm="1">
        <f t="array" ref="Y27">angleDecimal2Txt(J24/2,0)</f>
        <v>+00°27.19</v>
      </c>
      <c r="Z27" s="1188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334</v>
      </c>
      <c r="AR27" s="255">
        <f>AN25-AM25</f>
        <v>1</v>
      </c>
    </row>
    <row r="28" spans="2:46" ht="17.25" customHeight="1" thickTop="1" thickBot="1">
      <c r="C28" s="830"/>
      <c r="D28" s="786"/>
      <c r="E28" s="786"/>
      <c r="F28" s="786"/>
      <c r="G28" s="786"/>
      <c r="H28" s="786"/>
      <c r="I28" s="831"/>
      <c r="J28" s="437"/>
      <c r="K28" s="423"/>
      <c r="L28" s="424"/>
      <c r="M28" s="725"/>
      <c r="N28" s="726"/>
      <c r="O28" s="726"/>
      <c r="P28" s="720">
        <f>AR29</f>
        <v>0.49399999999999999</v>
      </c>
      <c r="Q28" s="720"/>
      <c r="R28" s="720"/>
      <c r="S28" s="718" t="str">
        <f>angleDecimal2Txt(AR29)</f>
        <v>+00°29.64 (+00.4940) [+00°29'38.40]</v>
      </c>
      <c r="T28" s="1173"/>
      <c r="U28" s="1173"/>
      <c r="V28" s="1173"/>
      <c r="W28" s="1173"/>
      <c r="X28" s="1174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335</v>
      </c>
      <c r="AR28" s="255">
        <f>AR26/AR27</f>
        <v>0.39999999999999858</v>
      </c>
    </row>
    <row r="29" spans="2:46" ht="17.25" customHeight="1" thickTop="1" thickBot="1">
      <c r="C29" s="832"/>
      <c r="D29" s="833"/>
      <c r="E29" s="833"/>
      <c r="F29" s="833"/>
      <c r="G29" s="833"/>
      <c r="H29" s="833"/>
      <c r="I29" s="834"/>
      <c r="J29" s="808"/>
      <c r="K29" s="809"/>
      <c r="L29" s="810"/>
      <c r="M29" s="727"/>
      <c r="N29" s="728"/>
      <c r="O29" s="728"/>
      <c r="P29" s="622" t="str" cm="1">
        <f t="array" ref="P29">angleDecimal2Txt(J26)</f>
        <v>+00°29.64 (+00.4940) [+00°29'38.40]</v>
      </c>
      <c r="Q29" s="622"/>
      <c r="R29" s="622"/>
      <c r="S29" s="557"/>
      <c r="T29" s="557"/>
      <c r="U29" s="557"/>
      <c r="V29" s="557"/>
      <c r="W29" s="557"/>
      <c r="X29" s="557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486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487</v>
      </c>
      <c r="AR30" s="254">
        <f>AR29/2</f>
        <v>0.247</v>
      </c>
      <c r="AS30" s="1185" t="str" cm="1">
        <f t="array" ref="AS30">angleDecimal2Txt(AR30)</f>
        <v>+00°14.82 (+00.2470) [+00°14'49.20]</v>
      </c>
      <c r="AT30" s="1186"/>
    </row>
    <row r="31" spans="2:46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714" t="s">
        <v>7</v>
      </c>
      <c r="D32" s="714"/>
      <c r="E32" s="714"/>
      <c r="F32" s="714"/>
      <c r="G32" s="561">
        <f>AD33</f>
        <v>-27.5</v>
      </c>
      <c r="H32" s="562"/>
      <c r="I32" s="562"/>
      <c r="J32" s="620" t="s">
        <v>4</v>
      </c>
      <c r="K32" s="717" t="s">
        <v>615</v>
      </c>
      <c r="L32" s="620"/>
      <c r="M32" s="620"/>
      <c r="N32" s="620"/>
      <c r="O32" s="620"/>
      <c r="P32" s="722" t="str" cm="1">
        <f t="array" ref="P32">latitudeDecimal2Txt(G32)</f>
        <v>S 27°30.00 (S 27.5000) [S 27°30'00.00]</v>
      </c>
      <c r="Q32" s="722"/>
      <c r="R32" s="722"/>
      <c r="S32" s="722"/>
      <c r="T32" s="722"/>
      <c r="U32" s="722"/>
      <c r="V32" s="722"/>
      <c r="W32" s="722"/>
      <c r="X32" s="722"/>
      <c r="Y32" s="72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7" t="s">
        <v>129</v>
      </c>
      <c r="B33" s="311" t="s">
        <v>130</v>
      </c>
      <c r="C33" s="714"/>
      <c r="D33" s="714"/>
      <c r="E33" s="714"/>
      <c r="F33" s="714"/>
      <c r="G33" s="562"/>
      <c r="H33" s="562"/>
      <c r="I33" s="562"/>
      <c r="J33" s="620"/>
      <c r="K33" s="620"/>
      <c r="L33" s="620"/>
      <c r="M33" s="620"/>
      <c r="N33" s="620"/>
      <c r="O33" s="620"/>
      <c r="P33" s="722"/>
      <c r="Q33" s="722"/>
      <c r="R33" s="722"/>
      <c r="S33" s="722"/>
      <c r="T33" s="722"/>
      <c r="U33" s="722"/>
      <c r="V33" s="722"/>
      <c r="W33" s="722"/>
      <c r="X33" s="722"/>
      <c r="Y33" s="72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7"/>
      <c r="B34" s="311" t="s">
        <v>138</v>
      </c>
      <c r="C34" s="563" t="s">
        <v>8</v>
      </c>
      <c r="D34" s="563"/>
      <c r="E34" s="563"/>
      <c r="F34" s="563"/>
      <c r="G34" s="561">
        <f>AD35</f>
        <v>63</v>
      </c>
      <c r="H34" s="562"/>
      <c r="I34" s="562"/>
      <c r="J34" s="620" t="s">
        <v>5</v>
      </c>
      <c r="K34" s="717" t="s">
        <v>616</v>
      </c>
      <c r="L34" s="620"/>
      <c r="M34" s="620"/>
      <c r="N34" s="620"/>
      <c r="O34" s="620"/>
      <c r="P34" s="722" t="str" cm="1">
        <f t="array" ref="P34">longitudeDecimal2Txt(G34)</f>
        <v>E 63°00.00 (E 63.0000) [E 63°00'00.00]</v>
      </c>
      <c r="Q34" s="722"/>
      <c r="R34" s="722"/>
      <c r="S34" s="722"/>
      <c r="T34" s="722"/>
      <c r="U34" s="722"/>
      <c r="V34" s="722"/>
      <c r="W34" s="722"/>
      <c r="X34" s="722"/>
      <c r="Y34" s="72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3"/>
      <c r="D35" s="563"/>
      <c r="E35" s="563"/>
      <c r="F35" s="563"/>
      <c r="G35" s="562"/>
      <c r="H35" s="562"/>
      <c r="I35" s="562"/>
      <c r="J35" s="620"/>
      <c r="K35" s="620"/>
      <c r="L35" s="620"/>
      <c r="M35" s="620"/>
      <c r="N35" s="620"/>
      <c r="O35" s="620"/>
      <c r="P35" s="722"/>
      <c r="Q35" s="722"/>
      <c r="R35" s="722"/>
      <c r="S35" s="722"/>
      <c r="T35" s="722"/>
      <c r="U35" s="722"/>
      <c r="V35" s="722"/>
      <c r="W35" s="722"/>
      <c r="X35" s="722"/>
      <c r="Y35" s="72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751">
        <f>IF(G38=AD38,D41,IF(G38=AD37,D54,D48))</f>
        <v>23.147284259259258</v>
      </c>
      <c r="G37" s="647"/>
      <c r="H37" s="647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555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634" t="s">
        <v>35</v>
      </c>
      <c r="D38" s="634"/>
      <c r="E38" s="634"/>
      <c r="F38" s="634"/>
      <c r="G38" s="753" t="s">
        <v>10</v>
      </c>
      <c r="H38" s="513"/>
      <c r="I38" s="754"/>
      <c r="AB38" s="65"/>
      <c r="AC38" s="510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408" t="s">
        <v>10</v>
      </c>
      <c r="D39" s="419" t="s">
        <v>9</v>
      </c>
      <c r="E39" s="420"/>
      <c r="F39" s="420"/>
      <c r="G39" s="420"/>
      <c r="H39" s="420"/>
      <c r="I39" s="415" t="s">
        <v>619</v>
      </c>
      <c r="J39" s="416"/>
      <c r="K39" s="415" t="s">
        <v>13</v>
      </c>
      <c r="L39" s="432"/>
      <c r="M39" s="612"/>
      <c r="N39" s="430" t="s">
        <v>15</v>
      </c>
      <c r="O39" s="430"/>
      <c r="P39" s="430"/>
      <c r="Q39" s="430"/>
      <c r="R39" s="430"/>
      <c r="S39" s="14"/>
      <c r="AC39" s="510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408"/>
      <c r="D40" s="419"/>
      <c r="E40" s="420"/>
      <c r="F40" s="420"/>
      <c r="G40" s="420"/>
      <c r="H40" s="420"/>
      <c r="I40" s="417"/>
      <c r="J40" s="418"/>
      <c r="K40" s="613"/>
      <c r="L40" s="614"/>
      <c r="M40" s="615"/>
      <c r="N40" s="430"/>
      <c r="O40" s="430"/>
      <c r="P40" s="430"/>
      <c r="Q40" s="430"/>
      <c r="R40" s="430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408"/>
      <c r="D41" s="421">
        <f>IF(G38=AD38,AD46,"---")</f>
        <v>23.147284259259258</v>
      </c>
      <c r="E41" s="421"/>
      <c r="F41" s="421"/>
      <c r="G41" s="421"/>
      <c r="H41" s="422"/>
      <c r="I41" s="409">
        <f>E11</f>
        <v>8.3147222222222226</v>
      </c>
      <c r="J41" s="410"/>
      <c r="K41" s="787">
        <v>10</v>
      </c>
      <c r="L41" s="616"/>
      <c r="M41" s="788"/>
      <c r="N41" s="620" t="s">
        <v>3</v>
      </c>
      <c r="O41" s="680" t="s">
        <v>539</v>
      </c>
      <c r="P41" s="815"/>
      <c r="Q41" s="815"/>
      <c r="R41" s="815"/>
      <c r="S41" s="722" t="str" cm="1">
        <f t="array" ref="S41">angleDecimal2Txt(AE41)</f>
        <v>+23°08.50 (+23.1416) [+23°08'30.00]</v>
      </c>
      <c r="T41" s="729"/>
      <c r="U41" s="729"/>
      <c r="V41" s="729"/>
      <c r="W41" s="729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08"/>
      <c r="D42" s="423"/>
      <c r="E42" s="423"/>
      <c r="F42" s="423"/>
      <c r="G42" s="423"/>
      <c r="H42" s="424"/>
      <c r="I42" s="411"/>
      <c r="J42" s="412"/>
      <c r="K42" s="767"/>
      <c r="L42" s="768"/>
      <c r="M42" s="769"/>
      <c r="N42" s="620"/>
      <c r="O42" s="793"/>
      <c r="P42" s="793"/>
      <c r="Q42" s="793"/>
      <c r="R42" s="793"/>
      <c r="S42" s="729"/>
      <c r="T42" s="729"/>
      <c r="U42" s="729"/>
      <c r="V42" s="729"/>
      <c r="W42" s="729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08"/>
      <c r="D43" s="423"/>
      <c r="E43" s="423"/>
      <c r="F43" s="423"/>
      <c r="G43" s="423"/>
      <c r="H43" s="424"/>
      <c r="I43" s="411"/>
      <c r="J43" s="412"/>
      <c r="K43" s="764">
        <v>11</v>
      </c>
      <c r="L43" s="765"/>
      <c r="M43" s="766"/>
      <c r="N43" s="620" t="s">
        <v>3</v>
      </c>
      <c r="O43" s="792" t="s">
        <v>540</v>
      </c>
      <c r="P43" s="793"/>
      <c r="Q43" s="793"/>
      <c r="R43" s="793"/>
      <c r="S43" s="722" t="str" cm="1">
        <f t="array" ref="S43">angleDecimal2Txt((AE42))</f>
        <v>+23°08.30 (+23.1383) [+23°08'18.00]</v>
      </c>
      <c r="T43" s="729"/>
      <c r="U43" s="729"/>
      <c r="V43" s="729"/>
      <c r="W43" s="729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408"/>
      <c r="D44" s="425" t="str" cm="1">
        <f t="array" ref="D44">latitudeDecimal2Txt(D41)</f>
        <v>N 23°08.83 (N 23.1472) [N 23°08'50.22]</v>
      </c>
      <c r="E44" s="426"/>
      <c r="F44" s="426"/>
      <c r="G44" s="426"/>
      <c r="H44" s="426"/>
      <c r="I44" s="413"/>
      <c r="J44" s="414"/>
      <c r="K44" s="767"/>
      <c r="L44" s="768"/>
      <c r="M44" s="769"/>
      <c r="N44" s="620"/>
      <c r="O44" s="793"/>
      <c r="P44" s="793"/>
      <c r="Q44" s="793"/>
      <c r="R44" s="793"/>
      <c r="S44" s="729"/>
      <c r="T44" s="729"/>
      <c r="U44" s="729"/>
      <c r="V44" s="729"/>
      <c r="W44" s="729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427" t="s">
        <v>14</v>
      </c>
      <c r="D46" s="420" t="s">
        <v>9</v>
      </c>
      <c r="E46" s="420"/>
      <c r="F46" s="420"/>
      <c r="G46" s="420"/>
      <c r="H46" s="420"/>
      <c r="I46" s="415" t="s">
        <v>619</v>
      </c>
      <c r="J46" s="416"/>
      <c r="K46" s="415" t="s">
        <v>611</v>
      </c>
      <c r="L46" s="432"/>
      <c r="M46" s="612"/>
      <c r="N46" s="430" t="s">
        <v>16</v>
      </c>
      <c r="O46" s="430"/>
      <c r="P46" s="430"/>
      <c r="Q46" s="430"/>
      <c r="R46" s="430"/>
      <c r="S46" s="430" t="s">
        <v>131</v>
      </c>
      <c r="T46" s="430"/>
      <c r="U46" s="430"/>
      <c r="V46" s="430"/>
      <c r="W46" s="430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27"/>
      <c r="D47" s="420"/>
      <c r="E47" s="420"/>
      <c r="F47" s="420"/>
      <c r="G47" s="420"/>
      <c r="H47" s="420"/>
      <c r="I47" s="417"/>
      <c r="J47" s="418"/>
      <c r="K47" s="613"/>
      <c r="L47" s="614"/>
      <c r="M47" s="615"/>
      <c r="N47" s="430"/>
      <c r="O47" s="430"/>
      <c r="P47" s="430"/>
      <c r="Q47" s="430"/>
      <c r="R47" s="430"/>
      <c r="S47" s="430"/>
      <c r="T47" s="430"/>
      <c r="U47" s="430"/>
      <c r="V47" s="430"/>
      <c r="W47" s="430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27"/>
      <c r="D48" s="421" t="str">
        <f>IF(G38=AD39,AD52,"---")</f>
        <v>---</v>
      </c>
      <c r="E48" s="421"/>
      <c r="F48" s="421"/>
      <c r="G48" s="421"/>
      <c r="H48" s="421"/>
      <c r="I48" s="429">
        <f>E11</f>
        <v>8.3147222222222226</v>
      </c>
      <c r="J48" s="429"/>
      <c r="K48" s="608">
        <v>0</v>
      </c>
      <c r="L48" s="608"/>
      <c r="M48" s="609"/>
      <c r="N48" s="620" t="s">
        <v>3</v>
      </c>
      <c r="O48" s="618" t="s">
        <v>610</v>
      </c>
      <c r="P48" s="619"/>
      <c r="Q48" s="619"/>
      <c r="R48" s="619"/>
      <c r="S48" s="620" t="s">
        <v>3</v>
      </c>
      <c r="T48" s="618">
        <f>0.2/60</f>
        <v>3.3333333333333335E-3</v>
      </c>
      <c r="U48" s="619"/>
      <c r="V48" s="619"/>
      <c r="W48" s="619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427"/>
      <c r="D49" s="423"/>
      <c r="E49" s="423"/>
      <c r="F49" s="423"/>
      <c r="G49" s="423"/>
      <c r="H49" s="423"/>
      <c r="I49" s="429"/>
      <c r="J49" s="429"/>
      <c r="K49" s="610"/>
      <c r="L49" s="610"/>
      <c r="M49" s="611"/>
      <c r="N49" s="620"/>
      <c r="O49" s="620"/>
      <c r="P49" s="620"/>
      <c r="Q49" s="620"/>
      <c r="R49" s="620"/>
      <c r="S49" s="620"/>
      <c r="T49" s="620"/>
      <c r="U49" s="620"/>
      <c r="V49" s="620"/>
      <c r="W49" s="620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427"/>
      <c r="D50" s="425" t="e" cm="1">
        <f t="array" ref="D50">latitudeDecimal2Txt(D48)</f>
        <v>#VALUE!</v>
      </c>
      <c r="E50" s="426"/>
      <c r="F50" s="426"/>
      <c r="G50" s="426"/>
      <c r="H50" s="640"/>
      <c r="I50" s="429"/>
      <c r="J50" s="429"/>
      <c r="K50" s="440" t="str" cm="1">
        <f t="array" ref="K50">heureDecimal2Txt(K48)</f>
        <v>00:00:00.00(00.0000)</v>
      </c>
      <c r="L50" s="440"/>
      <c r="M50" s="425"/>
      <c r="N50" s="557" t="str" cm="1">
        <f t="array" ref="N50">angleDecimal2Txt(AD49)</f>
        <v>+23°10.59 (+23.1766) [+23°10'36.00]</v>
      </c>
      <c r="O50" s="557"/>
      <c r="P50" s="557"/>
      <c r="Q50" s="557"/>
      <c r="R50" s="557"/>
      <c r="S50" s="557" t="str" cm="1">
        <f t="array" ref="S50">angleDecimal2Txt(AD51)</f>
        <v>+00°00.19 (+00.0033) [+00°00'11.99]</v>
      </c>
      <c r="T50" s="621"/>
      <c r="U50" s="621"/>
      <c r="V50" s="621"/>
      <c r="W50" s="621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537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427" t="s">
        <v>620</v>
      </c>
      <c r="D52" s="420" t="s">
        <v>9</v>
      </c>
      <c r="E52" s="420"/>
      <c r="F52" s="420"/>
      <c r="G52" s="420"/>
      <c r="H52" s="420"/>
      <c r="I52" s="522" t="s">
        <v>556</v>
      </c>
      <c r="J52" s="523"/>
      <c r="K52" s="523"/>
      <c r="L52" s="523"/>
      <c r="M52" s="524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427"/>
      <c r="D53" s="420"/>
      <c r="E53" s="420"/>
      <c r="F53" s="420"/>
      <c r="G53" s="420"/>
      <c r="H53" s="420"/>
      <c r="I53" s="782"/>
      <c r="J53" s="526"/>
      <c r="K53" s="526"/>
      <c r="L53" s="526"/>
      <c r="M53" s="527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427"/>
      <c r="D54" s="437" t="str">
        <f>IF(G38=AD37,AD55,"---")</f>
        <v>---</v>
      </c>
      <c r="E54" s="423"/>
      <c r="F54" s="423"/>
      <c r="G54" s="423"/>
      <c r="H54" s="423"/>
      <c r="I54" s="791" t="s">
        <v>3</v>
      </c>
      <c r="J54" s="431" t="s">
        <v>618</v>
      </c>
      <c r="K54" s="431"/>
      <c r="L54" s="431"/>
      <c r="M54" s="431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427"/>
      <c r="D55" s="468"/>
      <c r="E55" s="469"/>
      <c r="F55" s="469"/>
      <c r="G55" s="469"/>
      <c r="H55" s="469"/>
      <c r="I55" s="791"/>
      <c r="J55" s="431"/>
      <c r="K55" s="431"/>
      <c r="L55" s="431"/>
      <c r="M55" s="431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427"/>
      <c r="D56" s="426" t="str" cm="1">
        <f t="array" ref="D56">latitudeDecimal2Txt(AD55)</f>
        <v>N 14°43.70 (N 14.7283) [N 14°43'42.00]</v>
      </c>
      <c r="E56" s="426"/>
      <c r="F56" s="426"/>
      <c r="G56" s="426"/>
      <c r="H56" s="426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645</v>
      </c>
      <c r="C58" s="75"/>
      <c r="D58" s="75"/>
      <c r="E58" s="75"/>
      <c r="F58" s="751">
        <f>D62</f>
        <v>0.91509305555555531</v>
      </c>
      <c r="G58" s="647"/>
      <c r="H58" s="647"/>
      <c r="I58" s="1201">
        <f>F58*60</f>
        <v>54.905583333333318</v>
      </c>
      <c r="J58" s="1202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654</v>
      </c>
      <c r="T58" s="641">
        <f>D81</f>
        <v>0.4990558333333332</v>
      </c>
      <c r="U58" s="641"/>
      <c r="V58" s="641"/>
      <c r="W58" s="26"/>
      <c r="X58" s="26"/>
      <c r="Y58" s="26"/>
      <c r="Z58" s="26"/>
      <c r="AA58" s="26"/>
      <c r="AB58" s="64"/>
      <c r="AD58" s="68" t="s">
        <v>555</v>
      </c>
    </row>
    <row r="59" spans="1:65" s="33" customFormat="1" ht="17.25" customHeight="1">
      <c r="C59" s="634" t="s">
        <v>35</v>
      </c>
      <c r="D59" s="634"/>
      <c r="E59" s="634"/>
      <c r="F59" s="634"/>
      <c r="G59" s="753" t="s">
        <v>10</v>
      </c>
      <c r="H59" s="513"/>
      <c r="I59" s="754"/>
      <c r="AB59" s="65"/>
      <c r="AC59" s="510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408" t="s">
        <v>10</v>
      </c>
      <c r="D60" s="419" t="s">
        <v>642</v>
      </c>
      <c r="E60" s="420"/>
      <c r="F60" s="420"/>
      <c r="G60" s="420"/>
      <c r="H60" s="420"/>
      <c r="I60" s="415" t="s">
        <v>619</v>
      </c>
      <c r="J60" s="416"/>
      <c r="K60" s="415" t="s">
        <v>13</v>
      </c>
      <c r="L60" s="432"/>
      <c r="M60" s="612"/>
      <c r="N60" s="430" t="s">
        <v>15</v>
      </c>
      <c r="O60" s="430"/>
      <c r="P60" s="430"/>
      <c r="Q60" s="430"/>
      <c r="R60" s="430"/>
      <c r="S60" s="14"/>
      <c r="AC60" s="510"/>
      <c r="AD60" s="68"/>
    </row>
    <row r="61" spans="1:65" ht="17.25" customHeight="1" thickBot="1">
      <c r="C61" s="408"/>
      <c r="D61" s="419"/>
      <c r="E61" s="420"/>
      <c r="F61" s="420"/>
      <c r="G61" s="420"/>
      <c r="H61" s="420"/>
      <c r="I61" s="417"/>
      <c r="J61" s="418"/>
      <c r="K61" s="613"/>
      <c r="L61" s="614"/>
      <c r="M61" s="615"/>
      <c r="N61" s="430"/>
      <c r="O61" s="430"/>
      <c r="P61" s="430"/>
      <c r="Q61" s="430"/>
      <c r="R61" s="430"/>
      <c r="S61" s="14"/>
      <c r="AD61" s="71" t="s">
        <v>73</v>
      </c>
      <c r="AE61" s="3" t="s">
        <v>180</v>
      </c>
    </row>
    <row r="62" spans="1:65" ht="17.25" customHeight="1" thickTop="1" thickBot="1">
      <c r="C62" s="408"/>
      <c r="D62" s="421">
        <f>AD67</f>
        <v>0.91509305555555531</v>
      </c>
      <c r="E62" s="421"/>
      <c r="F62" s="421"/>
      <c r="G62" s="421"/>
      <c r="H62" s="422"/>
      <c r="I62" s="409">
        <f>E11</f>
        <v>8.3147222222222226</v>
      </c>
      <c r="J62" s="410"/>
      <c r="K62" s="787">
        <v>10</v>
      </c>
      <c r="L62" s="616"/>
      <c r="M62" s="788"/>
      <c r="N62" s="620" t="s">
        <v>3</v>
      </c>
      <c r="O62" s="680" t="s">
        <v>643</v>
      </c>
      <c r="P62" s="815"/>
      <c r="Q62" s="815"/>
      <c r="R62" s="815"/>
      <c r="S62" s="722" t="str" cm="1">
        <f t="array" ref="S62">angleDecimal2Txt(AE62)</f>
        <v>+00°54.39 (+00.9066) [+00°54'24.00]</v>
      </c>
      <c r="T62" s="729"/>
      <c r="U62" s="729"/>
      <c r="V62" s="729"/>
      <c r="W62" s="729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408"/>
      <c r="D63" s="423"/>
      <c r="E63" s="423"/>
      <c r="F63" s="423"/>
      <c r="G63" s="423"/>
      <c r="H63" s="424"/>
      <c r="I63" s="411"/>
      <c r="J63" s="412"/>
      <c r="K63" s="767"/>
      <c r="L63" s="768"/>
      <c r="M63" s="769"/>
      <c r="N63" s="620"/>
      <c r="O63" s="793"/>
      <c r="P63" s="793"/>
      <c r="Q63" s="793"/>
      <c r="R63" s="793"/>
      <c r="S63" s="729"/>
      <c r="T63" s="729"/>
      <c r="U63" s="729"/>
      <c r="V63" s="729"/>
      <c r="W63" s="729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408"/>
      <c r="D64" s="423"/>
      <c r="E64" s="423"/>
      <c r="F64" s="423"/>
      <c r="G64" s="423"/>
      <c r="H64" s="424"/>
      <c r="I64" s="411"/>
      <c r="J64" s="412"/>
      <c r="K64" s="764">
        <v>11</v>
      </c>
      <c r="L64" s="765"/>
      <c r="M64" s="766"/>
      <c r="N64" s="620" t="s">
        <v>3</v>
      </c>
      <c r="O64" s="792" t="s">
        <v>644</v>
      </c>
      <c r="P64" s="793"/>
      <c r="Q64" s="793"/>
      <c r="R64" s="793"/>
      <c r="S64" s="722" t="str" cm="1">
        <f t="array" ref="S64">angleDecimal2Txt((AE63))</f>
        <v>+00°54.10 (+00.9016) [+00°54'06.00]</v>
      </c>
      <c r="T64" s="729"/>
      <c r="U64" s="729"/>
      <c r="V64" s="729"/>
      <c r="W64" s="729"/>
      <c r="AC64" s="3" t="s">
        <v>38</v>
      </c>
      <c r="AD64" s="5">
        <f>AE63-AE62</f>
        <v>-4.9999999999998934E-3</v>
      </c>
    </row>
    <row r="65" spans="1:31" ht="17.25" customHeight="1" thickTop="1" thickBot="1">
      <c r="C65" s="408"/>
      <c r="D65" s="425" t="str" cm="1">
        <f t="array" ref="D65">angleDecimal2Txt(D62)</f>
        <v>+00°54.90 (+00.9150) [+00°54'54.33]</v>
      </c>
      <c r="E65" s="426"/>
      <c r="F65" s="426"/>
      <c r="G65" s="426"/>
      <c r="H65" s="426"/>
      <c r="I65" s="413"/>
      <c r="J65" s="414"/>
      <c r="K65" s="767"/>
      <c r="L65" s="768"/>
      <c r="M65" s="769"/>
      <c r="N65" s="620"/>
      <c r="O65" s="793"/>
      <c r="P65" s="793"/>
      <c r="Q65" s="793"/>
      <c r="R65" s="793"/>
      <c r="S65" s="729"/>
      <c r="T65" s="729"/>
      <c r="U65" s="729"/>
      <c r="V65" s="729"/>
      <c r="W65" s="729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537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427" t="s">
        <v>620</v>
      </c>
      <c r="D67" s="419" t="s">
        <v>642</v>
      </c>
      <c r="E67" s="420"/>
      <c r="F67" s="420"/>
      <c r="G67" s="420"/>
      <c r="H67" s="420"/>
      <c r="I67" s="522" t="s">
        <v>556</v>
      </c>
      <c r="J67" s="523"/>
      <c r="K67" s="523"/>
      <c r="L67" s="523"/>
      <c r="M67" s="524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427"/>
      <c r="D68" s="419"/>
      <c r="E68" s="420"/>
      <c r="F68" s="420"/>
      <c r="G68" s="420"/>
      <c r="H68" s="420"/>
      <c r="I68" s="782"/>
      <c r="J68" s="526"/>
      <c r="K68" s="526"/>
      <c r="L68" s="526"/>
      <c r="M68" s="527"/>
    </row>
    <row r="69" spans="1:31" ht="17.25" hidden="1" customHeight="1" outlineLevel="1">
      <c r="C69" s="427"/>
      <c r="D69" s="437" t="str">
        <f>IF(G53=AD52,AD70,"---")</f>
        <v>---</v>
      </c>
      <c r="E69" s="423"/>
      <c r="F69" s="423"/>
      <c r="G69" s="423"/>
      <c r="H69" s="423"/>
      <c r="I69" s="791" t="s">
        <v>3</v>
      </c>
      <c r="J69" s="431" t="s">
        <v>618</v>
      </c>
      <c r="K69" s="431"/>
      <c r="L69" s="431"/>
      <c r="M69" s="431"/>
    </row>
    <row r="70" spans="1:31" ht="17.25" hidden="1" customHeight="1" outlineLevel="1" thickBot="1">
      <c r="C70" s="427"/>
      <c r="D70" s="468"/>
      <c r="E70" s="469"/>
      <c r="F70" s="469"/>
      <c r="G70" s="469"/>
      <c r="H70" s="469"/>
      <c r="I70" s="791"/>
      <c r="J70" s="431"/>
      <c r="K70" s="431"/>
      <c r="L70" s="431"/>
      <c r="M70" s="431"/>
    </row>
    <row r="71" spans="1:31" ht="17.25" hidden="1" customHeight="1" outlineLevel="1" thickTop="1" thickBot="1">
      <c r="C71" s="427"/>
      <c r="D71" s="426" t="str" cm="1">
        <f t="array" ref="D71">latitudeDecimal2Txt(AD70)</f>
        <v>N 00°00.00 (N 00.0000) [N 00°00'00.00]</v>
      </c>
      <c r="E71" s="426"/>
      <c r="F71" s="426"/>
      <c r="G71" s="426"/>
      <c r="H71" s="426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91" t="s">
        <v>321</v>
      </c>
      <c r="F73" s="1191"/>
      <c r="G73" s="1191"/>
      <c r="H73" s="1191"/>
      <c r="I73" s="1191"/>
      <c r="J73" s="1191"/>
      <c r="K73" s="1191"/>
      <c r="L73" s="1191"/>
      <c r="M73" s="1191"/>
      <c r="N73" s="1191"/>
      <c r="O73" s="1191"/>
      <c r="P73" s="1191"/>
      <c r="Q73" s="1191"/>
      <c r="S73" s="14"/>
      <c r="T73" s="14"/>
      <c r="U73" s="14"/>
      <c r="V73" s="14"/>
      <c r="W73" s="14"/>
      <c r="X73" s="14"/>
    </row>
    <row r="74" spans="1:31" ht="17.25" hidden="1" customHeight="1" outlineLevel="1">
      <c r="C74" s="1197" t="s">
        <v>313</v>
      </c>
      <c r="D74" s="1197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647</v>
      </c>
      <c r="AD74" s="5">
        <f>I58</f>
        <v>54.905583333333318</v>
      </c>
    </row>
    <row r="75" spans="1:31" ht="17.25" hidden="1" customHeight="1" outlineLevel="1">
      <c r="C75" s="1197" t="s">
        <v>484</v>
      </c>
      <c r="D75" s="1197"/>
      <c r="E75" s="144" t="s">
        <v>314</v>
      </c>
      <c r="F75" s="144" t="s">
        <v>322</v>
      </c>
      <c r="G75" s="144" t="s">
        <v>323</v>
      </c>
      <c r="H75" s="144" t="s">
        <v>324</v>
      </c>
      <c r="I75" s="144" t="s">
        <v>325</v>
      </c>
      <c r="J75" s="144" t="s">
        <v>326</v>
      </c>
      <c r="K75" s="144" t="s">
        <v>327</v>
      </c>
      <c r="L75" s="144" t="s">
        <v>328</v>
      </c>
      <c r="M75" s="144" t="s">
        <v>329</v>
      </c>
      <c r="N75" s="144" t="s">
        <v>320</v>
      </c>
      <c r="O75" s="144" t="s">
        <v>330</v>
      </c>
      <c r="P75" s="144" t="s">
        <v>331</v>
      </c>
      <c r="Q75" s="144" t="s">
        <v>315</v>
      </c>
      <c r="S75" s="14"/>
      <c r="T75" s="14"/>
      <c r="U75" s="14"/>
      <c r="V75" s="14"/>
      <c r="W75" s="14"/>
      <c r="X75" s="14"/>
      <c r="AC75" s="253" t="s">
        <v>648</v>
      </c>
      <c r="AD75" s="253">
        <f>MATCH(AD74,E74:Q74,1)</f>
        <v>1</v>
      </c>
    </row>
    <row r="76" spans="1:31" ht="17.25" hidden="1" customHeight="1" outlineLevel="1">
      <c r="C76" s="1197" t="s">
        <v>485</v>
      </c>
      <c r="D76" s="1197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313</v>
      </c>
      <c r="AE76" s="350" t="s">
        <v>654</v>
      </c>
    </row>
    <row r="77" spans="1:31" ht="17.25" hidden="1" customHeight="1" outlineLevel="1">
      <c r="C77" s="1197" t="s">
        <v>71</v>
      </c>
      <c r="D77" s="1197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650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649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420" t="s">
        <v>100</v>
      </c>
      <c r="E79" s="420"/>
      <c r="F79" s="420"/>
      <c r="G79" s="420"/>
      <c r="H79" s="420"/>
      <c r="I79" s="1199" t="s">
        <v>653</v>
      </c>
      <c r="J79" s="612"/>
      <c r="K79" s="1200" t="s">
        <v>646</v>
      </c>
      <c r="L79" s="439"/>
      <c r="M79" s="439"/>
      <c r="N79" s="439" t="s">
        <v>100</v>
      </c>
      <c r="O79" s="439"/>
      <c r="P79" s="439"/>
      <c r="Q79" s="439"/>
      <c r="R79" s="439"/>
      <c r="S79" s="14"/>
      <c r="X79" s="14"/>
      <c r="AC79" s="253" t="s">
        <v>651</v>
      </c>
      <c r="AD79" s="253">
        <f>(AE78-AE77)/(AD78-AD77)</f>
        <v>1.0000000000000009E-2</v>
      </c>
    </row>
    <row r="80" spans="1:31" ht="17.25" hidden="1" customHeight="1" outlineLevel="1" thickBot="1">
      <c r="D80" s="420"/>
      <c r="E80" s="420"/>
      <c r="F80" s="420"/>
      <c r="G80" s="420"/>
      <c r="H80" s="420"/>
      <c r="I80" s="613"/>
      <c r="J80" s="615"/>
      <c r="K80" s="439"/>
      <c r="L80" s="439"/>
      <c r="M80" s="439"/>
      <c r="N80" s="439"/>
      <c r="O80" s="439"/>
      <c r="P80" s="439"/>
      <c r="Q80" s="439"/>
      <c r="R80" s="439"/>
      <c r="S80" s="14"/>
      <c r="X80" s="14"/>
      <c r="AC80" s="253" t="s">
        <v>652</v>
      </c>
      <c r="AD80" s="253">
        <f>AE77+(AD74-AD77)*AD79</f>
        <v>0.4990558333333332</v>
      </c>
    </row>
    <row r="81" spans="1:32" ht="17.25" hidden="1" customHeight="1" outlineLevel="1" thickTop="1" thickBot="1">
      <c r="D81" s="428">
        <f>AD80</f>
        <v>0.4990558333333332</v>
      </c>
      <c r="E81" s="428"/>
      <c r="F81" s="428"/>
      <c r="G81" s="428"/>
      <c r="H81" s="428"/>
      <c r="I81" s="409">
        <f>I58</f>
        <v>54.905583333333318</v>
      </c>
      <c r="J81" s="410"/>
      <c r="K81" s="431">
        <f>AD77</f>
        <v>54</v>
      </c>
      <c r="L81" s="431"/>
      <c r="M81" s="431"/>
      <c r="N81" s="789">
        <f>AE77</f>
        <v>0.49</v>
      </c>
      <c r="O81" s="608"/>
      <c r="P81" s="608"/>
      <c r="Q81" s="608"/>
      <c r="R81" s="790"/>
      <c r="S81" s="467" t="str" cm="1">
        <f t="array" ref="S81">angleDecimal2Txt(AE81)</f>
        <v>+00°00.00 (+00.0000) [+00°00'00.00]</v>
      </c>
      <c r="T81" s="729"/>
      <c r="U81" s="729"/>
      <c r="V81" s="729"/>
      <c r="W81" s="729"/>
      <c r="X81" s="14"/>
    </row>
    <row r="82" spans="1:32" ht="17.25" hidden="1" customHeight="1" outlineLevel="1" thickTop="1" thickBot="1">
      <c r="D82" s="428"/>
      <c r="E82" s="428"/>
      <c r="F82" s="428"/>
      <c r="G82" s="428"/>
      <c r="H82" s="428"/>
      <c r="I82" s="411"/>
      <c r="J82" s="412"/>
      <c r="K82" s="431"/>
      <c r="L82" s="431"/>
      <c r="M82" s="431"/>
      <c r="N82" s="1194"/>
      <c r="O82" s="1195"/>
      <c r="P82" s="1195"/>
      <c r="Q82" s="1195"/>
      <c r="R82" s="1196"/>
      <c r="S82" s="1168"/>
      <c r="T82" s="729"/>
      <c r="U82" s="729"/>
      <c r="V82" s="729"/>
      <c r="W82" s="729"/>
      <c r="X82" s="14"/>
    </row>
    <row r="83" spans="1:32" ht="17.25" hidden="1" customHeight="1" outlineLevel="1" thickTop="1" thickBot="1">
      <c r="D83" s="428"/>
      <c r="E83" s="428"/>
      <c r="F83" s="428"/>
      <c r="G83" s="428"/>
      <c r="H83" s="428"/>
      <c r="I83" s="411"/>
      <c r="J83" s="412"/>
      <c r="K83" s="431">
        <f>AD78</f>
        <v>55</v>
      </c>
      <c r="L83" s="431"/>
      <c r="M83" s="431"/>
      <c r="N83" s="789">
        <f>AE78</f>
        <v>0.5</v>
      </c>
      <c r="O83" s="608"/>
      <c r="P83" s="608"/>
      <c r="Q83" s="608"/>
      <c r="R83" s="790"/>
      <c r="S83" s="467" t="str" cm="1">
        <f t="array" ref="S83">angleDecimal2Txt((AE82))</f>
        <v>+00°00.00 (+00.0000) [+00°00'00.00]</v>
      </c>
      <c r="T83" s="729"/>
      <c r="U83" s="729"/>
      <c r="V83" s="729"/>
      <c r="W83" s="729"/>
      <c r="X83" s="14"/>
    </row>
    <row r="84" spans="1:32" ht="17.25" hidden="1" customHeight="1" outlineLevel="1" thickTop="1" thickBot="1">
      <c r="D84" s="1169" t="str" cm="1">
        <f t="array" ref="D84">angleDecimal2Txt(D81)</f>
        <v>+00°29.94 (+00.4990) [+00°29'56.60]</v>
      </c>
      <c r="E84" s="1169"/>
      <c r="F84" s="1169"/>
      <c r="G84" s="1169"/>
      <c r="H84" s="1169"/>
      <c r="I84" s="413"/>
      <c r="J84" s="414"/>
      <c r="K84" s="431"/>
      <c r="L84" s="431"/>
      <c r="M84" s="431"/>
      <c r="N84" s="1194"/>
      <c r="O84" s="1195"/>
      <c r="P84" s="1195"/>
      <c r="Q84" s="1195"/>
      <c r="R84" s="1196"/>
      <c r="S84" s="1168"/>
      <c r="T84" s="729"/>
      <c r="U84" s="729"/>
      <c r="V84" s="729"/>
      <c r="W84" s="729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383</v>
      </c>
      <c r="C87" s="75"/>
      <c r="D87" s="75"/>
      <c r="E87" s="75"/>
      <c r="F87" s="751">
        <f>IF(G88=AD88,D91,IF(G88=AD87,D104,D98))</f>
        <v>180.03333333333333</v>
      </c>
      <c r="G87" s="647"/>
      <c r="H87" s="647"/>
      <c r="I87" s="26"/>
      <c r="J87" s="26"/>
      <c r="K87" s="26"/>
      <c r="L87" s="750">
        <f>F87-360</f>
        <v>-179.96666666666667</v>
      </c>
      <c r="M87" s="750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554</v>
      </c>
    </row>
    <row r="88" spans="1:32" ht="17.25" customHeight="1">
      <c r="B88" s="33"/>
      <c r="C88" s="634" t="s">
        <v>35</v>
      </c>
      <c r="D88" s="634"/>
      <c r="E88" s="634"/>
      <c r="F88" s="634"/>
      <c r="G88" s="712" t="s">
        <v>14</v>
      </c>
      <c r="H88" s="712"/>
      <c r="I88" s="71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510" t="s">
        <v>36</v>
      </c>
      <c r="AD88" s="68" t="s">
        <v>10</v>
      </c>
    </row>
    <row r="89" spans="1:32" ht="17.25" customHeight="1" outlineLevel="1">
      <c r="C89" s="408" t="s">
        <v>10</v>
      </c>
      <c r="D89" s="434" t="s">
        <v>415</v>
      </c>
      <c r="E89" s="435"/>
      <c r="F89" s="435"/>
      <c r="G89" s="435"/>
      <c r="H89" s="435"/>
      <c r="I89" s="432" t="s">
        <v>619</v>
      </c>
      <c r="J89" s="416"/>
      <c r="K89" s="415" t="s">
        <v>13</v>
      </c>
      <c r="L89" s="432"/>
      <c r="M89" s="612"/>
      <c r="N89" s="522" t="s">
        <v>15</v>
      </c>
      <c r="O89" s="523"/>
      <c r="P89" s="523"/>
      <c r="Q89" s="523"/>
      <c r="R89" s="524"/>
      <c r="S89" s="14"/>
      <c r="AC89" s="510"/>
      <c r="AD89" s="68" t="s">
        <v>14</v>
      </c>
    </row>
    <row r="90" spans="1:32" ht="17.25" customHeight="1" outlineLevel="1" thickBot="1">
      <c r="C90" s="408"/>
      <c r="D90" s="417"/>
      <c r="E90" s="433"/>
      <c r="F90" s="433"/>
      <c r="G90" s="433"/>
      <c r="H90" s="433"/>
      <c r="I90" s="433"/>
      <c r="J90" s="418"/>
      <c r="K90" s="613"/>
      <c r="L90" s="614"/>
      <c r="M90" s="615"/>
      <c r="N90" s="525"/>
      <c r="O90" s="526"/>
      <c r="P90" s="526"/>
      <c r="Q90" s="526"/>
      <c r="R90" s="527"/>
      <c r="S90" s="14"/>
      <c r="AD90" s="71" t="s">
        <v>73</v>
      </c>
      <c r="AE90" s="3" t="s">
        <v>622</v>
      </c>
      <c r="AF90" s="3" t="s">
        <v>180</v>
      </c>
    </row>
    <row r="91" spans="1:32" ht="17.25" customHeight="1" outlineLevel="1" thickTop="1" thickBot="1">
      <c r="C91" s="408"/>
      <c r="D91" s="436" t="str">
        <f>IF(G88=AD88,AF96,"---")</f>
        <v>---</v>
      </c>
      <c r="E91" s="421"/>
      <c r="F91" s="421"/>
      <c r="G91" s="421"/>
      <c r="H91" s="422"/>
      <c r="I91" s="409">
        <f>E39</f>
        <v>0</v>
      </c>
      <c r="J91" s="410"/>
      <c r="K91" s="789">
        <v>10</v>
      </c>
      <c r="L91" s="608"/>
      <c r="M91" s="790"/>
      <c r="N91" s="429" t="s">
        <v>5</v>
      </c>
      <c r="O91" s="635" t="s">
        <v>541</v>
      </c>
      <c r="P91" s="635"/>
      <c r="Q91" s="635"/>
      <c r="R91" s="636"/>
      <c r="S91" s="738" t="str" cm="1">
        <f t="array" ref="S91">angleDecimal2Txt(AF91)</f>
        <v>+329°03.89 (+329.0649) [+329°03'54.00]</v>
      </c>
      <c r="T91" s="738"/>
      <c r="U91" s="738"/>
      <c r="V91" s="738"/>
      <c r="W91" s="738"/>
      <c r="X91" s="738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408"/>
      <c r="D92" s="437"/>
      <c r="E92" s="423"/>
      <c r="F92" s="423"/>
      <c r="G92" s="423"/>
      <c r="H92" s="424"/>
      <c r="I92" s="411"/>
      <c r="J92" s="412"/>
      <c r="K92" s="632"/>
      <c r="L92" s="610"/>
      <c r="M92" s="633"/>
      <c r="N92" s="429"/>
      <c r="O92" s="637"/>
      <c r="P92" s="637"/>
      <c r="Q92" s="637"/>
      <c r="R92" s="638"/>
      <c r="S92" s="738"/>
      <c r="T92" s="738"/>
      <c r="U92" s="738"/>
      <c r="V92" s="738"/>
      <c r="W92" s="738"/>
      <c r="X92" s="738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408"/>
      <c r="D93" s="437"/>
      <c r="E93" s="423"/>
      <c r="F93" s="423"/>
      <c r="G93" s="423"/>
      <c r="H93" s="424"/>
      <c r="I93" s="411"/>
      <c r="J93" s="412"/>
      <c r="K93" s="629">
        <v>11</v>
      </c>
      <c r="L93" s="630"/>
      <c r="M93" s="631"/>
      <c r="N93" s="429" t="s">
        <v>5</v>
      </c>
      <c r="O93" s="739" t="s">
        <v>542</v>
      </c>
      <c r="P93" s="739"/>
      <c r="Q93" s="739"/>
      <c r="R93" s="740"/>
      <c r="S93" s="738" t="str" cm="1">
        <f t="array" ref="S93">angleDecimal2Txt((AF92))</f>
        <v>+344°03.79 (+344.0633) [+344°03'48.00]</v>
      </c>
      <c r="T93" s="738"/>
      <c r="U93" s="738"/>
      <c r="V93" s="738"/>
      <c r="W93" s="738"/>
      <c r="X93" s="738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408"/>
      <c r="D94" s="426" t="e" cm="1">
        <f t="array" ref="D94">angleDecimal2Txt(D91)</f>
        <v>#VALUE!</v>
      </c>
      <c r="E94" s="426"/>
      <c r="F94" s="426"/>
      <c r="G94" s="426"/>
      <c r="H94" s="426"/>
      <c r="I94" s="413"/>
      <c r="J94" s="414"/>
      <c r="K94" s="632"/>
      <c r="L94" s="610"/>
      <c r="M94" s="633"/>
      <c r="N94" s="429"/>
      <c r="O94" s="637"/>
      <c r="P94" s="637"/>
      <c r="Q94" s="637"/>
      <c r="R94" s="638"/>
      <c r="S94" s="738"/>
      <c r="T94" s="738"/>
      <c r="U94" s="738"/>
      <c r="V94" s="738"/>
      <c r="W94" s="738"/>
      <c r="X94" s="738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438" t="s">
        <v>14</v>
      </c>
      <c r="D96" s="420" t="s">
        <v>415</v>
      </c>
      <c r="E96" s="420"/>
      <c r="F96" s="420"/>
      <c r="G96" s="420"/>
      <c r="H96" s="420"/>
      <c r="I96" s="439" t="s">
        <v>619</v>
      </c>
      <c r="J96" s="420"/>
      <c r="K96" s="432" t="s">
        <v>611</v>
      </c>
      <c r="L96" s="432"/>
      <c r="M96" s="612"/>
      <c r="N96" s="522" t="s">
        <v>16</v>
      </c>
      <c r="O96" s="523"/>
      <c r="P96" s="523"/>
      <c r="Q96" s="523"/>
      <c r="R96" s="524"/>
      <c r="S96" s="522" t="s">
        <v>94</v>
      </c>
      <c r="T96" s="523"/>
      <c r="U96" s="523"/>
      <c r="V96" s="523"/>
      <c r="W96" s="524"/>
      <c r="Z96"/>
      <c r="AA96" s="14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438"/>
      <c r="D97" s="420"/>
      <c r="E97" s="420"/>
      <c r="F97" s="420"/>
      <c r="G97" s="420"/>
      <c r="H97" s="420"/>
      <c r="I97" s="420"/>
      <c r="J97" s="420"/>
      <c r="K97" s="614"/>
      <c r="L97" s="614"/>
      <c r="M97" s="615"/>
      <c r="N97" s="525"/>
      <c r="O97" s="526"/>
      <c r="P97" s="526"/>
      <c r="Q97" s="526"/>
      <c r="R97" s="527"/>
      <c r="S97" s="525"/>
      <c r="T97" s="528"/>
      <c r="U97" s="528"/>
      <c r="V97" s="528"/>
      <c r="W97" s="529"/>
      <c r="Z97"/>
      <c r="AA97" s="14"/>
    </row>
    <row r="98" spans="1:66" ht="17.25" customHeight="1" outlineLevel="1">
      <c r="C98" s="438"/>
      <c r="D98" s="428">
        <f>IF(G88=AD89,AF102,"---")</f>
        <v>180.03333333333333</v>
      </c>
      <c r="E98" s="428"/>
      <c r="F98" s="428"/>
      <c r="G98" s="428"/>
      <c r="H98" s="428"/>
      <c r="I98" s="429">
        <f>E39</f>
        <v>0</v>
      </c>
      <c r="J98" s="429"/>
      <c r="K98" s="608">
        <v>0</v>
      </c>
      <c r="L98" s="608"/>
      <c r="M98" s="790"/>
      <c r="N98" s="429" t="s">
        <v>5</v>
      </c>
      <c r="O98" s="616" t="s">
        <v>612</v>
      </c>
      <c r="P98" s="616"/>
      <c r="Q98" s="616"/>
      <c r="R98" s="616"/>
      <c r="S98" s="429" t="s">
        <v>5</v>
      </c>
      <c r="T98" s="560">
        <v>14.997999999999999</v>
      </c>
      <c r="U98" s="429"/>
      <c r="V98" s="429"/>
      <c r="W98" s="429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438"/>
      <c r="D99" s="428"/>
      <c r="E99" s="428"/>
      <c r="F99" s="428"/>
      <c r="G99" s="428"/>
      <c r="H99" s="428"/>
      <c r="I99" s="429"/>
      <c r="J99" s="429"/>
      <c r="K99" s="610"/>
      <c r="L99" s="610"/>
      <c r="M99" s="633"/>
      <c r="N99" s="429"/>
      <c r="O99" s="617"/>
      <c r="P99" s="617"/>
      <c r="Q99" s="617"/>
      <c r="R99" s="617"/>
      <c r="S99" s="429"/>
      <c r="T99" s="429"/>
      <c r="U99" s="429"/>
      <c r="V99" s="429"/>
      <c r="W99" s="429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438"/>
      <c r="D100" s="426" t="str" cm="1">
        <f t="array" ref="D100">angleDecimal2Txt(D98)</f>
        <v>+180°02.00 (+180.0333) [+180°02'00.00]</v>
      </c>
      <c r="E100" s="426"/>
      <c r="F100" s="426"/>
      <c r="G100" s="426"/>
      <c r="H100" s="426"/>
      <c r="I100" s="429"/>
      <c r="J100" s="429"/>
      <c r="K100" s="440" t="str" cm="1">
        <f t="array" ref="K100">heureDecimal2Txt(K98)</f>
        <v>00:00:00.00(00.0000)</v>
      </c>
      <c r="L100" s="440"/>
      <c r="M100" s="425"/>
      <c r="N100" s="622" t="str" cm="1">
        <f t="array" ref="N100">angleDecimal2Txt(AD99)</f>
        <v>+180°02.00 (+180.0333) [+180°02'00.00]</v>
      </c>
      <c r="O100" s="557"/>
      <c r="P100" s="557"/>
      <c r="Q100" s="557"/>
      <c r="R100" s="557"/>
      <c r="S100" s="622" t="str" cm="1">
        <f t="array" ref="S100">angleDecimal2Txt(AD101)</f>
        <v>+14°59.87 (+14.9979) [+14°59'52.79]</v>
      </c>
      <c r="T100" s="623"/>
      <c r="U100" s="623"/>
      <c r="V100" s="623"/>
      <c r="W100" s="623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537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427" t="s">
        <v>620</v>
      </c>
      <c r="D102" s="420" t="s">
        <v>415</v>
      </c>
      <c r="E102" s="420"/>
      <c r="F102" s="420"/>
      <c r="G102" s="420"/>
      <c r="H102" s="420"/>
      <c r="I102" s="430" t="s">
        <v>556</v>
      </c>
      <c r="J102" s="430"/>
      <c r="K102" s="430"/>
      <c r="L102" s="430"/>
      <c r="M102" s="430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427"/>
      <c r="D103" s="420"/>
      <c r="E103" s="420"/>
      <c r="F103" s="420"/>
      <c r="G103" s="420"/>
      <c r="H103" s="420"/>
      <c r="I103" s="430"/>
      <c r="J103" s="430"/>
      <c r="K103" s="430"/>
      <c r="L103" s="430"/>
      <c r="M103" s="430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427"/>
      <c r="D104" s="428" t="str">
        <f>IF(G88=AD87,AD105,"---")</f>
        <v>---</v>
      </c>
      <c r="E104" s="428"/>
      <c r="F104" s="428"/>
      <c r="G104" s="428"/>
      <c r="H104" s="428"/>
      <c r="I104" s="429" t="s">
        <v>5</v>
      </c>
      <c r="J104" s="431" t="s">
        <v>617</v>
      </c>
      <c r="K104" s="431"/>
      <c r="L104" s="431"/>
      <c r="M104" s="431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427"/>
      <c r="D105" s="428"/>
      <c r="E105" s="428"/>
      <c r="F105" s="428"/>
      <c r="G105" s="428"/>
      <c r="H105" s="428"/>
      <c r="I105" s="429"/>
      <c r="J105" s="431"/>
      <c r="K105" s="431"/>
      <c r="L105" s="431"/>
      <c r="M105" s="431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427"/>
      <c r="D106" s="426" t="str" cm="1">
        <f t="array" ref="D106">angleDecimal2Txt(AD105)</f>
        <v>+306°17.88 (+306.2981) [+306°17'53.39]</v>
      </c>
      <c r="E106" s="426"/>
      <c r="F106" s="426"/>
      <c r="G106" s="426"/>
      <c r="H106" s="426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751">
        <f>I109</f>
        <v>243.03333333333333</v>
      </c>
      <c r="G108" s="751"/>
      <c r="H108" s="751"/>
      <c r="I108" s="26"/>
      <c r="J108" s="639" t="s">
        <v>55</v>
      </c>
      <c r="K108" s="639"/>
      <c r="L108" s="639"/>
      <c r="M108" s="814" t="str">
        <f>J23</f>
        <v>BordInf</v>
      </c>
      <c r="N108" s="814"/>
      <c r="O108" s="814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07" t="s">
        <v>21</v>
      </c>
      <c r="D109" s="607"/>
      <c r="E109" s="607"/>
      <c r="F109" s="607"/>
      <c r="G109" s="607"/>
      <c r="H109" s="607"/>
      <c r="I109" s="461">
        <f>AD110</f>
        <v>243.03333333333333</v>
      </c>
      <c r="J109" s="461"/>
      <c r="K109" s="461"/>
      <c r="L109" s="462"/>
      <c r="M109" s="36" t="s">
        <v>45</v>
      </c>
      <c r="N109" s="602">
        <f>AD109</f>
        <v>243.03333333333333</v>
      </c>
      <c r="O109" s="602"/>
      <c r="P109" s="602"/>
      <c r="Q109" s="602"/>
      <c r="R109" s="455" t="str" cm="1">
        <f t="array" ref="R109">angleDecimal2Txt(AD110)</f>
        <v>+243°02.00 (+243.0333) [+243°02'00.00]</v>
      </c>
      <c r="S109" s="456"/>
      <c r="T109" s="456"/>
      <c r="U109" s="456"/>
      <c r="V109" s="456"/>
      <c r="W109" s="457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82" t="s">
        <v>72</v>
      </c>
      <c r="E111" s="643"/>
      <c r="F111" s="647">
        <f>IF(G112=AD112,O150,O140)</f>
        <v>19.87578743053388</v>
      </c>
      <c r="G111" s="647"/>
      <c r="H111" s="647"/>
      <c r="I111" s="26" t="str">
        <f>angleDecimal2Txt(F111,0)</f>
        <v>+19°52.54</v>
      </c>
      <c r="J111" s="26"/>
      <c r="K111" s="26"/>
      <c r="L111" s="26" t="s">
        <v>60</v>
      </c>
      <c r="M111" s="582">
        <f>O114</f>
        <v>18.916666666666668</v>
      </c>
      <c r="N111" s="582"/>
      <c r="O111" s="26"/>
      <c r="P111" s="60"/>
      <c r="Q111" s="26" t="s">
        <v>95</v>
      </c>
      <c r="R111" s="26"/>
      <c r="S111" s="625">
        <f>-O127+O122+O131</f>
        <v>1.0677207638672144</v>
      </c>
      <c r="T111" s="626"/>
      <c r="U111" s="627"/>
      <c r="V111" s="628" t="str" cm="1">
        <f t="array" ref="V111">angleDecimal2Txt(S111)</f>
        <v>+01°04.06 (+01.0677) [+01°04'03.79]</v>
      </c>
      <c r="W111" s="628"/>
      <c r="X111" s="628"/>
      <c r="Y111" s="628"/>
      <c r="Z111" s="628"/>
      <c r="AA111" s="26"/>
      <c r="AB111" s="64"/>
    </row>
    <row r="112" spans="1:66" ht="17.25" customHeight="1">
      <c r="C112" s="786" t="s">
        <v>35</v>
      </c>
      <c r="D112" s="786"/>
      <c r="E112" s="786"/>
      <c r="F112" s="786"/>
      <c r="G112" s="513" t="s">
        <v>51</v>
      </c>
      <c r="H112" s="513"/>
      <c r="I112" s="513"/>
      <c r="P112" s="16" t="s">
        <v>69</v>
      </c>
      <c r="V112" s="14"/>
      <c r="W112" s="14"/>
      <c r="X112" s="14"/>
      <c r="Y112" s="14"/>
      <c r="Z112" s="14"/>
      <c r="AC112" s="510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514" t="s">
        <v>62</v>
      </c>
      <c r="G113" s="514"/>
      <c r="H113" s="515"/>
      <c r="I113" s="515"/>
      <c r="J113" s="624">
        <f>IF(G112=AD112,"---",O140)</f>
        <v>19.87578743053388</v>
      </c>
      <c r="K113" s="624"/>
      <c r="L113" s="624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510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66" t="s">
        <v>47</v>
      </c>
      <c r="I114" s="1166"/>
      <c r="J114" s="1166"/>
      <c r="K114" s="1166"/>
      <c r="L114" s="1166"/>
      <c r="M114" s="1166"/>
      <c r="N114" s="1166"/>
      <c r="O114" s="565">
        <f>J21</f>
        <v>18.916666666666668</v>
      </c>
      <c r="P114" s="565"/>
      <c r="Q114" s="565"/>
      <c r="R114" s="565"/>
      <c r="S114" s="16" t="s">
        <v>54</v>
      </c>
      <c r="U114" s="557" t="str" cm="1">
        <f t="array" ref="U114">angleDecimal2Txt(O114)</f>
        <v>+18°55.00 (+18.9166) [+18°55'00.00]</v>
      </c>
      <c r="V114" s="557"/>
      <c r="W114" s="557"/>
      <c r="X114" s="557"/>
      <c r="Y114" s="557"/>
      <c r="Z114" s="557"/>
    </row>
    <row r="115" spans="1:32" ht="17.25" customHeight="1" outlineLevel="1" thickTop="1" thickBot="1">
      <c r="C115" s="16"/>
      <c r="D115" s="16"/>
      <c r="E115" s="16"/>
      <c r="F115" s="16"/>
      <c r="G115" s="16"/>
      <c r="H115" s="1166" t="s">
        <v>24</v>
      </c>
      <c r="I115" s="1166"/>
      <c r="J115" s="1166"/>
      <c r="K115" s="1166"/>
      <c r="L115" s="1166"/>
      <c r="M115" s="1166"/>
      <c r="N115" s="1166"/>
      <c r="O115" s="565">
        <f>J20</f>
        <v>0.05</v>
      </c>
      <c r="P115" s="565"/>
      <c r="Q115" s="565"/>
      <c r="R115" s="565"/>
      <c r="S115" s="16" t="s">
        <v>54</v>
      </c>
      <c r="U115" s="557" t="str" cm="1">
        <f t="array" ref="U115">angleDecimal2Txt(O115)</f>
        <v>+00°03.00 (+00.0500) [+00°03'00.00]</v>
      </c>
      <c r="V115" s="557"/>
      <c r="W115" s="557"/>
      <c r="X115" s="557"/>
      <c r="Y115" s="557"/>
      <c r="Z115" s="557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67" t="s">
        <v>68</v>
      </c>
      <c r="I116" s="1167"/>
      <c r="J116" s="1167"/>
      <c r="K116" s="1167"/>
      <c r="L116" s="1167"/>
      <c r="M116" s="1167"/>
      <c r="N116" s="1167"/>
      <c r="O116" s="592">
        <f>AD117</f>
        <v>5.8599999999999999E-2</v>
      </c>
      <c r="P116" s="592"/>
      <c r="Q116" s="592"/>
      <c r="R116" s="592"/>
      <c r="S116" s="16" t="s">
        <v>54</v>
      </c>
      <c r="U116" s="557" t="str" cm="1">
        <f t="array" ref="U116">angleDecimal2Txt(O116)</f>
        <v>+00°03.51 (+00.0586) [+00°03'30.96]</v>
      </c>
      <c r="V116" s="557"/>
      <c r="W116" s="557"/>
      <c r="X116" s="557"/>
      <c r="Y116" s="557"/>
      <c r="Z116" s="557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1015" t="s">
        <v>113</v>
      </c>
      <c r="N117" s="1015"/>
      <c r="O117" s="1015"/>
      <c r="P117" s="1015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65" t="s">
        <v>48</v>
      </c>
      <c r="I118" s="1165"/>
      <c r="J118" s="1165"/>
      <c r="K118" s="1165"/>
      <c r="L118" s="1165"/>
      <c r="M118" s="1165"/>
      <c r="N118" s="1165"/>
      <c r="O118" s="659">
        <f>O114-O115-O116</f>
        <v>18.808066666666669</v>
      </c>
      <c r="P118" s="555"/>
      <c r="Q118" s="16" t="s">
        <v>54</v>
      </c>
      <c r="R118" s="588">
        <f>O118*Outils!F4</f>
        <v>0.32826268926792818</v>
      </c>
      <c r="S118" s="588"/>
      <c r="T118" s="37" t="s">
        <v>64</v>
      </c>
      <c r="U118" s="557" t="str" cm="1">
        <f t="array" ref="U118">angleDecimal2Txt(O118)</f>
        <v>+18°48.48 (+18.8080) [+18°48'29.04]</v>
      </c>
      <c r="V118" s="557"/>
      <c r="W118" s="557"/>
      <c r="X118" s="557"/>
      <c r="Y118" s="557"/>
      <c r="Z118" s="557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64" t="s">
        <v>655</v>
      </c>
      <c r="N120" s="1164"/>
      <c r="O120" s="1164"/>
      <c r="P120" s="1164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592" t="s">
        <v>52</v>
      </c>
      <c r="I121" s="592"/>
      <c r="J121" s="592"/>
      <c r="K121" s="592"/>
      <c r="L121" s="592"/>
      <c r="M121" s="592"/>
      <c r="N121" s="592"/>
      <c r="O121" s="784">
        <f>IF(OR(F58&lt;0.89,F58&gt;1.1),J24,F58)</f>
        <v>0.91509305555555531</v>
      </c>
      <c r="P121" s="785"/>
      <c r="Q121" s="785"/>
      <c r="R121" s="785"/>
      <c r="S121" s="16" t="s">
        <v>54</v>
      </c>
      <c r="U121" s="557" t="str" cm="1">
        <f t="array" ref="U121">angleDecimal2Txt(O121)</f>
        <v>+00°54.90 (+00.9150) [+00°54'54.33]</v>
      </c>
      <c r="V121" s="557"/>
      <c r="W121" s="557"/>
      <c r="X121" s="557"/>
      <c r="Y121" s="557"/>
      <c r="Z121" s="557"/>
      <c r="AC121" s="3" t="s">
        <v>312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599" t="s">
        <v>140</v>
      </c>
      <c r="I122" s="600"/>
      <c r="J122" s="600"/>
      <c r="K122" s="600"/>
      <c r="L122" s="600"/>
      <c r="M122" s="600"/>
      <c r="N122" s="601"/>
      <c r="O122" s="556">
        <f>AF121</f>
        <v>0.86622680782315009</v>
      </c>
      <c r="P122" s="556"/>
      <c r="Q122" s="556"/>
      <c r="R122" s="556"/>
      <c r="S122" s="16" t="s">
        <v>54</v>
      </c>
      <c r="U122" s="557" t="str" cm="1">
        <f t="array" ref="U122">angleDecimal2Txt(O122)</f>
        <v>+00°51.97 (+00.8662) [+00°51'58.41]</v>
      </c>
      <c r="V122" s="557"/>
      <c r="W122" s="557"/>
      <c r="X122" s="557"/>
      <c r="Y122" s="557"/>
      <c r="Z122" s="557"/>
      <c r="AC122" s="11" t="s">
        <v>702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604" t="s">
        <v>126</v>
      </c>
      <c r="T124" s="605"/>
      <c r="U124" s="606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592" t="s">
        <v>65</v>
      </c>
      <c r="I125" s="592"/>
      <c r="J125" s="592"/>
      <c r="K125" s="592"/>
      <c r="L125" s="592"/>
      <c r="M125" s="592"/>
      <c r="N125" s="592"/>
      <c r="O125" s="590">
        <f>S125</f>
        <v>10</v>
      </c>
      <c r="P125" s="591"/>
      <c r="Q125" s="591"/>
      <c r="R125" s="591"/>
      <c r="S125" s="644">
        <v>10</v>
      </c>
      <c r="T125" s="645"/>
      <c r="U125" s="646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592" t="s">
        <v>66</v>
      </c>
      <c r="I126" s="592"/>
      <c r="J126" s="592"/>
      <c r="K126" s="592"/>
      <c r="L126" s="592"/>
      <c r="M126" s="592"/>
      <c r="N126" s="592"/>
      <c r="O126" s="590">
        <f>S126</f>
        <v>1010</v>
      </c>
      <c r="P126" s="591"/>
      <c r="Q126" s="591"/>
      <c r="R126" s="591"/>
      <c r="S126" s="644">
        <v>1010</v>
      </c>
      <c r="T126" s="645"/>
      <c r="U126" s="646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599" t="s">
        <v>141</v>
      </c>
      <c r="I127" s="600"/>
      <c r="J127" s="600"/>
      <c r="K127" s="600"/>
      <c r="L127" s="600"/>
      <c r="M127" s="600"/>
      <c r="N127" s="601"/>
      <c r="O127" s="556">
        <f>AD128</f>
        <v>4.8033960622602137E-2</v>
      </c>
      <c r="P127" s="556"/>
      <c r="Q127" s="556"/>
      <c r="R127" s="556"/>
      <c r="S127" s="16" t="s">
        <v>54</v>
      </c>
      <c r="U127" s="557" t="str" cm="1">
        <f t="array" ref="U127">angleDecimal2Txt(O127)</f>
        <v>+00°02.88 (+00.0480) [+00°02'52.92]</v>
      </c>
      <c r="V127" s="557"/>
      <c r="W127" s="557"/>
      <c r="X127" s="557"/>
      <c r="Y127" s="557"/>
      <c r="Z127" s="557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592" t="s">
        <v>100</v>
      </c>
      <c r="I129" s="592"/>
      <c r="J129" s="592"/>
      <c r="K129" s="592"/>
      <c r="L129" s="592"/>
      <c r="M129" s="592"/>
      <c r="N129" s="592"/>
      <c r="O129" s="589">
        <f>IF(OR(F58&lt;0.89,F58&gt;1.1),J26,T58)</f>
        <v>0.4990558333333332</v>
      </c>
      <c r="P129" s="589"/>
      <c r="Q129" s="589"/>
      <c r="R129" s="589"/>
    </row>
    <row r="130" spans="1:31" ht="17.25" customHeight="1" outlineLevel="1" thickBot="1">
      <c r="B130" s="14"/>
      <c r="C130" s="14"/>
      <c r="D130" s="14"/>
      <c r="H130" s="592" t="s">
        <v>70</v>
      </c>
      <c r="I130" s="592"/>
      <c r="J130" s="592"/>
      <c r="K130" s="592"/>
      <c r="L130" s="592"/>
      <c r="M130" s="592"/>
      <c r="N130" s="592"/>
      <c r="O130" s="589" t="str">
        <f>J23</f>
        <v>BordInf</v>
      </c>
      <c r="P130" s="589"/>
      <c r="Q130" s="589"/>
      <c r="R130" s="589"/>
      <c r="AC130" s="3" t="s">
        <v>30</v>
      </c>
      <c r="AD130" s="641" t="str">
        <f>J22</f>
        <v>Lune</v>
      </c>
      <c r="AE130" s="641"/>
    </row>
    <row r="131" spans="1:31" ht="17.25" customHeight="1" outlineLevel="1" thickTop="1" thickBot="1">
      <c r="H131" s="1161" t="s">
        <v>71</v>
      </c>
      <c r="I131" s="1162"/>
      <c r="J131" s="1162"/>
      <c r="K131" s="1162"/>
      <c r="L131" s="1162"/>
      <c r="M131" s="1162"/>
      <c r="N131" s="1163"/>
      <c r="O131" s="602">
        <f>AD134</f>
        <v>0.24952791666666649</v>
      </c>
      <c r="P131" s="602"/>
      <c r="Q131" s="602"/>
      <c r="R131" s="602"/>
      <c r="S131" s="16" t="s">
        <v>54</v>
      </c>
      <c r="U131" s="557" t="str" cm="1">
        <f t="array" ref="U131">angleDecimal2Txt(O131)</f>
        <v>+00°14.97 (+00.2495) [+00°14'58.30]</v>
      </c>
      <c r="V131" s="557"/>
      <c r="W131" s="557"/>
      <c r="X131" s="557"/>
      <c r="Y131" s="557"/>
      <c r="Z131" s="557"/>
      <c r="AC131" s="3" t="s">
        <v>190</v>
      </c>
      <c r="AD131" s="641" t="str">
        <f>O130</f>
        <v>BordInf</v>
      </c>
      <c r="AE131" s="641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42">
        <f>HLOOKUP(AD131,AD25:AF26,2)</f>
        <v>0.5</v>
      </c>
      <c r="AE132" s="642"/>
    </row>
    <row r="133" spans="1:31" ht="17.25" customHeight="1" outlineLevel="1">
      <c r="G133" s="545" t="s">
        <v>107</v>
      </c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7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409" t="s">
        <v>115</v>
      </c>
      <c r="H134" s="410"/>
      <c r="I134" s="516" t="s">
        <v>110</v>
      </c>
      <c r="J134" s="517"/>
      <c r="K134" s="517"/>
      <c r="L134" s="517"/>
      <c r="M134" s="517"/>
      <c r="N134" s="518"/>
      <c r="O134" s="550">
        <f>(O122-O127-O116+O129/2) * 60</f>
        <v>60.547245832032878</v>
      </c>
      <c r="P134" s="543"/>
      <c r="Q134" s="543"/>
      <c r="R134" s="543"/>
      <c r="S134" s="548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42">
        <f>AE133*AD132</f>
        <v>0.24952791666666649</v>
      </c>
      <c r="AE134" s="642"/>
    </row>
    <row r="135" spans="1:31" ht="17.25" customHeight="1" outlineLevel="1">
      <c r="G135" s="413"/>
      <c r="H135" s="414"/>
      <c r="I135" s="1158" t="s">
        <v>114</v>
      </c>
      <c r="J135" s="1159"/>
      <c r="K135" s="1159"/>
      <c r="L135" s="1159"/>
      <c r="M135" s="1159"/>
      <c r="N135" s="1160"/>
      <c r="O135" s="551"/>
      <c r="P135" s="544"/>
      <c r="Q135" s="544"/>
      <c r="R135" s="544"/>
      <c r="S135" s="549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516" t="s">
        <v>111</v>
      </c>
      <c r="J136" s="517"/>
      <c r="K136" s="517"/>
      <c r="L136" s="517"/>
      <c r="M136" s="517"/>
      <c r="N136" s="518"/>
      <c r="O136" s="543">
        <f>(O122-O127+O129/2)*60</f>
        <v>64.063245832032877</v>
      </c>
      <c r="P136" s="543"/>
      <c r="Q136" s="543"/>
      <c r="R136" s="543"/>
      <c r="S136" s="548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519" t="s">
        <v>112</v>
      </c>
      <c r="J137" s="520"/>
      <c r="K137" s="520"/>
      <c r="L137" s="520"/>
      <c r="M137" s="520"/>
      <c r="N137" s="521"/>
      <c r="O137" s="544"/>
      <c r="P137" s="544"/>
      <c r="Q137" s="544"/>
      <c r="R137" s="544"/>
      <c r="S137" s="549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157" t="s">
        <v>71</v>
      </c>
      <c r="J138" s="1157"/>
      <c r="K138" s="1157"/>
      <c r="L138" s="1157"/>
      <c r="M138" s="1157"/>
      <c r="N138" s="1157"/>
      <c r="O138" s="535">
        <f>O131*60</f>
        <v>14.971674999999989</v>
      </c>
      <c r="P138" s="536"/>
      <c r="Q138" s="536"/>
      <c r="R138" s="536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552" t="s">
        <v>142</v>
      </c>
      <c r="I140" s="553"/>
      <c r="J140" s="553"/>
      <c r="K140" s="553"/>
      <c r="L140" s="553"/>
      <c r="M140" s="553"/>
      <c r="N140" s="554"/>
      <c r="O140" s="555">
        <f>O118-O127+O122+O131</f>
        <v>19.87578743053388</v>
      </c>
      <c r="P140" s="556"/>
      <c r="Q140" s="556"/>
      <c r="R140" s="556"/>
      <c r="S140" s="16" t="s">
        <v>54</v>
      </c>
      <c r="U140" s="557" t="str" cm="1">
        <f t="array" ref="U140">angleDecimal2Txt(O140)</f>
        <v>+19°52.54 (+19.8757) [+19°52'32.83]</v>
      </c>
      <c r="V140" s="557"/>
      <c r="W140" s="557"/>
      <c r="X140" s="557"/>
      <c r="Y140" s="557"/>
      <c r="Z140" s="557"/>
    </row>
    <row r="141" spans="1:31" ht="17.25" customHeight="1" outlineLevel="1" thickTop="1"/>
    <row r="142" spans="1:31" ht="17.25" customHeight="1" outlineLevel="1">
      <c r="F142" s="514" t="s">
        <v>63</v>
      </c>
      <c r="G142" s="514"/>
      <c r="H142" s="514"/>
      <c r="I142" s="514"/>
      <c r="J142" s="556" t="str">
        <f>IF(G112=AD112,O150,"---")</f>
        <v>---</v>
      </c>
      <c r="K142" s="556"/>
      <c r="L142" s="556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811" t="s">
        <v>33</v>
      </c>
      <c r="V144" s="811"/>
    </row>
    <row r="145" spans="2:29" ht="17.25" customHeight="1" outlineLevel="1">
      <c r="T145" s="101" t="s">
        <v>78</v>
      </c>
      <c r="U145" s="811" t="s">
        <v>80</v>
      </c>
      <c r="V145" s="811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779" t="s">
        <v>75</v>
      </c>
      <c r="L146" s="16" t="s">
        <v>59</v>
      </c>
      <c r="N146" s="779" t="s">
        <v>77</v>
      </c>
      <c r="O146" s="40" t="s">
        <v>230</v>
      </c>
      <c r="Q146" s="779" t="s">
        <v>77</v>
      </c>
      <c r="R146" s="16" t="s">
        <v>231</v>
      </c>
      <c r="T146" s="99" t="s">
        <v>79</v>
      </c>
      <c r="U146" s="812" t="s">
        <v>81</v>
      </c>
      <c r="V146" s="812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779"/>
      <c r="L147" s="537">
        <f>O115</f>
        <v>0.05</v>
      </c>
      <c r="M147" s="538"/>
      <c r="N147" s="779"/>
      <c r="O147" s="541" t="s">
        <v>146</v>
      </c>
      <c r="P147" s="542"/>
      <c r="Q147" s="779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229</v>
      </c>
      <c r="L148" s="539" cm="1">
        <f t="array" ref="L148">angleConvert2Decimal(L147)</f>
        <v>0.05</v>
      </c>
      <c r="M148" s="540"/>
      <c r="O148" s="583" cm="1">
        <f t="array" ref="O148">angleConvert2Decimal(O147)</f>
        <v>0.17166666666666669</v>
      </c>
      <c r="P148" s="584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55" t="str" cm="1">
        <f t="array" ref="W148">angleDecimal2Txt(V148)</f>
        <v>-00°21.69 (-00.3616) [-00°21'42.00]</v>
      </c>
      <c r="X148" s="471"/>
      <c r="Y148" s="471"/>
      <c r="Z148" s="471"/>
      <c r="AA148" s="472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552" t="s">
        <v>145</v>
      </c>
      <c r="I150" s="553"/>
      <c r="J150" s="553"/>
      <c r="K150" s="553"/>
      <c r="L150" s="553"/>
      <c r="M150" s="553"/>
      <c r="N150" s="554"/>
      <c r="O150" s="555">
        <f>J147-L148+O148+R148</f>
        <v>18.504999999999999</v>
      </c>
      <c r="P150" s="556"/>
      <c r="Q150" s="556"/>
      <c r="R150" s="556"/>
      <c r="S150" s="16" t="s">
        <v>54</v>
      </c>
      <c r="U150" s="557" t="str" cm="1">
        <f t="array" ref="U150">angleDecimal2Txt(O150)</f>
        <v>+18°30.30 (+18.5049) [+18°30'18.00]</v>
      </c>
      <c r="V150" s="557"/>
      <c r="W150" s="557"/>
      <c r="X150" s="557"/>
      <c r="Y150" s="557"/>
      <c r="Z150" s="557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734" t="s">
        <v>83</v>
      </c>
      <c r="P153" s="734"/>
      <c r="Q153" s="734"/>
      <c r="R153" s="734"/>
      <c r="S153" s="734"/>
      <c r="T153" s="734"/>
      <c r="U153" s="734"/>
      <c r="V153" s="734"/>
      <c r="W153" s="734"/>
      <c r="X153" s="734"/>
      <c r="Y153" s="734"/>
      <c r="Z153" s="734"/>
      <c r="AA153" s="734"/>
    </row>
    <row r="154" spans="2:29" ht="17.25" customHeight="1">
      <c r="C154" s="14"/>
      <c r="D154" s="14"/>
      <c r="E154" s="593" t="s">
        <v>22</v>
      </c>
      <c r="F154" s="594"/>
      <c r="G154" s="594"/>
      <c r="H154" s="594"/>
      <c r="I154" s="428" cm="1">
        <f t="array" ref="I154">astroCalculHc(Q155,Q154,Q156)</f>
        <v>-33.460726281587164</v>
      </c>
      <c r="J154" s="428"/>
      <c r="K154" s="428"/>
      <c r="L154" s="428"/>
      <c r="M154" s="428"/>
      <c r="O154" s="565" t="s">
        <v>84</v>
      </c>
      <c r="P154" s="565"/>
      <c r="Q154" s="565">
        <f>F37</f>
        <v>23.147284259259258</v>
      </c>
      <c r="R154" s="565"/>
      <c r="S154" s="565"/>
      <c r="T154" s="411" t="s">
        <v>54</v>
      </c>
      <c r="U154" s="731">
        <f>Q154*Outils!$F$4</f>
        <v>0.40399632321913082</v>
      </c>
      <c r="V154" s="732"/>
      <c r="W154" s="733"/>
      <c r="X154" s="411" t="s">
        <v>64</v>
      </c>
    </row>
    <row r="155" spans="2:29" ht="17.25" customHeight="1" thickBot="1">
      <c r="C155" s="14"/>
      <c r="D155" s="14"/>
      <c r="E155" s="595"/>
      <c r="F155" s="596"/>
      <c r="G155" s="596"/>
      <c r="H155" s="596"/>
      <c r="I155" s="428"/>
      <c r="J155" s="428"/>
      <c r="K155" s="428"/>
      <c r="L155" s="428"/>
      <c r="M155" s="428"/>
      <c r="N155" s="48" t="s">
        <v>116</v>
      </c>
      <c r="O155" s="565" t="s">
        <v>85</v>
      </c>
      <c r="P155" s="565"/>
      <c r="Q155" s="565">
        <f>G32</f>
        <v>-27.5</v>
      </c>
      <c r="R155" s="565"/>
      <c r="S155" s="565"/>
      <c r="T155" s="411"/>
      <c r="U155" s="731">
        <f>Q155*Outils!$F$4</f>
        <v>-0.47996554429844063</v>
      </c>
      <c r="V155" s="732"/>
      <c r="W155" s="733"/>
      <c r="X155" s="411"/>
    </row>
    <row r="156" spans="2:29" ht="17.25" customHeight="1" thickTop="1" thickBot="1">
      <c r="C156" s="14"/>
      <c r="D156" s="14"/>
      <c r="E156" s="597"/>
      <c r="F156" s="598"/>
      <c r="G156" s="598"/>
      <c r="H156" s="598"/>
      <c r="I156" s="557" t="str" cm="1">
        <f t="array" ref="I156">angleDecimal2Txt(I154)</f>
        <v>-33°27.64 (-33.4607) [-33°27'38.61]</v>
      </c>
      <c r="J156" s="557"/>
      <c r="K156" s="557"/>
      <c r="L156" s="557"/>
      <c r="M156" s="557"/>
      <c r="O156" s="565" t="s">
        <v>43</v>
      </c>
      <c r="P156" s="565"/>
      <c r="Q156" s="565">
        <f>F108</f>
        <v>243.03333333333333</v>
      </c>
      <c r="R156" s="565"/>
      <c r="S156" s="565"/>
      <c r="T156" s="411"/>
      <c r="U156" s="731">
        <f>Q156*Outils!$F$4</f>
        <v>4.2417318587635524</v>
      </c>
      <c r="V156" s="732"/>
      <c r="W156" s="733"/>
      <c r="X156" s="411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93" t="s">
        <v>25</v>
      </c>
      <c r="F158" s="594"/>
      <c r="G158" s="594"/>
      <c r="H158" s="594"/>
      <c r="I158" s="428">
        <f>F111</f>
        <v>19.87578743053388</v>
      </c>
      <c r="J158" s="428"/>
      <c r="K158" s="428"/>
      <c r="L158" s="428"/>
      <c r="M158" s="428"/>
    </row>
    <row r="159" spans="2:29" ht="17.25" customHeight="1" thickBot="1">
      <c r="C159" s="14"/>
      <c r="D159" s="14"/>
      <c r="E159" s="595"/>
      <c r="F159" s="596"/>
      <c r="G159" s="596"/>
      <c r="H159" s="596"/>
      <c r="I159" s="428"/>
      <c r="J159" s="428"/>
      <c r="K159" s="428"/>
      <c r="L159" s="428"/>
      <c r="M159" s="428"/>
      <c r="O159" s="735" t="s">
        <v>27</v>
      </c>
      <c r="P159" s="736"/>
      <c r="Q159" s="736"/>
      <c r="R159" s="736"/>
      <c r="S159" s="1016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53" t="str">
        <f>IF(T159&gt;0,"Vers Pg", "Oppose de Pg")</f>
        <v>Vers Pg</v>
      </c>
      <c r="Z159" s="653"/>
    </row>
    <row r="160" spans="2:29" ht="17.25" customHeight="1" thickTop="1" thickBot="1">
      <c r="C160" s="14"/>
      <c r="D160" s="14"/>
      <c r="E160" s="597"/>
      <c r="F160" s="598"/>
      <c r="G160" s="598"/>
      <c r="H160" s="598"/>
      <c r="I160" s="557" t="str" cm="1">
        <f t="array" ref="I160">angleDecimal2Txt(I158)</f>
        <v>+19°52.54 (+19.8757) [+19°52'32.83]</v>
      </c>
      <c r="J160" s="557"/>
      <c r="K160" s="557"/>
      <c r="L160" s="557"/>
      <c r="M160" s="557"/>
      <c r="S160" s="603" t="s">
        <v>363</v>
      </c>
      <c r="T160" s="1181" t="s">
        <v>381</v>
      </c>
      <c r="U160" s="1181"/>
      <c r="V160" s="1181">
        <f>F37</f>
        <v>23.147284259259258</v>
      </c>
      <c r="W160" s="1181"/>
      <c r="X160" s="1182" t="str">
        <f>latitudeDecimal2Txt(V160)</f>
        <v>N 23°08.83 (N 23.1472) [N 23°08'50.22]</v>
      </c>
      <c r="Y160" s="1182"/>
      <c r="Z160" s="1182"/>
      <c r="AA160" s="1182"/>
      <c r="AB160" s="1182"/>
      <c r="AC160" s="1182"/>
    </row>
    <row r="161" spans="1:29" ht="17.25" customHeight="1" thickTop="1">
      <c r="C161" s="14"/>
      <c r="D161" s="14"/>
      <c r="E161" s="16"/>
      <c r="F161" s="16"/>
      <c r="G161" s="16"/>
      <c r="S161" s="603"/>
      <c r="T161" s="1183" t="s">
        <v>382</v>
      </c>
      <c r="U161" s="1183"/>
      <c r="V161" s="1181" cm="1">
        <f t="array" ref="V161">longitudeHoraire2longitude(F87)</f>
        <v>179.96666666666667</v>
      </c>
      <c r="W161" s="1183"/>
      <c r="X161" s="1184" t="str">
        <f>longitudeDecimal2Txt(V161)</f>
        <v>E 179°58.00 (E 179.9666) [E 179°58'00.00]</v>
      </c>
      <c r="Y161" s="1184"/>
      <c r="Z161" s="1184"/>
      <c r="AA161" s="1184"/>
      <c r="AB161" s="1184"/>
      <c r="AC161" s="1184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701" t="s">
        <v>86</v>
      </c>
      <c r="P165" s="702"/>
      <c r="Q165" s="702"/>
      <c r="R165" s="702"/>
      <c r="S165" s="702"/>
      <c r="T165" s="702"/>
      <c r="U165" s="702"/>
      <c r="V165" s="702"/>
      <c r="W165" s="702"/>
      <c r="X165" s="702"/>
      <c r="Y165" s="702"/>
      <c r="Z165" s="702"/>
      <c r="AA165" s="702"/>
    </row>
    <row r="166" spans="1:29" ht="17.25" customHeight="1">
      <c r="A166" s="14"/>
      <c r="B166" s="14"/>
      <c r="C166" s="14"/>
      <c r="D166" s="14"/>
      <c r="E166" s="593" t="s">
        <v>92</v>
      </c>
      <c r="F166" s="594"/>
      <c r="G166" s="594"/>
      <c r="H166" s="1178"/>
      <c r="I166" s="421" cm="1">
        <f t="array" ref="I166">astroCalculZ(Q167,Q166,Q168)</f>
        <v>100.7875102528494</v>
      </c>
      <c r="J166" s="421"/>
      <c r="K166" s="421"/>
      <c r="L166" s="421"/>
      <c r="M166" s="422"/>
      <c r="O166" s="565" t="s">
        <v>84</v>
      </c>
      <c r="P166" s="565"/>
      <c r="Q166" s="565">
        <f>Q154</f>
        <v>23.147284259259258</v>
      </c>
      <c r="R166" s="565"/>
      <c r="S166" s="565"/>
      <c r="T166" s="411" t="s">
        <v>54</v>
      </c>
      <c r="U166" s="565">
        <f>Q166*Outils!$F$4</f>
        <v>0.40399632321913082</v>
      </c>
      <c r="V166" s="565"/>
      <c r="W166" s="565"/>
      <c r="X166" s="411" t="s">
        <v>64</v>
      </c>
    </row>
    <row r="167" spans="1:29" ht="17.25" customHeight="1" thickBot="1">
      <c r="C167" s="14"/>
      <c r="D167" s="14"/>
      <c r="E167" s="595"/>
      <c r="F167" s="596"/>
      <c r="G167" s="596"/>
      <c r="H167" s="1179"/>
      <c r="I167" s="1013"/>
      <c r="J167" s="1013"/>
      <c r="K167" s="1013"/>
      <c r="L167" s="1013"/>
      <c r="M167" s="1014"/>
      <c r="N167" s="48" t="s">
        <v>116</v>
      </c>
      <c r="O167" s="565" t="s">
        <v>85</v>
      </c>
      <c r="P167" s="565"/>
      <c r="Q167" s="565">
        <f>Q155</f>
        <v>-27.5</v>
      </c>
      <c r="R167" s="565"/>
      <c r="S167" s="565"/>
      <c r="T167" s="411"/>
      <c r="U167" s="565">
        <f>Q167*Outils!$F$4</f>
        <v>-0.47996554429844063</v>
      </c>
      <c r="V167" s="565"/>
      <c r="W167" s="565"/>
      <c r="X167" s="411"/>
    </row>
    <row r="168" spans="1:29" ht="17.25" customHeight="1" thickTop="1" thickBot="1">
      <c r="C168" s="14"/>
      <c r="D168" s="14"/>
      <c r="E168" s="597"/>
      <c r="F168" s="598"/>
      <c r="G168" s="598"/>
      <c r="H168" s="1180"/>
      <c r="I168" s="467" t="str" cm="1">
        <f t="array" ref="I168">angleDecimal2Txt(I166)</f>
        <v>+100°47.25 (+100.7875) [+100°47'15.03]</v>
      </c>
      <c r="J168" s="722"/>
      <c r="K168" s="722"/>
      <c r="L168" s="722"/>
      <c r="M168" s="722"/>
      <c r="O168" s="565" t="s">
        <v>43</v>
      </c>
      <c r="P168" s="565"/>
      <c r="Q168" s="565">
        <f>Q156</f>
        <v>243.03333333333333</v>
      </c>
      <c r="R168" s="565"/>
      <c r="S168" s="565"/>
      <c r="T168" s="411"/>
      <c r="U168" s="565">
        <f>Q168*Outils!$F$4</f>
        <v>4.2417318587635524</v>
      </c>
      <c r="V168" s="565"/>
      <c r="W168" s="565"/>
      <c r="X168" s="411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68" t="s">
        <v>143</v>
      </c>
      <c r="J170" s="569"/>
      <c r="K170" s="569"/>
      <c r="L170" s="569"/>
      <c r="M170" s="569"/>
      <c r="N170" s="570"/>
      <c r="O170" s="568" t="s">
        <v>144</v>
      </c>
      <c r="P170" s="569"/>
      <c r="Q170" s="569"/>
      <c r="R170" s="569"/>
      <c r="S170" s="569"/>
      <c r="T170" s="570"/>
    </row>
    <row r="171" spans="1:29" ht="17.25" customHeight="1">
      <c r="F171" s="16"/>
      <c r="G171" s="16"/>
      <c r="I171" s="450"/>
      <c r="J171" s="691" t="s">
        <v>117</v>
      </c>
      <c r="K171" s="692"/>
      <c r="L171" s="693"/>
      <c r="M171" s="697" t="s">
        <v>118</v>
      </c>
      <c r="N171" s="698"/>
      <c r="O171" s="450"/>
      <c r="P171" s="691" t="s">
        <v>117</v>
      </c>
      <c r="Q171" s="692"/>
      <c r="R171" s="693"/>
      <c r="S171" s="697" t="s">
        <v>119</v>
      </c>
      <c r="T171" s="698"/>
    </row>
    <row r="172" spans="1:29" ht="17.25" customHeight="1">
      <c r="F172" s="16"/>
      <c r="G172" s="16"/>
      <c r="I172" s="451"/>
      <c r="J172" s="694" t="s">
        <v>87</v>
      </c>
      <c r="K172" s="695"/>
      <c r="L172" s="696"/>
      <c r="M172" s="699" t="s">
        <v>88</v>
      </c>
      <c r="N172" s="700"/>
      <c r="O172" s="451"/>
      <c r="P172" s="694" t="s">
        <v>87</v>
      </c>
      <c r="Q172" s="695"/>
      <c r="R172" s="696"/>
      <c r="S172" s="699" t="s">
        <v>89</v>
      </c>
      <c r="T172" s="700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90"/>
      <c r="U173" s="690"/>
      <c r="V173" s="690"/>
      <c r="W173" s="14"/>
      <c r="X173" s="690"/>
      <c r="Y173" s="690"/>
      <c r="Z173" s="690"/>
    </row>
    <row r="174" spans="1:29" ht="17.25" customHeight="1">
      <c r="F174" s="14"/>
      <c r="N174" s="566"/>
      <c r="O174" s="566"/>
      <c r="Q174" s="690"/>
      <c r="R174" s="690"/>
      <c r="S174" s="690"/>
      <c r="T174" s="690"/>
      <c r="U174" s="690"/>
      <c r="V174" s="690"/>
      <c r="W174" s="14"/>
      <c r="X174" s="690"/>
      <c r="Y174" s="690"/>
      <c r="Z174" s="690"/>
    </row>
    <row r="175" spans="1:29" ht="17.25" customHeight="1">
      <c r="I175" s="565" t="s">
        <v>85</v>
      </c>
      <c r="J175" s="565"/>
      <c r="K175" s="57">
        <f>Q167</f>
        <v>-27.5</v>
      </c>
      <c r="L175" s="556" t="str">
        <f>CONCATENATE("Sens: ",IF(Q167&gt;0,"Nord","Sud"))</f>
        <v>Sens: Sud</v>
      </c>
      <c r="M175" s="556"/>
    </row>
    <row r="176" spans="1:29" ht="17.25" customHeight="1" thickBot="1">
      <c r="I176" s="565" t="s">
        <v>43</v>
      </c>
      <c r="J176" s="565"/>
      <c r="K176" s="57">
        <f>Q168</f>
        <v>243.03333333333333</v>
      </c>
      <c r="L176" s="556" t="str">
        <f>CONCATENATE("Is &gt; 180? ", IF(Q168&gt;180,"Y", "N"))</f>
        <v>Is &gt; 180? Y</v>
      </c>
      <c r="M176" s="556"/>
      <c r="O176" s="735" t="s">
        <v>93</v>
      </c>
      <c r="P176" s="736"/>
      <c r="Q176" s="736"/>
      <c r="R176" s="736"/>
      <c r="S176" s="736"/>
      <c r="T176" s="1192" cm="1">
        <f t="array" ref="T176">astroCalculZ2Zn(Q167,I166,Q168)</f>
        <v>79.212489747150599</v>
      </c>
      <c r="U176" s="1193"/>
      <c r="V176" s="50" t="s">
        <v>28</v>
      </c>
      <c r="W176" s="14"/>
    </row>
    <row r="177" spans="2:31" ht="17.25" customHeight="1" thickTop="1" thickBot="1">
      <c r="I177" s="731" t="s">
        <v>120</v>
      </c>
      <c r="J177" s="732"/>
      <c r="K177" s="774"/>
      <c r="L177" s="556" t="str">
        <f>IF(K175&gt;0,IF(K176&gt;180,M171,M172),IF(K176&gt;180,S171,S172))</f>
        <v>Zn = 180 - Z</v>
      </c>
      <c r="M177" s="556"/>
      <c r="T177" s="557" t="str" cm="1">
        <f t="array" ref="T177">angleDecimal2Txt(T176)</f>
        <v>+79°12.74 (+79.2124) [+79°12'44.96]</v>
      </c>
      <c r="U177" s="557"/>
      <c r="V177" s="557"/>
      <c r="W177" s="557"/>
      <c r="X177" s="557"/>
      <c r="Y177" s="557"/>
    </row>
    <row r="178" spans="2:31" ht="17.25" customHeight="1" thickTop="1"/>
    <row r="179" spans="2:31" ht="17.25" customHeight="1" thickBot="1"/>
    <row r="180" spans="2:31" ht="17.25" customHeight="1" thickBot="1">
      <c r="B180" s="25" t="s">
        <v>232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73" t="s">
        <v>233</v>
      </c>
      <c r="D182" s="773"/>
      <c r="E182" s="773"/>
      <c r="F182" s="773"/>
      <c r="G182" s="103"/>
      <c r="H182" s="773" t="s">
        <v>234</v>
      </c>
      <c r="I182" s="773"/>
      <c r="J182" s="773"/>
      <c r="L182" s="1030" t="s">
        <v>223</v>
      </c>
      <c r="M182" s="1030"/>
      <c r="N182" s="1030"/>
      <c r="Q182" s="822" t="s">
        <v>235</v>
      </c>
      <c r="R182" s="822"/>
      <c r="S182" s="822"/>
      <c r="T182" s="822"/>
      <c r="U182" s="90"/>
      <c r="AC182" t="s">
        <v>220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78">
        <f>Q167</f>
        <v>-27.5</v>
      </c>
      <c r="F183" s="778"/>
      <c r="I183" s="778">
        <f>V159</f>
        <v>3200.1908227272629</v>
      </c>
      <c r="J183" s="778"/>
      <c r="K183" s="16" t="s">
        <v>104</v>
      </c>
      <c r="M183" s="778">
        <f>T176</f>
        <v>79.212489747150599</v>
      </c>
      <c r="N183" s="778"/>
      <c r="R183" s="105" t="s">
        <v>41</v>
      </c>
      <c r="S183" s="641">
        <f>AD185</f>
        <v>-17.517154919982119</v>
      </c>
      <c r="T183" s="641"/>
      <c r="U183" s="426" t="str" cm="1">
        <f t="array" ref="U183">latitudeDecimal2Txt(S183)</f>
        <v>S 17°31.02 (S 17.5171) [S 17°31'01.75]</v>
      </c>
      <c r="V183" s="426"/>
      <c r="W183" s="426"/>
      <c r="X183" s="426"/>
      <c r="Y183" s="426"/>
      <c r="Z183" s="426"/>
      <c r="AC183" t="s">
        <v>221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78">
        <f>G34</f>
        <v>63</v>
      </c>
      <c r="F184" s="778"/>
      <c r="R184" s="105" t="s">
        <v>42</v>
      </c>
      <c r="S184" s="641">
        <f>AD187</f>
        <v>119.7143254926176</v>
      </c>
      <c r="T184" s="641"/>
      <c r="U184" s="426" t="str" cm="1">
        <f t="array" ref="U184">longitudeDecimal2Txt(S184)</f>
        <v>E 119°42.85 (E 119.7143) [E 119°42'51.57]</v>
      </c>
      <c r="V184" s="426"/>
      <c r="W184" s="426"/>
      <c r="X184" s="426"/>
      <c r="Y184" s="426"/>
      <c r="Z184" s="426"/>
      <c r="AC184" s="16"/>
      <c r="AD184" s="16"/>
    </row>
    <row r="185" spans="2:31" ht="17.25" hidden="1" customHeight="1" outlineLevel="1" thickTop="1">
      <c r="D185" s="16"/>
      <c r="AC185" t="s">
        <v>237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822" t="s">
        <v>236</v>
      </c>
      <c r="R186" s="822"/>
      <c r="S186" s="822"/>
      <c r="AC186" t="s">
        <v>238</v>
      </c>
      <c r="AD186">
        <f>(E183+AD185)/2</f>
        <v>-22.508577459991059</v>
      </c>
    </row>
    <row r="187" spans="2:31" ht="17.25" hidden="1" customHeight="1" outlineLevel="1">
      <c r="R187" s="641">
        <f>M183-90</f>
        <v>-10.787510252849401</v>
      </c>
      <c r="S187" s="641"/>
      <c r="T187" s="50" t="s">
        <v>28</v>
      </c>
      <c r="AC187" t="s">
        <v>239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240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72" t="s">
        <v>235</v>
      </c>
      <c r="D192" s="772"/>
      <c r="E192" s="772"/>
      <c r="F192" s="772"/>
      <c r="G192" s="90"/>
      <c r="H192" s="16"/>
      <c r="I192" s="16"/>
      <c r="J192" s="16"/>
      <c r="K192" s="16"/>
      <c r="L192" s="16"/>
      <c r="Q192" s="104" t="s">
        <v>241</v>
      </c>
      <c r="R192" s="104"/>
      <c r="S192" s="104"/>
      <c r="T192" s="104"/>
      <c r="U192" s="104"/>
      <c r="V192" s="104"/>
      <c r="W192" s="104"/>
      <c r="AC192" t="s">
        <v>271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64">
        <v>46</v>
      </c>
      <c r="F193" s="564"/>
      <c r="G193" s="426" t="str" cm="1">
        <f t="array" ref="G193">latitudeDecimal2Txt(E193)</f>
        <v>N 46°00.00 (N 46.0000) [N 46°00'00.00]</v>
      </c>
      <c r="H193" s="426"/>
      <c r="I193" s="426"/>
      <c r="J193" s="426"/>
      <c r="K193" s="426"/>
      <c r="L193" s="426"/>
      <c r="R193" s="105" t="s">
        <v>41</v>
      </c>
      <c r="S193" s="641">
        <f>AG197</f>
        <v>616.68986803150267</v>
      </c>
      <c r="T193" s="641"/>
      <c r="U193" s="426" t="str" cm="1">
        <f t="array" ref="U193">latitudeDecimal2Txt(S193)</f>
        <v>N 00°00.00 (N 00.0000) [N 00°00'00.00]</v>
      </c>
      <c r="V193" s="426"/>
      <c r="W193" s="426"/>
      <c r="X193" s="426"/>
      <c r="Y193" s="426"/>
      <c r="Z193" s="426"/>
      <c r="AC193" s="121" t="s">
        <v>272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64">
        <v>-7</v>
      </c>
      <c r="F194" s="564"/>
      <c r="G194" s="426" t="str" cm="1">
        <f t="array" ref="G194">longitudeDecimal2Txt(E194)</f>
        <v>W 07°00.00 (W 07.0000) [W 07°00'00.00]</v>
      </c>
      <c r="H194" s="426"/>
      <c r="I194" s="426"/>
      <c r="J194" s="426"/>
      <c r="K194" s="426"/>
      <c r="L194" s="426"/>
      <c r="R194" s="105" t="s">
        <v>42</v>
      </c>
      <c r="S194" s="641">
        <f>AG198</f>
        <v>-7.0000000000000853</v>
      </c>
      <c r="T194" s="641"/>
      <c r="U194" s="426" t="str" cm="1">
        <f t="array" ref="U194">longitudeDecimal2Txt(S194)</f>
        <v>W 07°00.00 (W 07.0000) [W 07°00'00.00]</v>
      </c>
      <c r="V194" s="426"/>
      <c r="W194" s="426"/>
      <c r="X194" s="426"/>
      <c r="Y194" s="426"/>
      <c r="Z194" s="426"/>
      <c r="AC194" s="123" t="s">
        <v>274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275</v>
      </c>
      <c r="AD195" s="122">
        <f>S184</f>
        <v>119.7143254926176</v>
      </c>
    </row>
    <row r="196" spans="2:33" customFormat="1" ht="17.25" hidden="1" customHeight="1" outlineLevel="1">
      <c r="C196" s="772" t="s">
        <v>236</v>
      </c>
      <c r="D196" s="772"/>
      <c r="E196" s="772"/>
      <c r="F196" s="108"/>
      <c r="G196" s="16"/>
      <c r="H196" s="16"/>
      <c r="I196" s="16"/>
      <c r="J196" s="16"/>
      <c r="K196" s="16"/>
      <c r="L196" s="16"/>
      <c r="AC196" s="121" t="s">
        <v>242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64">
        <v>180</v>
      </c>
      <c r="E197" s="564"/>
      <c r="F197" s="112" t="s">
        <v>28</v>
      </c>
      <c r="G197" s="16"/>
      <c r="H197" s="16"/>
      <c r="I197" s="16"/>
      <c r="J197" s="16"/>
      <c r="K197" s="16"/>
      <c r="L197" s="16"/>
      <c r="AC197" s="121" t="s">
        <v>243</v>
      </c>
      <c r="AD197" s="121">
        <f>AD195-AD194*AD196</f>
        <v>116.21440450482207</v>
      </c>
      <c r="AE197" s="821" t="s">
        <v>279</v>
      </c>
      <c r="AF197" s="821"/>
      <c r="AG197" s="124">
        <f>(AD202-AD197)/(AD196-AD201)</f>
        <v>616.68986803150267</v>
      </c>
    </row>
    <row r="198" spans="2:33" customFormat="1" ht="15" hidden="1" outlineLevel="1">
      <c r="AC198" s="118" t="s">
        <v>273</v>
      </c>
      <c r="AD198" s="119">
        <f>D197</f>
        <v>180</v>
      </c>
      <c r="AE198" s="821"/>
      <c r="AF198" s="821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274</v>
      </c>
      <c r="AD199" s="119">
        <f>E193</f>
        <v>46</v>
      </c>
    </row>
    <row r="200" spans="2:33" customFormat="1" ht="18" hidden="1" outlineLevel="1">
      <c r="AC200" s="118" t="s">
        <v>275</v>
      </c>
      <c r="AD200" s="119">
        <f>E194</f>
        <v>-7</v>
      </c>
      <c r="AE200" s="821" t="s">
        <v>280</v>
      </c>
      <c r="AF200" s="821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276</v>
      </c>
      <c r="AD201" s="118">
        <f>TAN(AD198*Outils!F4) * (1 / COS(AD199*Outils!F4))</f>
        <v>-1.7636704702760584E-16</v>
      </c>
      <c r="AE201" s="821"/>
      <c r="AF201" s="821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277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821" t="s">
        <v>278</v>
      </c>
      <c r="AF203" s="821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821"/>
      <c r="AF204" s="821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535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512" t="s">
        <v>1</v>
      </c>
      <c r="C208" s="512"/>
      <c r="D208" s="512" t="str">
        <f>E7</f>
        <v>2010/05/05</v>
      </c>
      <c r="E208" s="512"/>
      <c r="F208" s="512"/>
      <c r="G208" s="512"/>
      <c r="H208" s="234" t="s">
        <v>2</v>
      </c>
      <c r="I208" s="512" t="str">
        <f>I7</f>
        <v>08:18:53.00(08.3147)</v>
      </c>
      <c r="J208" s="512"/>
      <c r="K208" s="512"/>
      <c r="L208" s="512"/>
    </row>
    <row r="209" spans="2:65" customFormat="1" ht="15">
      <c r="B209" s="558" t="s">
        <v>30</v>
      </c>
      <c r="C209" s="558"/>
      <c r="D209" s="559" t="s">
        <v>33</v>
      </c>
      <c r="E209" s="558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400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41" t="s">
        <v>401</v>
      </c>
      <c r="D212" s="441"/>
      <c r="E212" s="441" t="str" cm="1">
        <f t="array" ref="E212">angleDecimal2Txt(angleConvert2Decimal(M21))</f>
        <v>+18°55.00 (+18.9166) [+18°55'00.00]</v>
      </c>
      <c r="F212" s="441"/>
      <c r="G212" s="441"/>
      <c r="H212" s="441"/>
      <c r="I212" s="441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43" t="s">
        <v>70</v>
      </c>
      <c r="D213" s="443"/>
      <c r="E213" s="443" t="str">
        <f>J23</f>
        <v>BordInf</v>
      </c>
      <c r="F213" s="443"/>
      <c r="G213" s="443"/>
      <c r="H213" s="443"/>
      <c r="I213" s="44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511" t="s">
        <v>402</v>
      </c>
      <c r="D214" s="511"/>
      <c r="E214" s="463" t="str" cm="1">
        <f t="array" ref="E214">angleDecimal2Txt(angleConvert2Decimal(M20))</f>
        <v>+00°03.00 (+00.0500) [+00°03'00.00]</v>
      </c>
      <c r="F214" s="463"/>
      <c r="G214" s="463"/>
      <c r="H214" s="463"/>
      <c r="I214" s="463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512" t="s">
        <v>403</v>
      </c>
      <c r="D215" s="512"/>
      <c r="E215" s="464" t="str">
        <f>CONCATENATE(M19, " m")</f>
        <v>4 m</v>
      </c>
      <c r="F215" s="464"/>
      <c r="G215" s="464"/>
      <c r="H215" s="464"/>
      <c r="I215" s="464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48" t="str" cm="1">
        <f t="array" ref="E216">angleDecimal2Txt(O118)</f>
        <v>+18°48.48 (+18.8080) [+18°48'29.04]</v>
      </c>
      <c r="F216" s="448"/>
      <c r="G216" s="448"/>
      <c r="H216" s="448"/>
      <c r="I216" s="448"/>
      <c r="J216" s="448" t="s">
        <v>405</v>
      </c>
      <c r="K216" s="448"/>
      <c r="L216" s="448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45" t="s">
        <v>403</v>
      </c>
      <c r="G217" s="447"/>
      <c r="H217" s="480" t="str" cm="1">
        <f t="array" ref="H217">angleDecimal2Txt(O116)</f>
        <v>+00°03.51 (+00.0586) [+00°03'30.96]</v>
      </c>
      <c r="I217" s="480"/>
      <c r="J217" s="480"/>
      <c r="K217" s="480"/>
      <c r="L217" s="480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60" t="s">
        <v>410</v>
      </c>
      <c r="G218" s="460"/>
      <c r="H218" s="480" t="str" cm="1">
        <f t="array" ref="H218">angleDecimal2Txt(O127)</f>
        <v>+00°02.88 (+00.0480) [+00°02'52.92]</v>
      </c>
      <c r="I218" s="480"/>
      <c r="J218" s="480"/>
      <c r="K218" s="480"/>
      <c r="L218" s="480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45" t="s">
        <v>435</v>
      </c>
      <c r="G219" s="447"/>
      <c r="H219" s="871" t="str" cm="1">
        <f t="array" ref="H219">angleDecimal2Txt(O121)</f>
        <v>+00°54.90 (+00.9150) [+00°54'54.33]</v>
      </c>
      <c r="I219" s="872"/>
      <c r="J219" s="872"/>
      <c r="K219" s="872"/>
      <c r="L219" s="1154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60" t="s">
        <v>411</v>
      </c>
      <c r="G220" s="460"/>
      <c r="H220" s="460" t="str" cm="1">
        <f t="array" ref="H220">angleDecimal2Txt(O122)</f>
        <v>+00°51.97 (+00.8662) [+00°51'58.41]</v>
      </c>
      <c r="I220" s="460"/>
      <c r="J220" s="460"/>
      <c r="K220" s="460"/>
      <c r="L220" s="460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60" t="s">
        <v>100</v>
      </c>
      <c r="G221" s="460"/>
      <c r="H221" s="460" t="str" cm="1">
        <f t="array" ref="H221">angleDecimal2Txt(O129)</f>
        <v>+00°29.94 (+00.4990) [+00°29'56.60]</v>
      </c>
      <c r="I221" s="460"/>
      <c r="J221" s="460"/>
      <c r="K221" s="460"/>
      <c r="L221" s="460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60" t="s">
        <v>71</v>
      </c>
      <c r="G222" s="460"/>
      <c r="H222" s="460" t="str" cm="1">
        <f t="array" ref="H222">angleDecimal2Txt(O131)</f>
        <v>+00°14.97 (+00.2495) [+00°14'58.30]</v>
      </c>
      <c r="I222" s="460"/>
      <c r="J222" s="460"/>
      <c r="K222" s="460"/>
      <c r="L222" s="460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48" t="str" cm="1">
        <f t="array" ref="E223">angleDecimal2Txt(F111)</f>
        <v>+19°52.54 (+19.8757) [+19°52'32.83]</v>
      </c>
      <c r="F223" s="448"/>
      <c r="G223" s="448"/>
      <c r="H223" s="448"/>
      <c r="I223" s="448"/>
      <c r="J223" s="448" t="s">
        <v>404</v>
      </c>
      <c r="K223" s="448"/>
      <c r="L223" s="448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60" t="str" cm="1">
        <f t="array" ref="F224">angleDecimal2Txt(O122-O127-O116)</f>
        <v>+00°45.57 (+00.7595) [+00°45'34.53]</v>
      </c>
      <c r="G224" s="460"/>
      <c r="H224" s="460"/>
      <c r="I224" s="460"/>
      <c r="J224" s="460"/>
      <c r="K224" s="460" t="s">
        <v>412</v>
      </c>
      <c r="L224" s="460"/>
      <c r="M224" s="460"/>
      <c r="N224" s="449" t="s">
        <v>427</v>
      </c>
      <c r="O224" s="449"/>
      <c r="P224" s="449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60" t="str" cm="1">
        <f t="array" ref="F225">angleDecimal2Txt(O122-O127-O116+O131)</f>
        <v>+01°00.54 (+01.0091) [+01°00'32.83]</v>
      </c>
      <c r="G225" s="460"/>
      <c r="H225" s="460"/>
      <c r="I225" s="460"/>
      <c r="J225" s="460"/>
      <c r="K225" s="460" t="s">
        <v>408</v>
      </c>
      <c r="L225" s="460"/>
      <c r="M225" s="460"/>
      <c r="N225" s="449"/>
      <c r="O225" s="449"/>
      <c r="P225" s="449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60" t="str" cm="1">
        <f t="array" ref="F226">angleDecimal2Txt(O122-O127+O131)</f>
        <v>+01°04.06 (+01.0677) [+01°04'03.79]</v>
      </c>
      <c r="G226" s="460"/>
      <c r="H226" s="460"/>
      <c r="I226" s="460"/>
      <c r="J226" s="460"/>
      <c r="K226" s="460" t="s">
        <v>409</v>
      </c>
      <c r="L226" s="460"/>
      <c r="M226" s="460"/>
      <c r="N226" s="449"/>
      <c r="O226" s="449"/>
      <c r="P226" s="449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42" t="s">
        <v>413</v>
      </c>
      <c r="D230" s="442"/>
      <c r="E230" s="442" t="str" cm="1">
        <f t="array" ref="E230">latitudeDecimal2Txt(G32)</f>
        <v>S 27°30.00 (S 27.5000) [S 27°30'00.00]</v>
      </c>
      <c r="F230" s="442"/>
      <c r="G230" s="442"/>
      <c r="H230" s="442"/>
      <c r="I230" s="442"/>
      <c r="J230" s="442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43" t="s">
        <v>414</v>
      </c>
      <c r="D231" s="443"/>
      <c r="E231" s="443" t="str" cm="1">
        <f t="array" ref="E231">longitudeDecimal2Txt(G34)</f>
        <v>E 63°00.00 (E 63.0000) [E 63°00'00.00]</v>
      </c>
      <c r="F231" s="443"/>
      <c r="G231" s="443"/>
      <c r="H231" s="443"/>
      <c r="I231" s="443"/>
      <c r="J231" s="443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49" t="str">
        <f>CONCATENATE("GHA - ", G88)</f>
        <v>GHA - Par vitesse</v>
      </c>
      <c r="G232" s="449"/>
      <c r="H232" s="460" t="str">
        <f>IF($G$88=$AD$88,K91,CONCATENATE("T0:",M100))</f>
        <v>T0:</v>
      </c>
      <c r="I232" s="460"/>
      <c r="J232" s="460"/>
      <c r="K232" s="460" t="str" cm="1">
        <f t="array" ref="K232">IF($G$88=$AD$88,angleDecimal2Txt(AE91,0),CONCATENATE("Pos. à T0:",angleDecimal2Txt(AD99,0)))</f>
        <v>Pos. à T0:+180°02.00</v>
      </c>
      <c r="L232" s="460"/>
      <c r="M232" s="460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49"/>
      <c r="G233" s="449"/>
      <c r="H233" s="460" t="str" cm="1">
        <f t="array" ref="H233">IF($G$88=$AD$88,K93,CONCATENATE("V:",angleDecimal2Txt(AD101,0)))</f>
        <v>V:+14°59.87</v>
      </c>
      <c r="I233" s="460"/>
      <c r="J233" s="460"/>
      <c r="K233" s="460" t="str" cm="1">
        <f t="array" ref="K233">IF($G$88=$AD$88,angleDecimal2Txt(AE92,0),CONCATENATE("dt:",TEXT((I100-M100),"0.000")," h"))</f>
        <v>dt:0.000 h</v>
      </c>
      <c r="L233" s="460"/>
      <c r="M233" s="460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44" t="s">
        <v>415</v>
      </c>
      <c r="D234" s="444"/>
      <c r="E234" s="444" t="str" cm="1">
        <f t="array" ref="E234">angleDecimal2Txt(F87)</f>
        <v>+180°02.00 (+180.0333) [+180°02'00.00]</v>
      </c>
      <c r="F234" s="444"/>
      <c r="G234" s="444"/>
      <c r="H234" s="444"/>
      <c r="I234" s="444"/>
      <c r="J234" s="444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44" t="s">
        <v>43</v>
      </c>
      <c r="D235" s="444"/>
      <c r="E235" s="444" t="str">
        <f>R109</f>
        <v>+243°02.00 (+243.0333) [+243°02'00.00]</v>
      </c>
      <c r="F235" s="444"/>
      <c r="G235" s="444"/>
      <c r="H235" s="444"/>
      <c r="I235" s="444"/>
      <c r="J235" s="444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49" t="str">
        <f>CONCATENATE("Déc. - ", G38)</f>
        <v>Déc. - Par interval</v>
      </c>
      <c r="G236" s="449"/>
      <c r="H236" s="460">
        <f>IF($G$38=$AD$38,K41,CONCATENATE("T0:",M50))</f>
        <v>10</v>
      </c>
      <c r="I236" s="460"/>
      <c r="J236" s="460" t="str" cm="1">
        <f t="array" ref="J236">IF($G$38=$AD$38,angleDecimal2Txt(AE41,0),CONCATENATE("Pos. à T0:",angleDecimal2Txt(AD49,0)))</f>
        <v>+23°08.50</v>
      </c>
      <c r="K236" s="460"/>
      <c r="L236" s="460"/>
      <c r="M236" s="460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49"/>
      <c r="G237" s="449"/>
      <c r="H237" s="460" cm="1">
        <f t="array" ref="H237">IF($G$38=$AD$38,K43,CONCATENATE("V:",angleDecimal2Txt(AD51,0)))</f>
        <v>11</v>
      </c>
      <c r="I237" s="460"/>
      <c r="J237" s="460" t="str" cm="1">
        <f t="array" ref="J237">IF($G$38=$AD$38,angleDecimal2Txt(AE42,0),CONCATENATE("dt:",TEXT((I50-M50),"0.000")," h"))</f>
        <v>+23°08.30</v>
      </c>
      <c r="K237" s="460"/>
      <c r="L237" s="460"/>
      <c r="M237" s="460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44" t="s">
        <v>9</v>
      </c>
      <c r="D238" s="444"/>
      <c r="E238" s="444" t="str" cm="1">
        <f t="array" ref="E238">latitudeDecimal2Txt(F37)</f>
        <v>N 23°08.83 (N 23.1472) [N 23°08'50.22]</v>
      </c>
      <c r="F238" s="444"/>
      <c r="G238" s="444"/>
      <c r="H238" s="444"/>
      <c r="I238" s="444"/>
      <c r="J238" s="444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98" t="s">
        <v>278</v>
      </c>
      <c r="D239" s="444"/>
      <c r="E239" s="444" t="str" cm="1">
        <f t="array" ref="E239">angleDecimal2Txt(F58)</f>
        <v>+00°54.90 (+00.9150) [+00°54'54.33]</v>
      </c>
      <c r="F239" s="444"/>
      <c r="G239" s="444"/>
      <c r="H239" s="444"/>
      <c r="I239" s="444"/>
      <c r="J239" s="444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44" t="s">
        <v>657</v>
      </c>
      <c r="D240" s="444"/>
      <c r="E240" s="444" t="str" cm="1">
        <f t="array" ref="E240">angleDecimal2Txt(T58)</f>
        <v>+00°29.94 (+00.4990) [+00°29'56.60]</v>
      </c>
      <c r="F240" s="444"/>
      <c r="G240" s="444"/>
      <c r="H240" s="444"/>
      <c r="I240" s="444"/>
      <c r="J240" s="444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60" t="s">
        <v>417</v>
      </c>
      <c r="G241" s="460"/>
      <c r="H241" s="460">
        <f>SIN(U154)</f>
        <v>0.39309608032963606</v>
      </c>
      <c r="I241" s="460"/>
      <c r="J241" s="460">
        <f>SIN(U155)</f>
        <v>-0.46174861323503391</v>
      </c>
      <c r="K241" s="460"/>
      <c r="L241" s="460" t="s">
        <v>418</v>
      </c>
      <c r="M241" s="460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60" t="s">
        <v>416</v>
      </c>
      <c r="G242" s="460"/>
      <c r="H242" s="460">
        <f>COS(U154)</f>
        <v>0.91949740164367855</v>
      </c>
      <c r="I242" s="460"/>
      <c r="J242" s="460">
        <f>COS(U155)</f>
        <v>0.88701083317822171</v>
      </c>
      <c r="K242" s="460"/>
      <c r="L242" s="460" t="s">
        <v>419</v>
      </c>
      <c r="M242" s="460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73" t="s">
        <v>420</v>
      </c>
      <c r="G243" s="473"/>
      <c r="H243" s="473">
        <f>COS(U156)</f>
        <v>-0.45347205635565419</v>
      </c>
      <c r="I243" s="473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56" t="s">
        <v>421</v>
      </c>
      <c r="G244" s="1156"/>
      <c r="H244" s="1156"/>
      <c r="I244" s="1156"/>
      <c r="J244" s="1156"/>
      <c r="K244" s="1156"/>
      <c r="L244" s="1156"/>
      <c r="M244" s="1156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60" t="s">
        <v>428</v>
      </c>
      <c r="G245" s="460"/>
      <c r="H245" s="460">
        <f>H241*J241+H242*J242*H243</f>
        <v>-0.55136526390677154</v>
      </c>
      <c r="I245" s="460"/>
      <c r="J245" s="460"/>
      <c r="K245" s="460"/>
      <c r="L245" s="460"/>
      <c r="M245" s="460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48" t="s">
        <v>422</v>
      </c>
      <c r="D246" s="448"/>
      <c r="E246" s="448" t="str" cm="1">
        <f t="array" ref="E246">angleDecimal2Txt(I154)</f>
        <v>-33°27.64 (-33.4607) [-33°27'38.61]</v>
      </c>
      <c r="F246" s="448"/>
      <c r="G246" s="448"/>
      <c r="H246" s="448"/>
      <c r="I246" s="448"/>
      <c r="J246" s="448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81" t="s">
        <v>656</v>
      </c>
      <c r="D247" s="482"/>
      <c r="E247" s="448" t="str" cm="1">
        <f t="array" ref="E247">angleDecimal2Txt(T159,0)</f>
        <v>+53°20.19</v>
      </c>
      <c r="F247" s="448"/>
      <c r="G247" s="448"/>
      <c r="H247" s="448"/>
      <c r="I247" s="448"/>
      <c r="J247" s="448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83"/>
      <c r="D248" s="484"/>
      <c r="E248" s="458" t="str">
        <f>CONCATENATE(TEXT(V159,"0.00"),"  Mn")</f>
        <v>3200.19  Mn</v>
      </c>
      <c r="F248" s="458"/>
      <c r="G248" s="458"/>
      <c r="H248" s="458"/>
      <c r="I248" s="458"/>
      <c r="J248" s="458"/>
      <c r="O248" s="1155" t="s">
        <v>461</v>
      </c>
      <c r="P248" s="507" t="str" cm="1">
        <f t="array" ref="P248">latitudeDecimal2Txt(V160,0)</f>
        <v>N 23°08.83</v>
      </c>
      <c r="Q248" s="507"/>
    </row>
    <row r="249" spans="3:65" ht="17.25" customHeight="1">
      <c r="C249" s="485"/>
      <c r="D249" s="486"/>
      <c r="E249" s="458" t="str">
        <f>Y159</f>
        <v>Vers Pg</v>
      </c>
      <c r="F249" s="459"/>
      <c r="G249" s="459"/>
      <c r="H249" s="459"/>
      <c r="I249" s="459"/>
      <c r="J249" s="459"/>
      <c r="O249" s="507"/>
      <c r="P249" s="507" t="str" cm="1">
        <f t="array" ref="P249">longitudeDecimal2Txt(V161,0)</f>
        <v>E 179°58.00</v>
      </c>
      <c r="Q249" s="507"/>
    </row>
    <row r="250" spans="3:65" ht="17.25" customHeight="1">
      <c r="F250" s="452" t="s">
        <v>566</v>
      </c>
      <c r="G250" s="453"/>
      <c r="H250" s="453"/>
      <c r="I250" s="453"/>
      <c r="J250" s="453"/>
      <c r="K250" s="453"/>
      <c r="L250" s="453"/>
      <c r="M250" s="453"/>
      <c r="N250" s="453"/>
      <c r="O250" s="453"/>
      <c r="P250" s="454"/>
      <c r="Q250" s="233"/>
    </row>
    <row r="251" spans="3:65" ht="17.25" customHeight="1">
      <c r="D251" s="474" t="s">
        <v>567</v>
      </c>
      <c r="E251" s="475"/>
      <c r="F251" s="504" t="s">
        <v>576</v>
      </c>
      <c r="G251" s="504"/>
      <c r="H251" s="504">
        <f>SIGN(Q167*Q166)*ABS(Q166)</f>
        <v>-23.147284259259258</v>
      </c>
      <c r="I251" s="504"/>
      <c r="J251" s="478" t="s">
        <v>574</v>
      </c>
      <c r="K251" s="479"/>
      <c r="L251" s="478">
        <f>SIN(H251*Outils!$F$4)</f>
        <v>-0.39309608032963606</v>
      </c>
      <c r="M251" s="479"/>
      <c r="N251" s="478" t="s">
        <v>575</v>
      </c>
      <c r="O251" s="479"/>
      <c r="P251" s="478">
        <f>COS(H251*Outils!$F$4)</f>
        <v>0.91949740164367855</v>
      </c>
      <c r="Q251" s="479"/>
    </row>
    <row r="252" spans="3:65" ht="17.25" customHeight="1">
      <c r="D252" s="474"/>
      <c r="E252" s="475"/>
      <c r="F252" s="478" t="s">
        <v>571</v>
      </c>
      <c r="G252" s="503"/>
      <c r="H252" s="504">
        <f>ABS(Q167)</f>
        <v>27.5</v>
      </c>
      <c r="I252" s="504"/>
      <c r="J252" s="505" t="s">
        <v>572</v>
      </c>
      <c r="K252" s="506"/>
      <c r="L252" s="478">
        <f>SIN(H252*Outils!$F$4)</f>
        <v>0.46174861323503391</v>
      </c>
      <c r="M252" s="479"/>
      <c r="N252" s="505" t="s">
        <v>573</v>
      </c>
      <c r="O252" s="506"/>
      <c r="P252" s="478">
        <f>COS(H252*Outils!$F$4)</f>
        <v>0.88701083317822171</v>
      </c>
      <c r="Q252" s="479"/>
    </row>
    <row r="253" spans="3:65" ht="17.25" customHeight="1">
      <c r="D253" s="474"/>
      <c r="E253" s="475"/>
      <c r="F253" s="478" t="s">
        <v>568</v>
      </c>
      <c r="G253" s="479"/>
      <c r="H253" s="478">
        <f>IF(Q168&gt;180,(-1)*Q168,Q168)</f>
        <v>-243.03333333333333</v>
      </c>
      <c r="I253" s="479"/>
      <c r="J253" s="478" t="s">
        <v>569</v>
      </c>
      <c r="K253" s="479"/>
      <c r="L253" s="478">
        <f>SIN(H253*Outils!$F$4)</f>
        <v>0.89127049435318706</v>
      </c>
      <c r="M253" s="479"/>
      <c r="N253" s="478" t="s">
        <v>570</v>
      </c>
      <c r="O253" s="479"/>
      <c r="P253" s="478">
        <f>COS(H253*Outils!$F$4)</f>
        <v>-0.45347205635565419</v>
      </c>
      <c r="Q253" s="479"/>
    </row>
    <row r="254" spans="3:65" ht="17.25" customHeight="1">
      <c r="F254" s="509" t="s">
        <v>565</v>
      </c>
      <c r="G254" s="509"/>
      <c r="H254" s="445">
        <f>(P251*L253)/((P252*L251)-(L252*P251*P253))</f>
        <v>-5.2483990661118742</v>
      </c>
      <c r="I254" s="446"/>
      <c r="J254" s="446"/>
      <c r="K254" s="446"/>
      <c r="L254" s="446"/>
      <c r="M254" s="447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60" t="s">
        <v>92</v>
      </c>
      <c r="G255" s="460"/>
      <c r="H255" s="445" t="str" cm="1">
        <f t="array" ref="H255">angleDecimal2Txt(I166,0)</f>
        <v>+100°47.25</v>
      </c>
      <c r="I255" s="446"/>
      <c r="J255" s="446"/>
      <c r="K255" s="446"/>
      <c r="L255" s="446"/>
      <c r="M255" s="447"/>
      <c r="N255" s="233"/>
      <c r="O255" s="233"/>
      <c r="P255" s="233"/>
      <c r="Q255" s="233"/>
    </row>
    <row r="256" spans="3:65" ht="17.25" customHeight="1">
      <c r="F256" s="487" t="s">
        <v>143</v>
      </c>
      <c r="G256" s="488"/>
      <c r="H256" s="488"/>
      <c r="I256" s="488"/>
      <c r="J256" s="488"/>
      <c r="K256" s="489"/>
      <c r="L256" s="487" t="s">
        <v>144</v>
      </c>
      <c r="M256" s="488"/>
      <c r="N256" s="488"/>
      <c r="O256" s="488"/>
      <c r="P256" s="488"/>
      <c r="Q256" s="489"/>
    </row>
    <row r="257" spans="3:17" ht="17.25" customHeight="1">
      <c r="F257" s="490"/>
      <c r="G257" s="492" t="s">
        <v>117</v>
      </c>
      <c r="H257" s="493"/>
      <c r="I257" s="494"/>
      <c r="J257" s="495" t="s">
        <v>118</v>
      </c>
      <c r="K257" s="496"/>
      <c r="L257" s="490"/>
      <c r="M257" s="492" t="s">
        <v>117</v>
      </c>
      <c r="N257" s="493"/>
      <c r="O257" s="494"/>
      <c r="P257" s="495" t="s">
        <v>119</v>
      </c>
      <c r="Q257" s="496"/>
    </row>
    <row r="258" spans="3:17" ht="17.25" customHeight="1">
      <c r="F258" s="491"/>
      <c r="G258" s="497" t="s">
        <v>87</v>
      </c>
      <c r="H258" s="498"/>
      <c r="I258" s="499"/>
      <c r="J258" s="500" t="s">
        <v>88</v>
      </c>
      <c r="K258" s="501"/>
      <c r="L258" s="491"/>
      <c r="M258" s="497" t="s">
        <v>87</v>
      </c>
      <c r="N258" s="498"/>
      <c r="O258" s="499"/>
      <c r="P258" s="500" t="s">
        <v>89</v>
      </c>
      <c r="Q258" s="501"/>
    </row>
    <row r="259" spans="3:17" ht="17.25" customHeight="1">
      <c r="F259" s="460" t="s">
        <v>426</v>
      </c>
      <c r="G259" s="460"/>
      <c r="H259" s="445" t="str">
        <f>IF(G32&gt;0,"Nord","Sud")</f>
        <v>Sud</v>
      </c>
      <c r="I259" s="446"/>
      <c r="J259" s="446"/>
      <c r="K259" s="446"/>
      <c r="L259" s="446"/>
      <c r="M259" s="447"/>
      <c r="N259" s="233"/>
      <c r="O259" s="233"/>
      <c r="P259" s="233"/>
      <c r="Q259" s="233"/>
    </row>
    <row r="260" spans="3:17" ht="17.25" customHeight="1">
      <c r="F260" s="460" t="s">
        <v>425</v>
      </c>
      <c r="G260" s="460"/>
      <c r="H260" s="445" t="b">
        <f>(F108&gt;180)</f>
        <v>1</v>
      </c>
      <c r="I260" s="446"/>
      <c r="J260" s="446"/>
      <c r="K260" s="446"/>
      <c r="L260" s="446"/>
      <c r="M260" s="447"/>
      <c r="N260" s="233"/>
      <c r="O260" s="233"/>
      <c r="P260" s="233"/>
      <c r="Q260" s="233"/>
    </row>
    <row r="261" spans="3:17" ht="17.25" customHeight="1">
      <c r="C261" s="458" t="s">
        <v>424</v>
      </c>
      <c r="D261" s="458"/>
      <c r="E261" s="458" t="str" cm="1">
        <f t="array" ref="E261">angleDecimal2Txt(T176,0)</f>
        <v>+79°12.74</v>
      </c>
      <c r="F261" s="458"/>
      <c r="G261" s="458"/>
      <c r="H261" s="458"/>
      <c r="I261" s="458"/>
      <c r="J261" s="458"/>
      <c r="O261" s="313" t="s">
        <v>621</v>
      </c>
      <c r="P261" s="502" t="str">
        <f>angleDecimal2Txt(astroModuloEnDegre(90+T176),0)</f>
        <v>+169°12.74</v>
      </c>
      <c r="Q261" s="502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34" zoomScaleNormal="100" workbookViewId="0">
      <selection activeCell="AC27" sqref="AC27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Z1" s="145"/>
      <c r="AA1" s="150"/>
      <c r="AE1" s="83"/>
      <c r="BO1" s="24"/>
    </row>
    <row r="2" spans="1:68" customFormat="1" ht="11.25" customHeight="1">
      <c r="B2" s="16"/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145"/>
      <c r="AA2" s="150"/>
      <c r="AE2" s="83"/>
      <c r="BO2" s="24"/>
    </row>
    <row r="3" spans="1:68" customFormat="1" ht="11.25" customHeight="1">
      <c r="B3" s="16"/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749"/>
      <c r="D4" s="749"/>
      <c r="E4" s="749"/>
      <c r="F4" s="749"/>
      <c r="G4" s="423"/>
      <c r="H4" s="423"/>
      <c r="I4" s="423"/>
      <c r="J4" s="748"/>
      <c r="K4" s="748"/>
      <c r="L4" s="748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316</v>
      </c>
      <c r="O6" s="26"/>
      <c r="P6" s="26"/>
      <c r="Q6" s="26"/>
      <c r="R6" s="26"/>
      <c r="S6" s="26" t="s">
        <v>317</v>
      </c>
      <c r="T6" s="807">
        <f>dateConvert2Decimal(E7)</f>
        <v>1719532800</v>
      </c>
      <c r="U6" s="807"/>
      <c r="V6" s="807"/>
      <c r="W6" s="26" t="s">
        <v>318</v>
      </c>
      <c r="X6" s="582">
        <f>(T6/86400)+DATE(1970,1,1)</f>
        <v>45471</v>
      </c>
      <c r="Y6" s="582"/>
      <c r="Z6" s="26" t="s">
        <v>319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742" t="s">
        <v>1</v>
      </c>
      <c r="D7" s="743"/>
      <c r="E7" s="780" t="s">
        <v>489</v>
      </c>
      <c r="F7" s="781"/>
      <c r="G7" s="781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407" t="s">
        <v>129</v>
      </c>
      <c r="B10" s="311" t="s">
        <v>130</v>
      </c>
      <c r="C10" s="1309" t="s">
        <v>7</v>
      </c>
      <c r="D10" s="1309"/>
      <c r="E10" s="1309"/>
      <c r="F10" s="428">
        <f>AH10*angleConvert2Decimal(I10)</f>
        <v>-50.05</v>
      </c>
      <c r="G10" s="428"/>
      <c r="H10" s="357" t="s">
        <v>4</v>
      </c>
      <c r="I10" s="356" t="s">
        <v>490</v>
      </c>
      <c r="J10" s="466" t="str">
        <f>angleDecimal2Txt(F10)</f>
        <v>-50°03.00 (-50.0499) [-50°03'00.00]</v>
      </c>
      <c r="K10" s="466"/>
      <c r="L10" s="466"/>
      <c r="M10" s="467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407"/>
      <c r="B11" s="311" t="s">
        <v>138</v>
      </c>
      <c r="C11" s="634" t="s">
        <v>8</v>
      </c>
      <c r="D11" s="634"/>
      <c r="E11" s="634"/>
      <c r="F11" s="428">
        <f>AH11*angleConvert2Decimal(I11)</f>
        <v>-9.0333333333333332</v>
      </c>
      <c r="G11" s="428"/>
      <c r="H11" s="357" t="s">
        <v>6</v>
      </c>
      <c r="I11" s="356" t="s">
        <v>491</v>
      </c>
      <c r="J11" s="466" t="str">
        <f>angleDecimal2Txt(F11)</f>
        <v>-09°02.00 (-09.0333) [-09°02'00.00]</v>
      </c>
      <c r="K11" s="466"/>
      <c r="L11" s="466"/>
      <c r="M11" s="467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763" t="s">
        <v>19</v>
      </c>
      <c r="D12" s="763"/>
      <c r="E12" s="763"/>
      <c r="F12" s="353">
        <f>0.0293 * SQRT(H12)</f>
        <v>0.14354009892709421</v>
      </c>
      <c r="G12" s="355" t="s">
        <v>28</v>
      </c>
      <c r="H12" s="673">
        <v>24</v>
      </c>
      <c r="I12" s="673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763" t="s">
        <v>20</v>
      </c>
      <c r="D13" s="763"/>
      <c r="E13" s="763"/>
      <c r="F13" s="354" cm="1">
        <f t="array" ref="F13">angleConvert2Decimal(H13)</f>
        <v>2.5000000000000001E-2</v>
      </c>
      <c r="G13" s="355" t="s">
        <v>28</v>
      </c>
      <c r="H13" s="672" t="s">
        <v>492</v>
      </c>
      <c r="I13" s="672"/>
      <c r="J13" s="471" t="str" cm="1">
        <f t="array" ref="J13">angleDecimal2Txt(F13)</f>
        <v>+00°01.50 (+00.0250) [+00°01'30.00]</v>
      </c>
      <c r="K13" s="471"/>
      <c r="L13" s="471"/>
      <c r="M13" s="472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336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84"/>
      <c r="C17" s="1284"/>
      <c r="D17" s="1283" t="s">
        <v>147</v>
      </c>
      <c r="E17" s="1311" t="s">
        <v>534</v>
      </c>
      <c r="F17" s="1311"/>
      <c r="G17" s="1311"/>
      <c r="H17" s="1283" t="s">
        <v>60</v>
      </c>
      <c r="I17" s="1283"/>
      <c r="J17" s="1297" t="s">
        <v>342</v>
      </c>
      <c r="K17" s="1297"/>
      <c r="L17" s="1284" t="s">
        <v>193</v>
      </c>
      <c r="M17" s="1284"/>
      <c r="N17" s="1283" t="s">
        <v>84</v>
      </c>
      <c r="O17" s="1283"/>
      <c r="P17" s="16"/>
      <c r="Q17" s="1298" t="s">
        <v>379</v>
      </c>
      <c r="R17" s="1298"/>
      <c r="S17" s="1298"/>
      <c r="T17" s="1298"/>
      <c r="U17" s="16"/>
      <c r="V17" s="1283" t="s">
        <v>380</v>
      </c>
      <c r="W17" s="1283"/>
      <c r="X17" s="1283"/>
      <c r="Y17" s="145"/>
      <c r="Z17" s="145"/>
      <c r="AA17" s="150"/>
      <c r="AE17" s="83"/>
    </row>
    <row r="18" spans="1:67" customFormat="1" ht="15.75" customHeight="1">
      <c r="B18" s="1284"/>
      <c r="C18" s="1284"/>
      <c r="D18" s="1283"/>
      <c r="E18" s="1311"/>
      <c r="F18" s="1311"/>
      <c r="G18" s="1311"/>
      <c r="H18" s="1283"/>
      <c r="I18" s="1283"/>
      <c r="J18" s="1297" t="s">
        <v>352</v>
      </c>
      <c r="K18" s="1297"/>
      <c r="L18" s="1284"/>
      <c r="M18" s="1284"/>
      <c r="N18" s="1283"/>
      <c r="O18" s="1283"/>
      <c r="P18" s="16"/>
      <c r="Q18" s="257" t="s">
        <v>517</v>
      </c>
      <c r="R18" s="146" t="s">
        <v>148</v>
      </c>
      <c r="S18" s="146" t="s">
        <v>17</v>
      </c>
      <c r="T18" s="146"/>
      <c r="U18" s="16"/>
      <c r="V18" s="1283"/>
      <c r="W18" s="1283"/>
      <c r="X18" s="1283"/>
      <c r="Y18" s="145"/>
      <c r="Z18" s="145"/>
      <c r="AA18" s="150"/>
      <c r="AE18" s="83"/>
      <c r="AG18" s="270" t="s">
        <v>341</v>
      </c>
    </row>
    <row r="19" spans="1:67" customFormat="1" ht="26.25" customHeight="1">
      <c r="B19" s="206" t="s">
        <v>32</v>
      </c>
      <c r="C19" s="206" t="s">
        <v>493</v>
      </c>
      <c r="D19" s="207" t="str">
        <f>IF(B19=$AG$18,IF(ISNA(VLOOKUP(C19,$I$35:$I$36,1,FALSE)),"Mauvaise planete","OK"),"OK")</f>
        <v>OK</v>
      </c>
      <c r="E19" s="258" t="s">
        <v>519</v>
      </c>
      <c r="F19" s="1299" t="s">
        <v>524</v>
      </c>
      <c r="G19" s="259">
        <f>heureConvert2Decimal(E19)+$F$23</f>
        <v>3.3344444444444443</v>
      </c>
      <c r="H19" s="208" t="s">
        <v>494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506</v>
      </c>
      <c r="M19" s="174">
        <f>angleConvert2Decimal(L19)</f>
        <v>280.38333333333333</v>
      </c>
      <c r="N19" s="208" t="s">
        <v>507</v>
      </c>
      <c r="O19" s="210">
        <f>angleConvert2Decimal(N19)</f>
        <v>46.021666666666668</v>
      </c>
      <c r="P19" s="16"/>
      <c r="Q19" s="1283" t="s">
        <v>337</v>
      </c>
      <c r="R19" s="197">
        <v>3</v>
      </c>
      <c r="S19" s="198" t="s">
        <v>502</v>
      </c>
      <c r="T19" s="199">
        <f>angleConvert2Decimal(S19)</f>
        <v>321.70666666666665</v>
      </c>
      <c r="U19" s="16"/>
      <c r="V19" s="1295" t="s">
        <v>65</v>
      </c>
      <c r="W19" s="1296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495</v>
      </c>
      <c r="D20" s="207" t="str">
        <f>IF(B20=$AG$18,IF(ISNA(VLOOKUP(C20,$I$35:$I$36,1,FALSE)),"Mauvaise planete","OK"),"OK")</f>
        <v>OK</v>
      </c>
      <c r="E20" s="258" t="s">
        <v>520</v>
      </c>
      <c r="F20" s="1300"/>
      <c r="G20" s="260">
        <f>heureConvert2Decimal(E20)+$F$23</f>
        <v>3.3688888888888888</v>
      </c>
      <c r="H20" s="12" t="s">
        <v>496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508</v>
      </c>
      <c r="M20" s="159">
        <f>angleConvert2Decimal(L20)</f>
        <v>357.58666666666664</v>
      </c>
      <c r="N20" s="12" t="s">
        <v>509</v>
      </c>
      <c r="O20" s="173">
        <f>angleConvert2Decimal(N20)</f>
        <v>29.223333333333333</v>
      </c>
      <c r="P20" s="16"/>
      <c r="Q20" s="1283"/>
      <c r="R20" s="200">
        <v>4</v>
      </c>
      <c r="S20" s="201" t="s">
        <v>503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497</v>
      </c>
      <c r="D21" s="207" t="str">
        <f>IF(B21=$AG$18,IF(ISNA(VLOOKUP(C21,$I$35:$I$36,1,FALSE)),"Mauvaise planete","OK"),"OK")</f>
        <v>OK</v>
      </c>
      <c r="E21" s="258" t="s">
        <v>521</v>
      </c>
      <c r="F21" s="1300"/>
      <c r="G21" s="260">
        <f>heureConvert2Decimal(E21)+$F$23</f>
        <v>3.4166666666666665</v>
      </c>
      <c r="H21" s="12" t="s">
        <v>499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510</v>
      </c>
      <c r="M21" s="159">
        <f>angleConvert2Decimal(L21)</f>
        <v>62.001666666666665</v>
      </c>
      <c r="N21" s="12" t="s">
        <v>511</v>
      </c>
      <c r="O21" s="173">
        <f>angleConvert2Decimal(N21)</f>
        <v>8.9316666666666666</v>
      </c>
      <c r="P21" s="16"/>
      <c r="Q21" s="1283"/>
      <c r="R21" s="200">
        <v>5</v>
      </c>
      <c r="S21" s="201" t="s">
        <v>504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498</v>
      </c>
      <c r="D22" s="207" t="str">
        <f>IF(B22=$AG$18,IF(ISNA(VLOOKUP(C22,$I$35:$I$36,1,FALSE)),"Mauvaise planete","OK"),"OK")</f>
        <v>OK</v>
      </c>
      <c r="E22" s="258" t="s">
        <v>522</v>
      </c>
      <c r="F22" s="1300"/>
      <c r="G22" s="260">
        <f>heureConvert2Decimal(E22)+$F$23</f>
        <v>3.4530555555555558</v>
      </c>
      <c r="H22" s="12" t="s">
        <v>500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512</v>
      </c>
      <c r="M22" s="159">
        <f>angleConvert2Decimal(L22)</f>
        <v>80.551666666666662</v>
      </c>
      <c r="N22" s="12" t="s">
        <v>513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377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341</v>
      </c>
      <c r="C23" s="13" t="s">
        <v>346</v>
      </c>
      <c r="D23" s="207" t="str">
        <f>IF(B23=$AG$18,IF(ISNA(VLOOKUP(C23,$I$35:$I$36,1,FALSE)),"Mauvaise planete","OK"),"OK")</f>
        <v>OK</v>
      </c>
      <c r="E23" s="258" t="s">
        <v>523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501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514</v>
      </c>
      <c r="M23" s="159">
        <f>angleConvert2Decimal(L23)</f>
        <v>137.31666666666666</v>
      </c>
      <c r="N23" s="12" t="s">
        <v>515</v>
      </c>
      <c r="O23" s="173">
        <f>angleConvert2Decimal(N23)</f>
        <v>74.058333333333337</v>
      </c>
      <c r="P23" s="16"/>
      <c r="Q23" s="146" t="s">
        <v>337</v>
      </c>
      <c r="R23" s="200">
        <v>0</v>
      </c>
      <c r="S23" s="201" t="s">
        <v>505</v>
      </c>
      <c r="T23" s="200" t="s">
        <v>365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205" t="s">
        <v>532</v>
      </c>
      <c r="AI24" s="1205"/>
      <c r="AJ24" s="1205"/>
      <c r="AK24" s="1205"/>
      <c r="AL24" s="1205"/>
      <c r="AM24" s="1206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308" t="s">
        <v>343</v>
      </c>
      <c r="F25" s="1308"/>
      <c r="G25" s="1310" t="s">
        <v>344</v>
      </c>
      <c r="H25" s="1310" t="s">
        <v>345</v>
      </c>
      <c r="I25" s="1310"/>
      <c r="J25" s="1310"/>
      <c r="K25" s="184" t="s">
        <v>95</v>
      </c>
      <c r="L25" s="184" t="s">
        <v>95</v>
      </c>
      <c r="M25" s="1288" t="s">
        <v>101</v>
      </c>
      <c r="N25" s="1288"/>
      <c r="O25" s="1292" t="s">
        <v>337</v>
      </c>
      <c r="P25" s="1292"/>
      <c r="Q25" s="1292"/>
      <c r="R25" s="1292"/>
      <c r="S25" s="1292"/>
      <c r="T25" s="1292"/>
      <c r="U25" s="1294" t="s">
        <v>338</v>
      </c>
      <c r="V25" s="1294" t="s">
        <v>415</v>
      </c>
      <c r="W25" s="1294" t="s">
        <v>43</v>
      </c>
      <c r="X25" s="1294" t="s">
        <v>222</v>
      </c>
      <c r="Y25" s="1294"/>
      <c r="Z25" s="1293" t="s">
        <v>339</v>
      </c>
      <c r="AA25" s="1293" t="s">
        <v>340</v>
      </c>
      <c r="AB25" t="s">
        <v>363</v>
      </c>
      <c r="AC25" s="1293" t="s">
        <v>93</v>
      </c>
      <c r="AE25" s="83"/>
      <c r="AH25" s="1207" t="s">
        <v>531</v>
      </c>
      <c r="AI25" s="1208"/>
      <c r="AJ25" s="1208"/>
      <c r="AK25" s="1208"/>
      <c r="AL25" s="1208"/>
      <c r="AM25" s="1208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308"/>
      <c r="F26" s="1308"/>
      <c r="G26" s="1310"/>
      <c r="H26" s="235" t="s">
        <v>96</v>
      </c>
      <c r="I26" s="235" t="s">
        <v>353</v>
      </c>
      <c r="J26" s="235" t="s">
        <v>184</v>
      </c>
      <c r="K26" s="185" t="s">
        <v>368</v>
      </c>
      <c r="L26" s="187" t="s">
        <v>374</v>
      </c>
      <c r="M26" s="1288"/>
      <c r="N26" s="1288"/>
      <c r="O26" s="157" t="s">
        <v>354</v>
      </c>
      <c r="P26" s="157" t="s">
        <v>355</v>
      </c>
      <c r="Q26" s="157" t="s">
        <v>356</v>
      </c>
      <c r="R26" s="157" t="s">
        <v>367</v>
      </c>
      <c r="S26" s="236" t="s">
        <v>366</v>
      </c>
      <c r="T26" s="195" t="s">
        <v>516</v>
      </c>
      <c r="U26" s="1294"/>
      <c r="V26" s="1294"/>
      <c r="W26" s="1294"/>
      <c r="X26" s="1294"/>
      <c r="Y26" s="1294"/>
      <c r="Z26" s="1293"/>
      <c r="AA26" s="1293"/>
      <c r="AB26" t="s">
        <v>364</v>
      </c>
      <c r="AC26" s="1293"/>
      <c r="AE26" s="83"/>
      <c r="AG26" s="286" t="s">
        <v>357</v>
      </c>
      <c r="AH26" s="286" t="s">
        <v>526</v>
      </c>
      <c r="AI26" s="286" t="s">
        <v>527</v>
      </c>
      <c r="AJ26" s="286" t="s">
        <v>358</v>
      </c>
      <c r="AK26" s="286" t="s">
        <v>528</v>
      </c>
      <c r="AL26" s="286" t="s">
        <v>529</v>
      </c>
      <c r="AM26" s="285" t="s">
        <v>359</v>
      </c>
      <c r="AN26" s="285" t="s">
        <v>420</v>
      </c>
      <c r="AO26" s="272" t="s">
        <v>530</v>
      </c>
      <c r="AP26" s="272" t="s">
        <v>533</v>
      </c>
      <c r="AQ26" s="274" t="s">
        <v>222</v>
      </c>
      <c r="AR26" s="275" t="s">
        <v>423</v>
      </c>
      <c r="AS26" s="276" t="s">
        <v>92</v>
      </c>
      <c r="AT26" s="141" t="s">
        <v>361</v>
      </c>
      <c r="AU26" s="169" t="s">
        <v>362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14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203">
        <f>Outils!$F$4 * $F$10</f>
        <v>-0.87353729062316188</v>
      </c>
      <c r="AK27" s="1203">
        <f>SIN(AJ27)</f>
        <v>-0.76660508936870064</v>
      </c>
      <c r="AL27" s="1203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89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15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816"/>
      <c r="AK28" s="816"/>
      <c r="AL28" s="816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90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15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816"/>
      <c r="AK29" s="816"/>
      <c r="AL29" s="816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90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15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816"/>
      <c r="AK30" s="816"/>
      <c r="AL30" s="816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90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16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204"/>
      <c r="AK31" s="1204"/>
      <c r="AL31" s="1204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91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566" t="s">
        <v>373</v>
      </c>
      <c r="N33" s="566"/>
      <c r="O33" s="566"/>
      <c r="P33" s="566"/>
      <c r="Q33" s="566"/>
      <c r="R33" s="566"/>
      <c r="S33" s="566"/>
      <c r="T33" s="566"/>
      <c r="U33" s="566"/>
      <c r="V33" s="566"/>
      <c r="W33" s="566"/>
      <c r="X33" s="566"/>
      <c r="Y33" s="566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350</v>
      </c>
      <c r="K34" s="151" t="s">
        <v>351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375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346</v>
      </c>
      <c r="J35" s="183" t="s">
        <v>348</v>
      </c>
      <c r="K35" s="281">
        <f>angleConvert2Decimal(J35)</f>
        <v>5.0000000000000001E-3</v>
      </c>
      <c r="L35" s="1312" t="str">
        <f>I35</f>
        <v>Mars</v>
      </c>
      <c r="M35" s="262">
        <v>40</v>
      </c>
      <c r="N35" s="263" t="s">
        <v>369</v>
      </c>
      <c r="O35" s="263" t="s">
        <v>369</v>
      </c>
      <c r="P35" s="263" t="s">
        <v>369</v>
      </c>
      <c r="Q35" s="263" t="s">
        <v>369</v>
      </c>
      <c r="R35" s="263" t="s">
        <v>369</v>
      </c>
      <c r="S35" s="263" t="s">
        <v>369</v>
      </c>
      <c r="T35" s="263" t="s">
        <v>369</v>
      </c>
      <c r="U35" s="263" t="s">
        <v>369</v>
      </c>
      <c r="V35" s="263" t="s">
        <v>369</v>
      </c>
      <c r="W35" s="263" t="s">
        <v>370</v>
      </c>
      <c r="X35" s="263" t="s">
        <v>370</v>
      </c>
      <c r="Y35" s="263" t="s">
        <v>370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613</v>
      </c>
      <c r="AL35" s="254" t="s">
        <v>346</v>
      </c>
      <c r="AM35" s="254" t="s">
        <v>347</v>
      </c>
      <c r="AN35" s="254" t="s">
        <v>376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347</v>
      </c>
      <c r="J36" s="181" t="s">
        <v>349</v>
      </c>
      <c r="K36" s="282">
        <f>angleConvert2Decimal(J36)</f>
        <v>1.6666666666666668E-3</v>
      </c>
      <c r="L36" s="1312"/>
      <c r="M36" s="262">
        <v>60</v>
      </c>
      <c r="N36" s="263" t="s">
        <v>369</v>
      </c>
      <c r="O36" s="263" t="s">
        <v>369</v>
      </c>
      <c r="P36" s="263" t="s">
        <v>369</v>
      </c>
      <c r="Q36" s="263" t="s">
        <v>369</v>
      </c>
      <c r="R36" s="263" t="s">
        <v>369</v>
      </c>
      <c r="S36" s="263" t="s">
        <v>369</v>
      </c>
      <c r="T36" s="263" t="s">
        <v>369</v>
      </c>
      <c r="U36" s="263" t="s">
        <v>369</v>
      </c>
      <c r="V36" s="263" t="s">
        <v>369</v>
      </c>
      <c r="W36" s="263" t="s">
        <v>369</v>
      </c>
      <c r="X36" s="263" t="s">
        <v>369</v>
      </c>
      <c r="Y36" s="263" t="s">
        <v>369</v>
      </c>
      <c r="Z36" s="145"/>
      <c r="AA36" s="150"/>
      <c r="AE36" s="83"/>
      <c r="AG36" s="1286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312"/>
      <c r="M37" s="262">
        <v>90</v>
      </c>
      <c r="N37" s="263" t="s">
        <v>369</v>
      </c>
      <c r="O37" s="263" t="s">
        <v>369</v>
      </c>
      <c r="P37" s="263" t="s">
        <v>369</v>
      </c>
      <c r="Q37" s="263" t="s">
        <v>369</v>
      </c>
      <c r="R37" s="263" t="s">
        <v>369</v>
      </c>
      <c r="S37" s="263" t="s">
        <v>369</v>
      </c>
      <c r="T37" s="263" t="s">
        <v>369</v>
      </c>
      <c r="U37" s="263" t="s">
        <v>369</v>
      </c>
      <c r="V37" s="263" t="s">
        <v>369</v>
      </c>
      <c r="W37" s="263" t="s">
        <v>369</v>
      </c>
      <c r="X37" s="263" t="s">
        <v>369</v>
      </c>
      <c r="Y37" s="263" t="s">
        <v>369</v>
      </c>
      <c r="Z37" s="145"/>
      <c r="AA37" s="150"/>
      <c r="AE37" s="83"/>
      <c r="AG37" s="1286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313" t="str">
        <f>I36</f>
        <v>Venus</v>
      </c>
      <c r="M38" s="264">
        <v>40</v>
      </c>
      <c r="N38" s="265" t="s">
        <v>369</v>
      </c>
      <c r="O38" s="265" t="s">
        <v>369</v>
      </c>
      <c r="P38" s="265" t="s">
        <v>369</v>
      </c>
      <c r="Q38" s="265" t="s">
        <v>369</v>
      </c>
      <c r="R38" s="265" t="s">
        <v>370</v>
      </c>
      <c r="S38" s="265" t="s">
        <v>370</v>
      </c>
      <c r="T38" s="265" t="s">
        <v>371</v>
      </c>
      <c r="U38" s="265" t="s">
        <v>372</v>
      </c>
      <c r="V38" s="265" t="s">
        <v>371</v>
      </c>
      <c r="W38" s="265" t="s">
        <v>370</v>
      </c>
      <c r="X38" s="265" t="s">
        <v>370</v>
      </c>
      <c r="Y38" s="265" t="s">
        <v>369</v>
      </c>
      <c r="Z38" s="145"/>
      <c r="AA38" s="150"/>
      <c r="AE38" s="83"/>
      <c r="AG38" s="1286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313"/>
      <c r="M39" s="264">
        <v>60</v>
      </c>
      <c r="N39" s="265" t="s">
        <v>369</v>
      </c>
      <c r="O39" s="265" t="s">
        <v>369</v>
      </c>
      <c r="P39" s="265" t="s">
        <v>369</v>
      </c>
      <c r="Q39" s="265" t="s">
        <v>369</v>
      </c>
      <c r="R39" s="265" t="s">
        <v>369</v>
      </c>
      <c r="S39" s="265" t="s">
        <v>369</v>
      </c>
      <c r="T39" s="265" t="s">
        <v>370</v>
      </c>
      <c r="U39" s="265" t="s">
        <v>371</v>
      </c>
      <c r="V39" s="265" t="s">
        <v>370</v>
      </c>
      <c r="W39" s="265" t="s">
        <v>369</v>
      </c>
      <c r="X39" s="265" t="s">
        <v>369</v>
      </c>
      <c r="Y39" s="265" t="s">
        <v>369</v>
      </c>
      <c r="Z39" s="145"/>
      <c r="AA39" s="150"/>
      <c r="AE39" s="83"/>
      <c r="AG39" s="1286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313"/>
      <c r="M40" s="264">
        <v>90</v>
      </c>
      <c r="N40" s="265" t="s">
        <v>369</v>
      </c>
      <c r="O40" s="265" t="s">
        <v>369</v>
      </c>
      <c r="P40" s="265" t="s">
        <v>369</v>
      </c>
      <c r="Q40" s="265" t="s">
        <v>369</v>
      </c>
      <c r="R40" s="265" t="s">
        <v>369</v>
      </c>
      <c r="S40" s="265" t="s">
        <v>369</v>
      </c>
      <c r="T40" s="265" t="s">
        <v>369</v>
      </c>
      <c r="U40" s="265" t="s">
        <v>370</v>
      </c>
      <c r="V40" s="265" t="s">
        <v>369</v>
      </c>
      <c r="W40" s="265" t="s">
        <v>369</v>
      </c>
      <c r="X40" s="265" t="s">
        <v>369</v>
      </c>
      <c r="Y40" s="265" t="s">
        <v>369</v>
      </c>
      <c r="Z40" s="145"/>
      <c r="AA40" s="150"/>
      <c r="AE40" s="83"/>
      <c r="AG40" s="1287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87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87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87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535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512" t="s">
        <v>1</v>
      </c>
      <c r="C47" s="512"/>
      <c r="D47" s="512" t="str">
        <f>E6</f>
        <v>2024/06/28</v>
      </c>
      <c r="E47" s="512"/>
      <c r="F47" s="512"/>
      <c r="G47" s="512"/>
      <c r="H47" s="512"/>
      <c r="I47" s="512"/>
      <c r="AE47" s="83"/>
    </row>
    <row r="48" spans="1:68" customFormat="1" ht="15">
      <c r="B48" s="558" t="s">
        <v>30</v>
      </c>
      <c r="C48" s="558"/>
      <c r="D48" s="887" t="s">
        <v>467</v>
      </c>
      <c r="E48" s="887"/>
      <c r="F48" s="887"/>
      <c r="G48" s="887"/>
      <c r="H48" s="887"/>
      <c r="I48" s="887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511" t="s">
        <v>402</v>
      </c>
      <c r="C50" s="511"/>
      <c r="D50" s="463" t="str" cm="1">
        <f t="array" ref="D50">angleDecimal2Txt(angleConvert2Decimal(H13))</f>
        <v>+00°01.50 (+00.0250) [+00°01'30.00]</v>
      </c>
      <c r="E50" s="463"/>
      <c r="F50" s="463"/>
      <c r="G50" s="463"/>
      <c r="H50" s="463"/>
      <c r="I50" s="463"/>
      <c r="J50" s="228"/>
      <c r="K50" s="228"/>
      <c r="L50" s="228"/>
      <c r="AE50" s="83"/>
    </row>
    <row r="51" spans="2:66" customFormat="1" ht="15">
      <c r="B51" s="512" t="s">
        <v>403</v>
      </c>
      <c r="C51" s="512"/>
      <c r="D51" s="463" t="str">
        <f>CONCATENATE(H12, " m")</f>
        <v>24 m</v>
      </c>
      <c r="E51" s="463"/>
      <c r="F51" s="463"/>
      <c r="G51" s="463"/>
      <c r="H51" s="463"/>
      <c r="I51" s="463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43" t="s">
        <v>413</v>
      </c>
      <c r="C53" s="443"/>
      <c r="D53" s="443" t="str" cm="1">
        <f t="array" ref="D53">latitudeDecimal2Txt(F10)</f>
        <v>S 50°03.00 (S 50.0499) [S 50°03'00.00]</v>
      </c>
      <c r="E53" s="443"/>
      <c r="F53" s="443"/>
      <c r="G53" s="443"/>
      <c r="H53" s="443"/>
      <c r="I53" s="443"/>
      <c r="J53" s="228"/>
      <c r="K53" s="228"/>
      <c r="L53" s="228"/>
      <c r="AE53" s="83"/>
    </row>
    <row r="54" spans="2:66" customFormat="1" ht="15">
      <c r="B54" s="443" t="s">
        <v>414</v>
      </c>
      <c r="C54" s="443"/>
      <c r="D54" s="443" t="str" cm="1">
        <f t="array" ref="D54">longitudeDecimal2Txt(F11)</f>
        <v>W 09°02.00 (W 09.0333) [W 09°02'00.00]</v>
      </c>
      <c r="E54" s="443"/>
      <c r="F54" s="443"/>
      <c r="G54" s="443"/>
      <c r="H54" s="443"/>
      <c r="I54" s="443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400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02" t="s">
        <v>473</v>
      </c>
      <c r="E57" s="1303"/>
      <c r="F57" s="1305" t="str">
        <f>C19</f>
        <v>Capela</v>
      </c>
      <c r="G57" s="1306"/>
      <c r="H57" s="1306"/>
      <c r="I57" s="1307"/>
      <c r="J57" s="1248" t="str">
        <f>C20</f>
        <v>Alpheratz</v>
      </c>
      <c r="K57" s="1249"/>
      <c r="L57" s="1249"/>
      <c r="M57" s="1250"/>
      <c r="N57" s="1248" t="str">
        <f>C21</f>
        <v>Altair</v>
      </c>
      <c r="O57" s="1249"/>
      <c r="P57" s="1249"/>
      <c r="Q57" s="1250"/>
      <c r="R57" s="1248" t="str">
        <f>C22</f>
        <v>Vega</v>
      </c>
      <c r="S57" s="1249"/>
      <c r="T57" s="1249"/>
      <c r="U57" s="1250"/>
      <c r="V57" s="1248" t="str">
        <f>C23</f>
        <v>Mars</v>
      </c>
      <c r="W57" s="1249"/>
      <c r="X57" s="1249"/>
      <c r="Y57" s="1250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85" t="s">
        <v>518</v>
      </c>
      <c r="E58" s="1255"/>
      <c r="F58" s="1261" t="str">
        <f>$D$47</f>
        <v>2024/06/28</v>
      </c>
      <c r="G58" s="1262"/>
      <c r="H58" s="1254" t="str" cm="1">
        <f t="array" ref="H58">heureDecimal2Txt($G$19,0)</f>
        <v>03:20:04.00</v>
      </c>
      <c r="I58" s="1255"/>
      <c r="J58" s="1261" t="str">
        <f>$D$47</f>
        <v>2024/06/28</v>
      </c>
      <c r="K58" s="1262"/>
      <c r="L58" s="1254" t="str" cm="1">
        <f t="array" ref="L58">heureDecimal2Txt($G$20,0)</f>
        <v>03:22:08.00</v>
      </c>
      <c r="M58" s="1255"/>
      <c r="N58" s="1261" t="str">
        <f>$D$47</f>
        <v>2024/06/28</v>
      </c>
      <c r="O58" s="1262"/>
      <c r="P58" s="1254" t="str" cm="1">
        <f t="array" ref="P58">heureDecimal2Txt($G$21,0)</f>
        <v>03:25:00.00</v>
      </c>
      <c r="Q58" s="1255"/>
      <c r="R58" s="1261" t="str">
        <f>$D$47</f>
        <v>2024/06/28</v>
      </c>
      <c r="S58" s="1262"/>
      <c r="T58" s="1254" t="str" cm="1">
        <f t="array" ref="T58">heureDecimal2Txt($G$22,0)</f>
        <v>03:27:11.00</v>
      </c>
      <c r="U58" s="1255"/>
      <c r="V58" s="1261" t="str">
        <f>$D$47</f>
        <v>2024/06/28</v>
      </c>
      <c r="W58" s="1262"/>
      <c r="X58" s="1254" t="str" cm="1">
        <f t="array" ref="X58">heureDecimal2Txt($G$23,0)</f>
        <v>03:30:20.00</v>
      </c>
      <c r="Y58" s="1255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41" t="s">
        <v>401</v>
      </c>
      <c r="E59" s="1276"/>
      <c r="F59" s="1251" t="str" cm="1">
        <f t="array" ref="F59">angleDecimal2Txt(angleConvert2Decimal(H19))</f>
        <v>+18°45.00 (+18.7500) [+18°45'00.00]</v>
      </c>
      <c r="G59" s="1252"/>
      <c r="H59" s="1252"/>
      <c r="I59" s="1253"/>
      <c r="J59" s="1251" t="str" cm="1">
        <f t="array" ref="J59">angleDecimal2Txt(angleConvert2Decimal(H20))</f>
        <v>+51°06.00 (+51.1000) [+51°06'00.00]</v>
      </c>
      <c r="K59" s="1252"/>
      <c r="L59" s="1252"/>
      <c r="M59" s="1253"/>
      <c r="N59" s="1251" t="str" cm="1">
        <f t="array" ref="N59">angleDecimal2Txt(angleConvert2Decimal(H21))</f>
        <v>+45°23.39 (+45.3900) [+45°23'24.00]</v>
      </c>
      <c r="O59" s="1252"/>
      <c r="P59" s="1252"/>
      <c r="Q59" s="1253"/>
      <c r="R59" s="1251" t="str" cm="1">
        <f t="array" ref="R59">angleDecimal2Txt(angleConvert2Decimal(H22))</f>
        <v>+59°47.70 (+59.7950) [+59°47'42.00]</v>
      </c>
      <c r="S59" s="1252"/>
      <c r="T59" s="1252"/>
      <c r="U59" s="1253"/>
      <c r="V59" s="1251" t="str" cm="1">
        <f t="array" ref="V59">angleDecimal2Txt(angleConvert2Decimal(H23))</f>
        <v>+45°46.79 (+45.7800) [+45°46'48.00]</v>
      </c>
      <c r="W59" s="1252"/>
      <c r="X59" s="1252"/>
      <c r="Y59" s="1253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04" t="s">
        <v>405</v>
      </c>
      <c r="E60" s="1242"/>
      <c r="F60" s="1241" t="str" cm="1">
        <f t="array" ref="F60">angleDecimal2Txt(J19)</f>
        <v>+18°34.88 (+18.5814) [+18°34'53.25]</v>
      </c>
      <c r="G60" s="1242"/>
      <c r="H60" s="1242"/>
      <c r="I60" s="1243"/>
      <c r="J60" s="1241" t="str" cm="1">
        <f t="array" ref="J60">angleDecimal2Txt(J20)</f>
        <v>+50°55.88 (+50.9314) [+50°55'53.25]</v>
      </c>
      <c r="K60" s="1242"/>
      <c r="L60" s="1242"/>
      <c r="M60" s="1243"/>
      <c r="N60" s="1241" t="str" cm="1">
        <f t="array" ref="N60">angleDecimal2Txt(J21)</f>
        <v>+45°13.28 (+45.2214) [+45°13'17.25]</v>
      </c>
      <c r="O60" s="1242"/>
      <c r="P60" s="1242"/>
      <c r="Q60" s="1243"/>
      <c r="R60" s="1241" t="str" cm="1">
        <f t="array" ref="R60">angleDecimal2Txt(J22)</f>
        <v>+59°37.58 (+59.6264) [+59°37'35.25]</v>
      </c>
      <c r="S60" s="1242"/>
      <c r="T60" s="1242"/>
      <c r="U60" s="1243"/>
      <c r="V60" s="1241" t="str" cm="1">
        <f t="array" ref="V60">angleDecimal2Txt(J23)</f>
        <v>+45°36.68 (+45.6114) [+45°36'41.25]</v>
      </c>
      <c r="W60" s="1242"/>
      <c r="X60" s="1242"/>
      <c r="Y60" s="1243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45" t="s">
        <v>403</v>
      </c>
      <c r="E61" s="446"/>
      <c r="F61" s="1246" t="str" cm="1">
        <f t="array" ref="F61">angleDecimal2Txt($F$12)</f>
        <v>+00°08.61 (+00.1435) [+00°08'36.74]</v>
      </c>
      <c r="G61" s="872"/>
      <c r="H61" s="872"/>
      <c r="I61" s="872"/>
      <c r="J61" s="872"/>
      <c r="K61" s="872"/>
      <c r="L61" s="872"/>
      <c r="M61" s="872"/>
      <c r="N61" s="872"/>
      <c r="O61" s="872"/>
      <c r="P61" s="872"/>
      <c r="Q61" s="872"/>
      <c r="R61" s="872"/>
      <c r="S61" s="872"/>
      <c r="T61" s="872"/>
      <c r="U61" s="872"/>
      <c r="V61" s="872"/>
      <c r="W61" s="872"/>
      <c r="X61" s="872"/>
      <c r="Y61" s="1247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45" t="s">
        <v>410</v>
      </c>
      <c r="E62" s="446"/>
      <c r="F62" s="1246" t="str" cm="1">
        <f t="array" ref="F62">angleDecimal2Txt(J27)</f>
        <v>+00°02.91 (+00.0486) [+00°02'55.12]</v>
      </c>
      <c r="G62" s="872"/>
      <c r="H62" s="872"/>
      <c r="I62" s="1247"/>
      <c r="J62" s="1246" t="str" cm="1">
        <f t="array" ref="J62">angleDecimal2Txt(J28)</f>
        <v>+00°00.80 (+00.0134) [+00°00'48.44]</v>
      </c>
      <c r="K62" s="872"/>
      <c r="L62" s="872"/>
      <c r="M62" s="1247"/>
      <c r="N62" s="1246" t="str" cm="1">
        <f t="array" ref="N62">angleDecimal2Txt(J29)</f>
        <v>+00°00.98 (+00.0164) [+00°00'59.19]</v>
      </c>
      <c r="O62" s="872"/>
      <c r="P62" s="872"/>
      <c r="Q62" s="1247"/>
      <c r="R62" s="1246" t="str" cm="1">
        <f t="array" ref="R62">angleDecimal2Txt(J30)</f>
        <v>+00°00.58 (+00.0097) [+00°00'34.97]</v>
      </c>
      <c r="S62" s="872"/>
      <c r="T62" s="872"/>
      <c r="U62" s="1247"/>
      <c r="V62" s="1246" t="str" cm="1">
        <f t="array" ref="V62">angleDecimal2Txt(J31)</f>
        <v>+00°00.97 (+00.0162) [+00°00'58.39]</v>
      </c>
      <c r="W62" s="872"/>
      <c r="X62" s="872"/>
      <c r="Y62" s="1247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04" t="s">
        <v>404</v>
      </c>
      <c r="E63" s="1242"/>
      <c r="F63" s="1241" t="str" cm="1">
        <f t="array" ref="F63">angleDecimal2Txt(M27)</f>
        <v>+18°31.96 (+18.5328) [+18°31'58.12]</v>
      </c>
      <c r="G63" s="1242"/>
      <c r="H63" s="1242"/>
      <c r="I63" s="1243"/>
      <c r="J63" s="1241" t="str" cm="1">
        <f t="array" ref="J63">angleDecimal2Txt(M28)</f>
        <v>+50°55.08 (+50.9180) [+50°55'04.81]</v>
      </c>
      <c r="K63" s="1242"/>
      <c r="L63" s="1242"/>
      <c r="M63" s="1243"/>
      <c r="N63" s="1241" t="str" cm="1">
        <f t="array" ref="N63">angleDecimal2Txt(M29)</f>
        <v>+45°12.30 (+45.2050) [+45°12'18.06]</v>
      </c>
      <c r="O63" s="1242"/>
      <c r="P63" s="1242"/>
      <c r="Q63" s="1243"/>
      <c r="R63" s="1241" t="str" cm="1">
        <f t="array" ref="R63">angleDecimal2Txt(M30)</f>
        <v>+59°37.00 (+59.6167) [+59°37'00.27]</v>
      </c>
      <c r="S63" s="1242"/>
      <c r="T63" s="1242"/>
      <c r="U63" s="1243"/>
      <c r="V63" s="1241" t="str" cm="1">
        <f t="array" ref="V63">angleDecimal2Txt(M31)</f>
        <v>+45°35.72 (+45.5954) [+45°35'43.45]</v>
      </c>
      <c r="W63" s="1242"/>
      <c r="X63" s="1242"/>
      <c r="Y63" s="1243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83" t="s">
        <v>427</v>
      </c>
      <c r="C64" s="1277"/>
      <c r="D64" s="1281" t="s">
        <v>412</v>
      </c>
      <c r="E64" s="1282"/>
      <c r="F64" s="1244" t="str" cm="1">
        <f t="array" ref="F64">angleDecimal2Txt(G27-J27-$F$12)</f>
        <v>-00°11.53 (-00.1921) [-00°11'31.87]</v>
      </c>
      <c r="G64" s="446"/>
      <c r="H64" s="446"/>
      <c r="I64" s="1245"/>
      <c r="J64" s="1244" t="str" cm="1">
        <f t="array" ref="J64">angleDecimal2Txt(G28-J28-$F$12)</f>
        <v>-00°09.41 (-00.1569) [-00°09'25.18]</v>
      </c>
      <c r="K64" s="446"/>
      <c r="L64" s="446"/>
      <c r="M64" s="1245"/>
      <c r="N64" s="1244" t="str" cm="1">
        <f t="array" ref="N64">angleDecimal2Txt(G29-J29-$F$12)</f>
        <v>-00°09.59 (-00.1599) [-00°09'35.93]</v>
      </c>
      <c r="O64" s="446"/>
      <c r="P64" s="446"/>
      <c r="Q64" s="1245"/>
      <c r="R64" s="1244" t="str" cm="1">
        <f t="array" ref="R64">angleDecimal2Txt(G30-J30-$F$12)</f>
        <v>-00°09.19 (-00.1532) [-00°09'11.72]</v>
      </c>
      <c r="S64" s="446"/>
      <c r="T64" s="446"/>
      <c r="U64" s="1245"/>
      <c r="V64" s="1244" t="str" cm="1">
        <f t="array" ref="V64">angleDecimal2Txt(G31-J31-$F$12)</f>
        <v>-00°09.37 (-00.1562) [-00°09'22.54]</v>
      </c>
      <c r="W64" s="446"/>
      <c r="X64" s="446"/>
      <c r="Y64" s="1245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78"/>
      <c r="C65" s="1279"/>
      <c r="D65" s="1281" t="s">
        <v>408</v>
      </c>
      <c r="E65" s="1282"/>
      <c r="F65" s="1244" t="str" cm="1">
        <f t="array" ref="F65">angleDecimal2Txt(G27-J27-$F$12+angleConvert2Decimal(L27))</f>
        <v>-00°11.53 (-00.1921) [-00°11'31.87]</v>
      </c>
      <c r="G65" s="446"/>
      <c r="H65" s="446"/>
      <c r="I65" s="1245"/>
      <c r="J65" s="1244" t="str" cm="1">
        <f t="array" ref="J65">angleDecimal2Txt(G28-J28-$F$12+angleConvert2Decimal(L28))</f>
        <v>-00°09.41 (-00.1569) [-00°09'25.18]</v>
      </c>
      <c r="K65" s="446"/>
      <c r="L65" s="446"/>
      <c r="M65" s="1245"/>
      <c r="N65" s="1244" t="str" cm="1">
        <f t="array" ref="N65">angleDecimal2Txt(G29-J29-$F$12+angleConvert2Decimal(L29))</f>
        <v>-00°09.59 (-00.1599) [-00°09'35.93]</v>
      </c>
      <c r="O65" s="446"/>
      <c r="P65" s="446"/>
      <c r="Q65" s="1245"/>
      <c r="R65" s="1244" t="str" cm="1">
        <f t="array" ref="R65">angleDecimal2Txt(G30-J30-$F$12+angleConvert2Decimal(L30))</f>
        <v>-00°09.19 (-00.1532) [-00°09'11.72]</v>
      </c>
      <c r="S65" s="446"/>
      <c r="T65" s="446"/>
      <c r="U65" s="1245"/>
      <c r="V65" s="1244" t="str" cm="1">
        <f t="array" ref="V65">angleDecimal2Txt(G31-J31-$F$12+angleConvert2Decimal(L31))</f>
        <v>-00°09.27 (-00.1545) [-00°09'16.54]</v>
      </c>
      <c r="W65" s="446"/>
      <c r="X65" s="446"/>
      <c r="Y65" s="1245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85"/>
      <c r="C66" s="1280"/>
      <c r="D66" s="1281" t="s">
        <v>409</v>
      </c>
      <c r="E66" s="1282"/>
      <c r="F66" s="1244" t="str" cm="1">
        <f t="array" ref="F66">angleDecimal2Txt(G27-J27+angleConvert2Decimal(L27))</f>
        <v>-00°02.91 (-00.0486) [-00°02'55.12]</v>
      </c>
      <c r="G66" s="446"/>
      <c r="H66" s="446"/>
      <c r="I66" s="1245"/>
      <c r="J66" s="1244" t="str" cm="1">
        <f t="array" ref="J66">angleDecimal2Txt(G28-J28+angleConvert2Decimal(L28))</f>
        <v>-00°00.80 (-00.0134) [-00°00'48.44]</v>
      </c>
      <c r="K66" s="446"/>
      <c r="L66" s="446"/>
      <c r="M66" s="1245"/>
      <c r="N66" s="1244" t="str" cm="1">
        <f t="array" ref="N66">angleDecimal2Txt(G29-J29+angleConvert2Decimal(L29))</f>
        <v>-00°00.98 (-00.0164) [-00°00'59.19]</v>
      </c>
      <c r="O66" s="446"/>
      <c r="P66" s="446"/>
      <c r="Q66" s="1245"/>
      <c r="R66" s="1244" t="str" cm="1">
        <f t="array" ref="R66">angleDecimal2Txt(G30-J30-angleConvert2Decimal(L30))</f>
        <v>-00°00.58 (-00.0097) [-00°00'34.97]</v>
      </c>
      <c r="S66" s="446"/>
      <c r="T66" s="446"/>
      <c r="U66" s="1245"/>
      <c r="V66" s="1244" t="str" cm="1">
        <f t="array" ref="V66">angleDecimal2Txt(G31-J31+angleConvert2Decimal(L31))</f>
        <v>-00°00.66 (-00.0110) [-00°00'39.80]</v>
      </c>
      <c r="W66" s="446"/>
      <c r="X66" s="446"/>
      <c r="Y66" s="1245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3" t="s">
        <v>438</v>
      </c>
      <c r="E69" s="1275" t="str">
        <f>CONCATENATE(" -", "Interval")</f>
        <v xml:space="preserve"> -Interval</v>
      </c>
      <c r="F69" s="1227">
        <f>O27</f>
        <v>3</v>
      </c>
      <c r="G69" s="1221"/>
      <c r="H69" s="1221" t="str" cm="1">
        <f t="array" ref="H69">angleDecimal2Txt(VLOOKUP(F69,$R$19:$T$21,3),0)</f>
        <v>+321°42.39</v>
      </c>
      <c r="I69" s="1228"/>
      <c r="J69" s="1220">
        <f>O28</f>
        <v>3</v>
      </c>
      <c r="K69" s="1221"/>
      <c r="L69" s="1221" t="str" cm="1">
        <f t="array" ref="L69">angleDecimal2Txt(VLOOKUP(J69,$R$19:$T$21,3),0)</f>
        <v>+321°42.39</v>
      </c>
      <c r="M69" s="1222"/>
      <c r="N69" s="1227">
        <f>O29</f>
        <v>3</v>
      </c>
      <c r="O69" s="1221"/>
      <c r="P69" s="1221" t="str" cm="1">
        <f t="array" ref="P69">angleDecimal2Txt(VLOOKUP(N69,$R$19:$T$21,3),0)</f>
        <v>+321°42.39</v>
      </c>
      <c r="Q69" s="1228"/>
      <c r="R69" s="1220">
        <f>O30</f>
        <v>3</v>
      </c>
      <c r="S69" s="1221"/>
      <c r="T69" s="1221" t="str" cm="1">
        <f t="array" ref="T69">angleDecimal2Txt(VLOOKUP(R69,$R$19:$T$21,3),0)</f>
        <v>+321°42.39</v>
      </c>
      <c r="U69" s="1222"/>
      <c r="V69" s="1227">
        <f>O31</f>
        <v>3</v>
      </c>
      <c r="W69" s="1221"/>
      <c r="X69" s="1221" t="str" cm="1">
        <f t="array" ref="X69">angleDecimal2Txt(VLOOKUP(V69,$R$19:$T$21,3),0)</f>
        <v>+321°42.39</v>
      </c>
      <c r="Y69" s="1228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3"/>
      <c r="E70" s="1275"/>
      <c r="F70" s="1227">
        <f>F69+1</f>
        <v>4</v>
      </c>
      <c r="G70" s="1221"/>
      <c r="H70" s="1221" t="str" cm="1">
        <f t="array" ref="H70">angleDecimal2Txt(VLOOKUP(F70,$R$19:$T$21,3),0)</f>
        <v>+336°44.79</v>
      </c>
      <c r="I70" s="1228"/>
      <c r="J70" s="1220">
        <f>J69+1</f>
        <v>4</v>
      </c>
      <c r="K70" s="1221"/>
      <c r="L70" s="1221" t="str" cm="1">
        <f t="array" ref="L70">angleDecimal2Txt(VLOOKUP(J70,$R$19:$T$21,3),0)</f>
        <v>+336°44.79</v>
      </c>
      <c r="M70" s="1222"/>
      <c r="N70" s="1227">
        <f>N69+1</f>
        <v>4</v>
      </c>
      <c r="O70" s="1221"/>
      <c r="P70" s="1221" t="str" cm="1">
        <f t="array" ref="P70">angleDecimal2Txt(VLOOKUP(N70,$R$19:$T$21,3),0)</f>
        <v>+336°44.79</v>
      </c>
      <c r="Q70" s="1228"/>
      <c r="R70" s="1220">
        <f>R69+1</f>
        <v>4</v>
      </c>
      <c r="S70" s="1221"/>
      <c r="T70" s="1221" t="str" cm="1">
        <f t="array" ref="T70">angleDecimal2Txt(VLOOKUP(R70,$R$19:$T$21,3),0)</f>
        <v>+336°44.79</v>
      </c>
      <c r="U70" s="1222"/>
      <c r="V70" s="1227">
        <f>V69+1</f>
        <v>4</v>
      </c>
      <c r="W70" s="1221"/>
      <c r="X70" s="1221" t="str" cm="1">
        <f t="array" ref="X70">angleDecimal2Txt(VLOOKUP(V70,$R$19:$T$21,3),0)</f>
        <v>+336°44.79</v>
      </c>
      <c r="Y70" s="1228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44" t="s">
        <v>439</v>
      </c>
      <c r="E71" s="1240"/>
      <c r="F71" s="1229" t="str" cm="1">
        <f t="array" ref="F71">angleDecimal2Txt(T27,0)</f>
        <v>+326°44.20</v>
      </c>
      <c r="G71" s="444"/>
      <c r="H71" s="444"/>
      <c r="I71" s="1230"/>
      <c r="J71" s="1239" t="str" cm="1">
        <f t="array" ref="J71">angleDecimal2Txt(T28,0)</f>
        <v>+327°15.28</v>
      </c>
      <c r="K71" s="444"/>
      <c r="L71" s="444"/>
      <c r="M71" s="1240"/>
      <c r="N71" s="1229" t="str" cm="1">
        <f t="array" ref="N71">angleDecimal2Txt(T29,0)</f>
        <v>+327°58.39</v>
      </c>
      <c r="O71" s="444"/>
      <c r="P71" s="444"/>
      <c r="Q71" s="1230"/>
      <c r="R71" s="1239" t="str" cm="1">
        <f t="array" ref="R71">angleDecimal2Txt(T30,0)</f>
        <v>+328°31.23</v>
      </c>
      <c r="S71" s="444"/>
      <c r="T71" s="444"/>
      <c r="U71" s="1240"/>
      <c r="V71" s="1229" t="str" cm="1">
        <f t="array" ref="V71">angleDecimal2Txt(T31,0)</f>
        <v>+329°18.61</v>
      </c>
      <c r="W71" s="444"/>
      <c r="X71" s="444"/>
      <c r="Y71" s="1230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44" t="s">
        <v>471</v>
      </c>
      <c r="E72" s="1240"/>
      <c r="F72" s="1229" t="str" cm="1">
        <f t="array" ref="F72">angleDecimal2Txt(U27,0)</f>
        <v>+317°42.20</v>
      </c>
      <c r="G72" s="444"/>
      <c r="H72" s="444"/>
      <c r="I72" s="1230"/>
      <c r="J72" s="1239" t="str" cm="1">
        <f t="array" ref="J72">angleDecimal2Txt(U28,0)</f>
        <v>+318°13.28</v>
      </c>
      <c r="K72" s="444"/>
      <c r="L72" s="444"/>
      <c r="M72" s="1240"/>
      <c r="N72" s="1229" t="str" cm="1">
        <f t="array" ref="N72">angleDecimal2Txt(U29,0)</f>
        <v>+318°56.39</v>
      </c>
      <c r="O72" s="444"/>
      <c r="P72" s="444"/>
      <c r="Q72" s="1230"/>
      <c r="R72" s="1239" t="str" cm="1">
        <f t="array" ref="R72">angleDecimal2Txt(U30,0)</f>
        <v>+319°29.23</v>
      </c>
      <c r="S72" s="444"/>
      <c r="T72" s="444"/>
      <c r="U72" s="1240"/>
      <c r="V72" s="1229" t="str" cm="1">
        <f t="array" ref="V72">angleDecimal2Txt(U31,0)</f>
        <v>+320°16.61</v>
      </c>
      <c r="W72" s="444"/>
      <c r="X72" s="444"/>
      <c r="Y72" s="1230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44" t="s">
        <v>468</v>
      </c>
      <c r="E73" s="1240"/>
      <c r="F73" s="1229" t="str" cm="1">
        <f t="array" ref="F73">angleDecimal2Txt(M19,0)</f>
        <v>+280°23.00</v>
      </c>
      <c r="G73" s="444"/>
      <c r="H73" s="444"/>
      <c r="I73" s="1230"/>
      <c r="J73" s="1239" t="str" cm="1">
        <f t="array" ref="J73">angleDecimal2Txt(M20,0)</f>
        <v>+357°35.20</v>
      </c>
      <c r="K73" s="444"/>
      <c r="L73" s="444"/>
      <c r="M73" s="1240"/>
      <c r="N73" s="1229" t="str" cm="1">
        <f t="array" ref="N73">angleDecimal2Txt(M21,0)</f>
        <v>+62°00.10</v>
      </c>
      <c r="O73" s="444"/>
      <c r="P73" s="444"/>
      <c r="Q73" s="1230"/>
      <c r="R73" s="1239" t="str" cm="1">
        <f t="array" ref="R73">angleDecimal2Txt(M22,0)</f>
        <v>+80°33.10</v>
      </c>
      <c r="S73" s="444"/>
      <c r="T73" s="444"/>
      <c r="U73" s="1240"/>
      <c r="V73" s="1229" t="str" cm="1">
        <f t="array" ref="V73">angleDecimal2Txt(M23,0)</f>
        <v>+137°19.00</v>
      </c>
      <c r="W73" s="444"/>
      <c r="X73" s="444"/>
      <c r="Y73" s="1230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44" t="s">
        <v>469</v>
      </c>
      <c r="E74" s="1240"/>
      <c r="F74" s="1229" t="str" cm="1">
        <f t="array" ref="F74">angleDecimal2Txt(V27,0)</f>
        <v>+247°07.20</v>
      </c>
      <c r="G74" s="444"/>
      <c r="H74" s="444"/>
      <c r="I74" s="1230"/>
      <c r="J74" s="1239" t="str" cm="1">
        <f t="array" ref="J74">angleDecimal2Txt(V28,0)</f>
        <v>+324°50.48</v>
      </c>
      <c r="K74" s="444"/>
      <c r="L74" s="444"/>
      <c r="M74" s="1240"/>
      <c r="N74" s="1229" t="str" cm="1">
        <f t="array" ref="N74">angleDecimal2Txt(V29,0)</f>
        <v>+29°58.49</v>
      </c>
      <c r="O74" s="444"/>
      <c r="P74" s="444"/>
      <c r="Q74" s="1230"/>
      <c r="R74" s="1239" t="str" cm="1">
        <f t="array" ref="R74">angleDecimal2Txt(V30,0)</f>
        <v>+49°04.33</v>
      </c>
      <c r="S74" s="444"/>
      <c r="T74" s="444"/>
      <c r="U74" s="1240"/>
      <c r="V74" s="1229" t="str" cm="1">
        <f t="array" ref="V74">angleDecimal2Txt(V31,0)</f>
        <v>+106°37.61</v>
      </c>
      <c r="W74" s="444"/>
      <c r="X74" s="444"/>
      <c r="Y74" s="1230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44" t="s">
        <v>470</v>
      </c>
      <c r="E75" s="1240"/>
      <c r="F75" s="1229" t="str" cm="1">
        <f t="array" ref="F75">angleDecimal2Txt(W27,0)</f>
        <v>+238°05.20</v>
      </c>
      <c r="G75" s="444"/>
      <c r="H75" s="444"/>
      <c r="I75" s="1230"/>
      <c r="J75" s="1239" t="str" cm="1">
        <f t="array" ref="J75">angleDecimal2Txt(W28,0)</f>
        <v>+315°48.48</v>
      </c>
      <c r="K75" s="444"/>
      <c r="L75" s="444"/>
      <c r="M75" s="1240"/>
      <c r="N75" s="1229" t="str" cm="1">
        <f t="array" ref="N75">angleDecimal2Txt(W29,0)</f>
        <v>+20°56.49</v>
      </c>
      <c r="O75" s="444"/>
      <c r="P75" s="444"/>
      <c r="Q75" s="1230"/>
      <c r="R75" s="1239" t="str" cm="1">
        <f t="array" ref="R75">angleDecimal2Txt(W30,0)</f>
        <v>+40°02.33</v>
      </c>
      <c r="S75" s="444"/>
      <c r="T75" s="444"/>
      <c r="U75" s="1240"/>
      <c r="V75" s="1229" t="str" cm="1">
        <f t="array" ref="V75">angleDecimal2Txt(W31,0)</f>
        <v>+97°35.61</v>
      </c>
      <c r="W75" s="444"/>
      <c r="X75" s="444"/>
      <c r="Y75" s="1230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44" t="s">
        <v>472</v>
      </c>
      <c r="E76" s="1240"/>
      <c r="F76" s="1229" t="str" cm="1">
        <f t="array" ref="F76">angleDecimal2Txt(O19,0)</f>
        <v>+46°01.30</v>
      </c>
      <c r="G76" s="444"/>
      <c r="H76" s="444"/>
      <c r="I76" s="1230"/>
      <c r="J76" s="1239" t="str" cm="1">
        <f t="array" ref="J76">angleDecimal2Txt(O20,0)</f>
        <v>+29°13.40</v>
      </c>
      <c r="K76" s="444"/>
      <c r="L76" s="444"/>
      <c r="M76" s="1240"/>
      <c r="N76" s="1229" t="str" cm="1">
        <f t="array" ref="N76">angleDecimal2Txt(O21,0)</f>
        <v>+08°55.89</v>
      </c>
      <c r="O76" s="444"/>
      <c r="P76" s="444"/>
      <c r="Q76" s="1230"/>
      <c r="R76" s="1239" t="str" cm="1">
        <f t="array" ref="R76">angleDecimal2Txt(O22,0)</f>
        <v>+38°48.29</v>
      </c>
      <c r="S76" s="444"/>
      <c r="T76" s="444"/>
      <c r="U76" s="1240"/>
      <c r="V76" s="1229" t="str" cm="1">
        <f t="array" ref="V76">angleDecimal2Txt(O23,0)</f>
        <v>+74°03.50</v>
      </c>
      <c r="W76" s="444"/>
      <c r="X76" s="444"/>
      <c r="Y76" s="1230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72" t="s">
        <v>417</v>
      </c>
      <c r="E77" s="1273"/>
      <c r="F77" s="277">
        <f>SIN(O19*Outils!$F$4)</f>
        <v>0.71960243720697437</v>
      </c>
      <c r="G77" s="278">
        <f>SIN($F$10*Outils!$F$4)</f>
        <v>-0.76660508936870064</v>
      </c>
      <c r="H77" s="1225" t="s">
        <v>418</v>
      </c>
      <c r="I77" s="1238"/>
      <c r="J77" s="279">
        <f>SIN(O20*Outils!$F$4)</f>
        <v>0.48821511050891914</v>
      </c>
      <c r="K77" s="278">
        <f>SIN($F$10*Outils!$F$4)</f>
        <v>-0.76660508936870064</v>
      </c>
      <c r="L77" s="1225" t="s">
        <v>418</v>
      </c>
      <c r="M77" s="1226"/>
      <c r="N77" s="277">
        <f>SIN(O21*Outils!$F$4)</f>
        <v>0.15525639580609149</v>
      </c>
      <c r="O77" s="278">
        <f>SIN($F$10*Outils!$F$4)</f>
        <v>-0.76660508936870064</v>
      </c>
      <c r="P77" s="1225" t="s">
        <v>418</v>
      </c>
      <c r="Q77" s="1238"/>
      <c r="R77" s="279">
        <f>SIN(O22*Outils!$F$4)</f>
        <v>0.62667181904581304</v>
      </c>
      <c r="S77" s="278">
        <f>SIN($F$10*Outils!$F$4)</f>
        <v>-0.76660508936870064</v>
      </c>
      <c r="T77" s="1225" t="s">
        <v>418</v>
      </c>
      <c r="U77" s="1226"/>
      <c r="V77" s="277">
        <f>SIN(O23*Outils!$F$4)</f>
        <v>0.96154182649255537</v>
      </c>
      <c r="W77" s="278">
        <f>SIN($F$10*Outils!$F$4)</f>
        <v>-0.76660508936870064</v>
      </c>
      <c r="X77" s="1225" t="s">
        <v>418</v>
      </c>
      <c r="Y77" s="1238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72" t="s">
        <v>416</v>
      </c>
      <c r="E78" s="1273"/>
      <c r="F78" s="277">
        <f>COS(O19*Outils!$F$4)</f>
        <v>0.69438629909135052</v>
      </c>
      <c r="G78" s="278">
        <f>COS($F$10*Outils!$F$4)</f>
        <v>0.64211886512857297</v>
      </c>
      <c r="H78" s="1225" t="s">
        <v>419</v>
      </c>
      <c r="I78" s="1238"/>
      <c r="J78" s="279">
        <f>COS(O20*Outils!$F$4)</f>
        <v>0.87272332721817625</v>
      </c>
      <c r="K78" s="278">
        <f>COS($F$10*Outils!$F$4)</f>
        <v>0.64211886512857297</v>
      </c>
      <c r="L78" s="1225" t="s">
        <v>419</v>
      </c>
      <c r="M78" s="1226"/>
      <c r="N78" s="277">
        <f>COS(O21*Outils!$F$4)</f>
        <v>0.98787420836931572</v>
      </c>
      <c r="O78" s="278">
        <f>COS($F$10*Outils!$F$4)</f>
        <v>0.64211886512857297</v>
      </c>
      <c r="P78" s="1225" t="s">
        <v>419</v>
      </c>
      <c r="Q78" s="1238"/>
      <c r="R78" s="279">
        <f>COS(O22*Outils!$F$4)</f>
        <v>0.77928328046597528</v>
      </c>
      <c r="S78" s="278">
        <f>COS($F$10*Outils!$F$4)</f>
        <v>0.64211886512857297</v>
      </c>
      <c r="T78" s="1225" t="s">
        <v>419</v>
      </c>
      <c r="U78" s="1226"/>
      <c r="V78" s="277">
        <f>COS(O23*Outils!$F$4)</f>
        <v>0.2746585442060025</v>
      </c>
      <c r="W78" s="278">
        <f>COS($F$10*Outils!$F$4)</f>
        <v>0.64211886512857297</v>
      </c>
      <c r="X78" s="1225" t="s">
        <v>419</v>
      </c>
      <c r="Y78" s="1238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21" t="s">
        <v>420</v>
      </c>
      <c r="E79" s="1222"/>
      <c r="F79" s="1227">
        <f>COS(W27*Outils!$F$4)</f>
        <v>-0.5286352266410298</v>
      </c>
      <c r="G79" s="1221"/>
      <c r="H79" s="1221"/>
      <c r="I79" s="1228"/>
      <c r="J79" s="1220">
        <f>COS(W28*Outils!$F$4)</f>
        <v>0.71700902470210126</v>
      </c>
      <c r="K79" s="1221"/>
      <c r="L79" s="1221"/>
      <c r="M79" s="1222"/>
      <c r="N79" s="1227">
        <f>COS(W29*Outils!$F$4)</f>
        <v>0.93394480012307246</v>
      </c>
      <c r="O79" s="1221"/>
      <c r="P79" s="1221"/>
      <c r="Q79" s="1228"/>
      <c r="R79" s="1220">
        <f>COS(W30*Outils!$F$4)</f>
        <v>0.76560723305839973</v>
      </c>
      <c r="S79" s="1221"/>
      <c r="T79" s="1221"/>
      <c r="U79" s="1222"/>
      <c r="V79" s="1227">
        <f>COS(W31*Outils!$F$4)</f>
        <v>-0.13214490069444362</v>
      </c>
      <c r="W79" s="1221"/>
      <c r="X79" s="1221"/>
      <c r="Y79" s="1228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58" t="s">
        <v>421</v>
      </c>
      <c r="J80" s="1258"/>
      <c r="K80" s="1258"/>
      <c r="L80" s="1258"/>
      <c r="M80" s="1258"/>
      <c r="N80" s="1258"/>
      <c r="O80" s="1258"/>
      <c r="P80" s="1258"/>
      <c r="Q80" s="1258"/>
      <c r="R80" s="1258"/>
      <c r="S80" s="1258"/>
      <c r="T80" s="1258"/>
      <c r="Z80" s="145"/>
      <c r="AA80" s="92"/>
      <c r="AC80" s="92"/>
      <c r="AE80" s="83"/>
    </row>
    <row r="81" spans="2:55" customFormat="1" ht="17.25" customHeight="1">
      <c r="B81" s="16"/>
      <c r="C81" s="59"/>
      <c r="D81" s="1221" t="s">
        <v>428</v>
      </c>
      <c r="E81" s="1222"/>
      <c r="F81" s="1227">
        <f>F77*G77+F78*G78*F79</f>
        <v>-0.78735799496575931</v>
      </c>
      <c r="G81" s="1221"/>
      <c r="H81" s="1221"/>
      <c r="I81" s="1228"/>
      <c r="J81" s="1220">
        <f>J77*K77+J78*K78*J79</f>
        <v>2.7538013571789588E-2</v>
      </c>
      <c r="K81" s="1221"/>
      <c r="L81" s="1221"/>
      <c r="M81" s="1222"/>
      <c r="N81" s="1227">
        <f>N77*O77+N78*O78*N79</f>
        <v>0.47341135137334994</v>
      </c>
      <c r="O81" s="1221"/>
      <c r="P81" s="1221"/>
      <c r="Q81" s="1228"/>
      <c r="R81" s="1220">
        <f>R77*S77+R78*S78*R79</f>
        <v>-9.7305691794058013E-2</v>
      </c>
      <c r="S81" s="1221"/>
      <c r="T81" s="1221"/>
      <c r="U81" s="1222"/>
      <c r="V81" s="1227">
        <f>V77*W77+V78*W78*V79</f>
        <v>-0.76042838613079422</v>
      </c>
      <c r="W81" s="1221"/>
      <c r="X81" s="1221"/>
      <c r="Y81" s="1228"/>
      <c r="Z81" s="145"/>
      <c r="AA81" s="92"/>
      <c r="AC81" s="92"/>
      <c r="AE81" s="83"/>
    </row>
    <row r="82" spans="2:55" customFormat="1" ht="17.25" customHeight="1">
      <c r="B82" s="16"/>
      <c r="C82" s="59"/>
      <c r="D82" s="1216" t="s">
        <v>422</v>
      </c>
      <c r="E82" s="1224"/>
      <c r="F82" s="1215" t="str" cm="1">
        <f t="array" ref="F82">angleDecimal2Txt(Outils!$F$5*ASIN(F81))</f>
        <v>-51°56.35 (-51.9392) [-51°56'21.45]</v>
      </c>
      <c r="G82" s="1216"/>
      <c r="H82" s="1216"/>
      <c r="I82" s="1217"/>
      <c r="J82" s="1223" t="str" cm="1">
        <f t="array" ref="J82">angleDecimal2Txt(Outils!$F$5*ASIN(J81))</f>
        <v>+01°34.68 (+01.5780) [+01°34'40.84]</v>
      </c>
      <c r="K82" s="1216"/>
      <c r="L82" s="1216"/>
      <c r="M82" s="1224"/>
      <c r="N82" s="1215" t="str" cm="1">
        <f t="array" ref="N82">angleDecimal2Txt(Outils!$F$5*ASIN(N81))</f>
        <v>+28°15.35 (+28.2559) [+28°15'21.46]</v>
      </c>
      <c r="O82" s="1216"/>
      <c r="P82" s="1216"/>
      <c r="Q82" s="1217"/>
      <c r="R82" s="1223" t="str" cm="1">
        <f t="array" ref="R82">angleDecimal2Txt(Outils!$F$5*ASIN(R81))</f>
        <v>-05°35.04 (-05.5840) [-05°35'02.54]</v>
      </c>
      <c r="S82" s="1216"/>
      <c r="T82" s="1216"/>
      <c r="U82" s="1224"/>
      <c r="V82" s="1215" t="str" cm="1">
        <f t="array" ref="V82">angleDecimal2Txt(Outils!$F$5*ASIN(V81))</f>
        <v>-49°30.11 (-49.5019) [-49°30'07.12]</v>
      </c>
      <c r="W82" s="1216"/>
      <c r="X82" s="1216"/>
      <c r="Y82" s="1217"/>
      <c r="Z82" s="145"/>
      <c r="AA82" s="150"/>
      <c r="AE82" s="83"/>
    </row>
    <row r="83" spans="2:55" customFormat="1" ht="17.25" customHeight="1">
      <c r="B83" s="16"/>
      <c r="C83" s="59"/>
      <c r="D83" s="481" t="s">
        <v>656</v>
      </c>
      <c r="E83" s="1269"/>
      <c r="F83" s="1215" t="str" cm="1">
        <f t="array" ref="F83">angleDecimal2Txt((M27-X27),0)</f>
        <v>+70°28.32</v>
      </c>
      <c r="G83" s="1216"/>
      <c r="H83" s="1216"/>
      <c r="I83" s="1217"/>
      <c r="J83" s="1223" t="str" cm="1">
        <f t="array" ref="J83">angleDecimal2Txt((M28-X28),0)</f>
        <v>+49°20.39</v>
      </c>
      <c r="K83" s="1216"/>
      <c r="L83" s="1216"/>
      <c r="M83" s="1224"/>
      <c r="N83" s="1215" t="str" cm="1">
        <f t="array" ref="N83">angleDecimal2Txt((M29-X29),0)</f>
        <v>+16°56.94</v>
      </c>
      <c r="O83" s="1216"/>
      <c r="P83" s="1216"/>
      <c r="Q83" s="1217"/>
      <c r="R83" s="1223" t="str" cm="1">
        <f t="array" ref="R83">angleDecimal2Txt((M30-X30),0)</f>
        <v>+65°12.04</v>
      </c>
      <c r="S83" s="1216"/>
      <c r="T83" s="1216"/>
      <c r="U83" s="1224"/>
      <c r="V83" s="1215" t="str" cm="1">
        <f t="array" ref="V83">angleDecimal2Txt((M31-X31),0)</f>
        <v>+95°05.84</v>
      </c>
      <c r="W83" s="1216"/>
      <c r="X83" s="1216"/>
      <c r="Y83" s="1217"/>
      <c r="Z83" s="145"/>
      <c r="AA83" s="150"/>
      <c r="AE83" s="83"/>
    </row>
    <row r="84" spans="2:55" customFormat="1" ht="17.25" customHeight="1">
      <c r="B84" s="16"/>
      <c r="C84" s="59"/>
      <c r="D84" s="483"/>
      <c r="E84" s="1270"/>
      <c r="F84" s="1218" t="str">
        <f>CONCATENATE(TEXT(Z27,"0.00"),"  Mn")</f>
        <v>4228.33  Mn</v>
      </c>
      <c r="G84" s="458"/>
      <c r="H84" s="458"/>
      <c r="I84" s="1219"/>
      <c r="J84" s="1043" t="str">
        <f>CONCATENATE(TEXT(Z28,"0.00"),"  Mn")</f>
        <v>2960.40  Mn</v>
      </c>
      <c r="K84" s="458"/>
      <c r="L84" s="458"/>
      <c r="M84" s="1041"/>
      <c r="N84" s="1218" t="str">
        <f>CONCATENATE(TEXT(Z29,"0.00"),"  Mn")</f>
        <v>1016.94  Mn</v>
      </c>
      <c r="O84" s="458"/>
      <c r="P84" s="458"/>
      <c r="Q84" s="1219"/>
      <c r="R84" s="1043" t="str">
        <f>CONCATENATE(TEXT(Z30,"0.00"),"  Mn")</f>
        <v>3912.05  Mn</v>
      </c>
      <c r="S84" s="458"/>
      <c r="T84" s="458"/>
      <c r="U84" s="1041"/>
      <c r="V84" s="1218" t="str">
        <f>CONCATENATE(TEXT(Z31,"0.00"),"  Mn")</f>
        <v>5705.84  Mn</v>
      </c>
      <c r="W84" s="458"/>
      <c r="X84" s="458"/>
      <c r="Y84" s="1219"/>
      <c r="Z84" s="145"/>
      <c r="AA84" s="150"/>
      <c r="AE84" s="83"/>
    </row>
    <row r="85" spans="2:55" customFormat="1" ht="17.25" customHeight="1">
      <c r="B85" s="16"/>
      <c r="C85" s="59"/>
      <c r="D85" s="485"/>
      <c r="E85" s="1271"/>
      <c r="F85" s="1218" t="str">
        <f>AA27</f>
        <v>Vers Pg</v>
      </c>
      <c r="G85" s="458"/>
      <c r="H85" s="458"/>
      <c r="I85" s="1219"/>
      <c r="J85" s="1043" t="str">
        <f>AA28</f>
        <v>Vers Pg</v>
      </c>
      <c r="K85" s="458"/>
      <c r="L85" s="458"/>
      <c r="M85" s="1041"/>
      <c r="N85" s="1218" t="str">
        <f>AA29</f>
        <v>Vers Pg</v>
      </c>
      <c r="O85" s="458"/>
      <c r="P85" s="458"/>
      <c r="Q85" s="1219"/>
      <c r="R85" s="1043" t="str">
        <f>AA30</f>
        <v>Vers Pg</v>
      </c>
      <c r="S85" s="458"/>
      <c r="T85" s="458"/>
      <c r="U85" s="1041"/>
      <c r="V85" s="1218" t="str">
        <f>AA31</f>
        <v>Vers Pg</v>
      </c>
      <c r="W85" s="458"/>
      <c r="X85" s="458"/>
      <c r="Y85" s="1219"/>
      <c r="Z85" s="145"/>
      <c r="AA85" s="150"/>
      <c r="AE85" s="83"/>
    </row>
    <row r="86" spans="2:55" ht="17.25" customHeight="1">
      <c r="D86" s="1263" t="s">
        <v>363</v>
      </c>
      <c r="E86" s="1264"/>
      <c r="F86" s="1256" t="str" cm="1">
        <f t="array" ref="F86">latitudeDecimal2Txt(O19,0)</f>
        <v>N 46°01.30</v>
      </c>
      <c r="G86" s="508"/>
      <c r="H86" s="508"/>
      <c r="I86" s="1257"/>
      <c r="J86" s="1259" t="str" cm="1">
        <f t="array" ref="J86">latitudeDecimal2Txt(O20,0)</f>
        <v>N 29°13.40</v>
      </c>
      <c r="K86" s="508"/>
      <c r="L86" s="508"/>
      <c r="M86" s="1260"/>
      <c r="N86" s="1256" t="str" cm="1">
        <f t="array" ref="N86">latitudeDecimal2Txt(O21,0)</f>
        <v>N 08°55.89</v>
      </c>
      <c r="O86" s="508"/>
      <c r="P86" s="508"/>
      <c r="Q86" s="1257"/>
      <c r="R86" s="1259" t="str" cm="1">
        <f t="array" ref="R86">latitudeDecimal2Txt(O22,0)</f>
        <v>N 38°48.29</v>
      </c>
      <c r="S86" s="508"/>
      <c r="T86" s="508"/>
      <c r="U86" s="1260"/>
      <c r="V86" s="1256" t="str" cm="1">
        <f t="array" ref="V86">latitudeDecimal2Txt(O23,0)</f>
        <v>N 74°03.50</v>
      </c>
      <c r="W86" s="508"/>
      <c r="X86" s="508"/>
      <c r="Y86" s="1257"/>
    </row>
    <row r="87" spans="2:55" ht="17.25" customHeight="1">
      <c r="D87" s="1265"/>
      <c r="E87" s="1266"/>
      <c r="F87" s="1231" t="str" cm="1">
        <f t="array" ref="F87">longitudeDecimal2Txt(longitudeHoraire2longitude(V27),0)</f>
        <v>E 112°52.79</v>
      </c>
      <c r="G87" s="1232"/>
      <c r="H87" s="1232"/>
      <c r="I87" s="1233"/>
      <c r="J87" s="1267" t="str" cm="1">
        <f t="array" ref="J87">longitudeDecimal2Txt(longitudeHoraire2longitude(V28),0)</f>
        <v>E 35°09.51</v>
      </c>
      <c r="K87" s="1232"/>
      <c r="L87" s="1232"/>
      <c r="M87" s="1268"/>
      <c r="N87" s="1231" t="str" cm="1">
        <f t="array" ref="N87">longitudeDecimal2Txt(longitudeHoraire2longitude(V29),0)</f>
        <v>W 29°58.49</v>
      </c>
      <c r="O87" s="1232"/>
      <c r="P87" s="1232"/>
      <c r="Q87" s="1233"/>
      <c r="R87" s="1267" t="str" cm="1">
        <f t="array" ref="R87">longitudeDecimal2Txt(longitudeHoraire2longitude(V30),0)</f>
        <v>W 49°04.33</v>
      </c>
      <c r="S87" s="1232"/>
      <c r="T87" s="1232"/>
      <c r="U87" s="1268"/>
      <c r="V87" s="1231" t="str" cm="1">
        <f t="array" ref="V87">longitudeDecimal2Txt(longitudeHoraire2longitude(V31),0)</f>
        <v>W 106°37.61</v>
      </c>
      <c r="W87" s="1232"/>
      <c r="X87" s="1232"/>
      <c r="Y87" s="1233"/>
    </row>
    <row r="88" spans="2:55" ht="17.25" customHeight="1">
      <c r="D88" s="211"/>
      <c r="E88"/>
      <c r="F88"/>
      <c r="G88"/>
      <c r="H88"/>
      <c r="I88" s="1274" t="s">
        <v>525</v>
      </c>
      <c r="J88" s="1274"/>
      <c r="K88" s="1274"/>
      <c r="L88" s="1274"/>
      <c r="M88" s="1274"/>
      <c r="N88" s="1274"/>
      <c r="O88" s="1274"/>
      <c r="P88" s="1274"/>
      <c r="Q88" s="1274"/>
      <c r="R88" s="1274"/>
      <c r="S88" s="1274"/>
      <c r="T88" s="1274"/>
      <c r="U88"/>
      <c r="V88"/>
      <c r="W88"/>
      <c r="X88"/>
      <c r="Y88"/>
    </row>
    <row r="89" spans="2:55" ht="17.25" customHeight="1">
      <c r="D89" s="1221" t="s">
        <v>423</v>
      </c>
      <c r="E89" s="1222"/>
      <c r="F89" s="1227">
        <f>(F77-G77*SIN(X27*Outils!$F$4))/(G78*COS(X27*Outils!$F$4))</f>
        <v>0.29305484939891085</v>
      </c>
      <c r="G89" s="1221"/>
      <c r="H89" s="1221"/>
      <c r="I89" s="1228"/>
      <c r="J89" s="1220">
        <f>(J77-K77*SIN(X28*Outils!$F$4))/(K78*COS(X28*Outils!$F$4))</f>
        <v>0.79349657999430601</v>
      </c>
      <c r="K89" s="1221"/>
      <c r="L89" s="1221"/>
      <c r="M89" s="1222"/>
      <c r="N89" s="1227">
        <f>(N77-O77*SIN(X29*Outils!$F$4))/(O78*COS(X29*Outils!$F$4))</f>
        <v>0.91614468885238054</v>
      </c>
      <c r="O89" s="1221"/>
      <c r="P89" s="1221"/>
      <c r="Q89" s="1228"/>
      <c r="R89" s="1220">
        <f>(R77-S77*SIN(X30*Outils!$F$4))/(S78*COS(X30*Outils!$F$4))</f>
        <v>0.8638729677317839</v>
      </c>
      <c r="S89" s="1221"/>
      <c r="T89" s="1221"/>
      <c r="U89" s="1222"/>
      <c r="V89" s="1227">
        <f>(V77-W77*SIN(X31*Outils!$F$4))/(W78*COS(X31*Outils!$F$4))</f>
        <v>0.90788518034657406</v>
      </c>
      <c r="W89" s="1221"/>
      <c r="X89" s="1221"/>
      <c r="Y89" s="1228"/>
    </row>
    <row r="90" spans="2:55" ht="17.25" customHeight="1">
      <c r="C90" s="16"/>
      <c r="D90" s="1221" t="s">
        <v>92</v>
      </c>
      <c r="E90" s="1222"/>
      <c r="F90" s="1227" t="str" cm="1">
        <f t="array" ref="F90">angleDecimal2Txt(Outils!$F$5*ACOS(F89),0)</f>
        <v>+72°57.54</v>
      </c>
      <c r="G90" s="1221"/>
      <c r="H90" s="1221"/>
      <c r="I90" s="1228"/>
      <c r="J90" s="1227" t="str" cm="1">
        <f t="array" ref="J90">angleDecimal2Txt(Outils!$F$5*ACOS(J89),0)</f>
        <v>+37°29.19</v>
      </c>
      <c r="K90" s="1221"/>
      <c r="L90" s="1221"/>
      <c r="M90" s="1228"/>
      <c r="N90" s="1227" t="str" cm="1">
        <f t="array" ref="N90">angleDecimal2Txt(Outils!$F$5*ACOS(N89),0)</f>
        <v>+23°37.87</v>
      </c>
      <c r="O90" s="1221"/>
      <c r="P90" s="1221"/>
      <c r="Q90" s="1228"/>
      <c r="R90" s="1227" t="str" cm="1">
        <f t="array" ref="R90">angleDecimal2Txt(Outils!$F$5*ACOS(R89),0)</f>
        <v>+30°14.74</v>
      </c>
      <c r="S90" s="1221"/>
      <c r="T90" s="1221"/>
      <c r="U90" s="1228"/>
      <c r="V90" s="1227" t="str" cm="1">
        <f t="array" ref="V90">angleDecimal2Txt(Outils!$F$5*ACOS(V89),0)</f>
        <v>+24°47.11</v>
      </c>
      <c r="W90" s="1221"/>
      <c r="X90" s="1221"/>
      <c r="Y90" s="1228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212" t="s">
        <v>143</v>
      </c>
      <c r="J91" s="1213"/>
      <c r="K91" s="1213"/>
      <c r="L91" s="1213"/>
      <c r="M91" s="1213"/>
      <c r="N91" s="1214"/>
      <c r="O91" s="1212" t="s">
        <v>144</v>
      </c>
      <c r="P91" s="1213"/>
      <c r="Q91" s="1213"/>
      <c r="R91" s="1213"/>
      <c r="S91" s="1213"/>
      <c r="T91" s="1214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34" t="s">
        <v>117</v>
      </c>
      <c r="K92" s="1234"/>
      <c r="L92" s="307"/>
      <c r="M92" s="1234" t="s">
        <v>118</v>
      </c>
      <c r="N92" s="1235"/>
      <c r="O92" s="306"/>
      <c r="P92" s="1234" t="s">
        <v>117</v>
      </c>
      <c r="Q92" s="1234"/>
      <c r="R92" s="307"/>
      <c r="S92" s="1234" t="s">
        <v>119</v>
      </c>
      <c r="T92" s="1235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36" t="s">
        <v>87</v>
      </c>
      <c r="K93" s="1236"/>
      <c r="L93" s="309"/>
      <c r="M93" s="1236" t="s">
        <v>88</v>
      </c>
      <c r="N93" s="1237"/>
      <c r="O93" s="308"/>
      <c r="P93" s="1236" t="s">
        <v>87</v>
      </c>
      <c r="Q93" s="1236"/>
      <c r="R93" s="309"/>
      <c r="S93" s="1236" t="s">
        <v>89</v>
      </c>
      <c r="T93" s="1237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21" t="s">
        <v>426</v>
      </c>
      <c r="E94" s="1222"/>
      <c r="F94" s="1209" t="str">
        <f>IF($F$10&gt;0,"Nord","Sud")</f>
        <v>Sud</v>
      </c>
      <c r="G94" s="1210"/>
      <c r="H94" s="1210"/>
      <c r="I94" s="1210"/>
      <c r="J94" s="1210"/>
      <c r="K94" s="1210"/>
      <c r="L94" s="1210"/>
      <c r="M94" s="1210"/>
      <c r="N94" s="1210"/>
      <c r="O94" s="1210"/>
      <c r="P94" s="1210"/>
      <c r="Q94" s="1210"/>
      <c r="R94" s="1210"/>
      <c r="S94" s="1210"/>
      <c r="T94" s="1210"/>
      <c r="U94" s="1210"/>
      <c r="V94" s="1210"/>
      <c r="W94" s="1210"/>
      <c r="X94" s="1210"/>
      <c r="Y94" s="1211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21" t="s">
        <v>425</v>
      </c>
      <c r="E95" s="1222"/>
      <c r="F95" s="1227" t="b">
        <f>(W27&gt;180)</f>
        <v>1</v>
      </c>
      <c r="G95" s="1221"/>
      <c r="H95" s="1221"/>
      <c r="I95" s="1228"/>
      <c r="J95" s="1220" t="b">
        <f>(W28&gt;180)</f>
        <v>1</v>
      </c>
      <c r="K95" s="1221"/>
      <c r="L95" s="1221"/>
      <c r="M95" s="1222"/>
      <c r="N95" s="1227" t="b">
        <f>(W29&gt;180)</f>
        <v>0</v>
      </c>
      <c r="O95" s="1221"/>
      <c r="P95" s="1221"/>
      <c r="Q95" s="1228"/>
      <c r="R95" s="1220" t="b">
        <f>(W30&gt;180)</f>
        <v>0</v>
      </c>
      <c r="S95" s="1221"/>
      <c r="T95" s="1221"/>
      <c r="U95" s="1222"/>
      <c r="V95" s="1227" t="b">
        <f>(W31&gt;180)</f>
        <v>0</v>
      </c>
      <c r="W95" s="1221"/>
      <c r="X95" s="1221"/>
      <c r="Y95" s="1228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58" t="s">
        <v>424</v>
      </c>
      <c r="E96" s="1041"/>
      <c r="F96" s="1218" t="str" cm="1">
        <f t="array" ref="F96">angleDecimal2Txt(AC27,0)</f>
        <v>+72°57.54</v>
      </c>
      <c r="G96" s="458"/>
      <c r="H96" s="458"/>
      <c r="I96" s="1219"/>
      <c r="J96" s="1043" t="str" cm="1">
        <f t="array" ref="J96">angleDecimal2Txt(AC28,0)</f>
        <v>+37°29.19</v>
      </c>
      <c r="K96" s="458"/>
      <c r="L96" s="458"/>
      <c r="M96" s="1041"/>
      <c r="N96" s="1218" t="str" cm="1">
        <f t="array" ref="N96">angleDecimal2Txt(AC29,0)</f>
        <v>+336°22.12</v>
      </c>
      <c r="O96" s="458"/>
      <c r="P96" s="458"/>
      <c r="Q96" s="1219"/>
      <c r="R96" s="1043" t="str" cm="1">
        <f t="array" ref="R96">angleDecimal2Txt(AC30,0)</f>
        <v>+329°45.25</v>
      </c>
      <c r="S96" s="458"/>
      <c r="T96" s="458"/>
      <c r="U96" s="1041"/>
      <c r="V96" s="1218" t="str" cm="1">
        <f t="array" ref="V96">angleDecimal2Txt(AC31,0)</f>
        <v>+335°12.88</v>
      </c>
      <c r="W96" s="458"/>
      <c r="X96" s="458"/>
      <c r="Y96" s="1219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01"/>
      <c r="D99" s="1301"/>
      <c r="E99" s="1301"/>
      <c r="F99" s="1301"/>
      <c r="G99" s="1301"/>
      <c r="H99" s="1301"/>
      <c r="I99" s="1301"/>
      <c r="J99" s="1301"/>
      <c r="K99" s="1301"/>
      <c r="L99" s="1301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22" zoomScaleNormal="100" workbookViewId="0">
      <selection activeCell="B125" sqref="B125:Q159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Z1" s="16"/>
      <c r="AA1" s="16"/>
      <c r="AB1" s="61"/>
      <c r="BN1" s="24"/>
    </row>
    <row r="2" spans="2:66" customFormat="1" ht="9" customHeight="1">
      <c r="B2" s="16"/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16"/>
      <c r="AA2" s="16"/>
      <c r="AB2" s="61"/>
      <c r="BN2" s="24"/>
    </row>
    <row r="3" spans="2:66" customFormat="1" ht="9" customHeight="1">
      <c r="B3" s="16"/>
      <c r="C3" s="749"/>
      <c r="D3" s="749"/>
      <c r="E3" s="749"/>
      <c r="F3" s="749"/>
      <c r="G3" s="746" t="s">
        <v>137</v>
      </c>
      <c r="H3" s="746"/>
      <c r="I3" s="746"/>
      <c r="J3" s="1354" t="s">
        <v>136</v>
      </c>
      <c r="K3" s="1354"/>
      <c r="L3" s="1354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749"/>
      <c r="D4" s="749"/>
      <c r="E4" s="749"/>
      <c r="F4" s="749"/>
      <c r="G4" s="423"/>
      <c r="H4" s="423"/>
      <c r="I4" s="423"/>
      <c r="J4" s="726"/>
      <c r="K4" s="726"/>
      <c r="L4" s="726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05:25:00.00(05.4166)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42" t="s">
        <v>1</v>
      </c>
      <c r="D8" s="743"/>
      <c r="E8" s="780" t="s">
        <v>464</v>
      </c>
      <c r="F8" s="781"/>
      <c r="G8" s="781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5.416666666666667</v>
      </c>
      <c r="BN8" s="24"/>
    </row>
    <row r="9" spans="2:66" customFormat="1" ht="17.25" customHeight="1" thickBot="1">
      <c r="B9" s="16"/>
      <c r="C9" s="744" t="s">
        <v>11</v>
      </c>
      <c r="D9" s="416"/>
      <c r="E9" s="744" t="s">
        <v>2</v>
      </c>
      <c r="F9" s="752"/>
      <c r="G9" s="752"/>
      <c r="H9" s="416"/>
      <c r="I9" s="651" t="s">
        <v>123</v>
      </c>
      <c r="J9" s="651"/>
      <c r="K9" s="651"/>
      <c r="L9" s="651" t="s">
        <v>124</v>
      </c>
      <c r="M9" s="651"/>
      <c r="N9" s="651"/>
      <c r="O9" s="651"/>
      <c r="P9" s="651"/>
      <c r="Q9" s="651" t="s">
        <v>125</v>
      </c>
      <c r="R9" s="651"/>
      <c r="S9" s="651"/>
      <c r="T9" s="651"/>
      <c r="U9" s="651"/>
      <c r="V9" s="674" t="s">
        <v>122</v>
      </c>
      <c r="W9" s="675"/>
      <c r="X9" s="675"/>
      <c r="Y9" s="676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434"/>
      <c r="D10" s="745"/>
      <c r="E10" s="417"/>
      <c r="F10" s="433"/>
      <c r="G10" s="433"/>
      <c r="H10" s="418"/>
      <c r="I10" s="651"/>
      <c r="J10" s="651"/>
      <c r="K10" s="651"/>
      <c r="L10" s="651"/>
      <c r="M10" s="651"/>
      <c r="N10" s="651"/>
      <c r="O10" s="651"/>
      <c r="P10" s="651"/>
      <c r="Q10" s="651"/>
      <c r="R10" s="651"/>
      <c r="S10" s="651"/>
      <c r="T10" s="651"/>
      <c r="U10" s="651"/>
      <c r="V10" s="677"/>
      <c r="W10" s="678"/>
      <c r="X10" s="678"/>
      <c r="Y10" s="679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417"/>
      <c r="D11" s="418"/>
      <c r="E11" s="687">
        <f>AD8+AD9+AD10+AD11</f>
        <v>5.416666666666667</v>
      </c>
      <c r="F11" s="688"/>
      <c r="G11" s="688"/>
      <c r="H11" s="689"/>
      <c r="I11" s="680" t="s">
        <v>852</v>
      </c>
      <c r="J11" s="680"/>
      <c r="K11" s="680"/>
      <c r="L11" s="670">
        <v>0</v>
      </c>
      <c r="M11" s="670"/>
      <c r="N11" s="670"/>
      <c r="O11" s="670"/>
      <c r="P11" s="670"/>
      <c r="Q11" s="670">
        <v>0</v>
      </c>
      <c r="R11" s="670"/>
      <c r="S11" s="670"/>
      <c r="T11" s="670"/>
      <c r="U11" s="671"/>
      <c r="V11" s="669" t="s">
        <v>121</v>
      </c>
      <c r="W11" s="669"/>
      <c r="X11" s="669"/>
      <c r="Y11" s="669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81" t="str" cm="1">
        <f t="array" ref="E12">heureDecimal2Txt(E11)</f>
        <v>05:25:00.00(05.4166)</v>
      </c>
      <c r="F12" s="682"/>
      <c r="G12" s="682"/>
      <c r="H12" s="68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763" t="s">
        <v>19</v>
      </c>
      <c r="D15" s="763"/>
      <c r="E15" s="763"/>
      <c r="F15" s="763"/>
      <c r="G15" s="763"/>
      <c r="H15" s="763"/>
      <c r="I15" s="763"/>
      <c r="J15" s="654">
        <f>M15</f>
        <v>5.28</v>
      </c>
      <c r="K15" s="655"/>
      <c r="L15" s="656"/>
      <c r="M15" s="716">
        <f>16*0.33</f>
        <v>5.28</v>
      </c>
      <c r="N15" s="716"/>
      <c r="O15" s="716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55" t="s">
        <v>20</v>
      </c>
      <c r="D16" s="1356"/>
      <c r="E16" s="1356"/>
      <c r="F16" s="1356"/>
      <c r="G16" s="1356"/>
      <c r="H16" s="1356"/>
      <c r="I16" s="1357"/>
      <c r="J16" s="556" cm="1">
        <f t="array" ref="J16">angleConvert2Decimal(M16)</f>
        <v>0</v>
      </c>
      <c r="K16" s="653"/>
      <c r="L16" s="653"/>
      <c r="M16" s="715" t="s">
        <v>466</v>
      </c>
      <c r="N16" s="716"/>
      <c r="O16" s="716"/>
      <c r="P16" s="557" t="str" cm="1">
        <f t="array" ref="P16">angleDecimal2Txt(J16)</f>
        <v>+00°00.00 (+00.0000) [+00°00'00.00]</v>
      </c>
      <c r="Q16" s="557"/>
      <c r="R16" s="557"/>
      <c r="S16" s="557"/>
      <c r="T16" s="557"/>
      <c r="U16" s="557"/>
      <c r="V16" s="557"/>
      <c r="W16" s="557"/>
      <c r="X16" s="557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94" t="s">
        <v>26</v>
      </c>
      <c r="D17" s="794"/>
      <c r="E17" s="794"/>
      <c r="F17" s="794"/>
      <c r="G17" s="794"/>
      <c r="H17" s="794"/>
      <c r="I17" s="794"/>
      <c r="J17" s="1358" cm="1">
        <f t="array" ref="J17">angleConvert2Decimal(M17)</f>
        <v>28.916666666666668</v>
      </c>
      <c r="K17" s="1359"/>
      <c r="L17" s="1359"/>
      <c r="M17" s="1360" t="s">
        <v>465</v>
      </c>
      <c r="N17" s="1361"/>
      <c r="O17" s="1362"/>
      <c r="P17" s="557" t="str" cm="1">
        <f t="array" ref="P17">angleDecimal2Txt(J17)</f>
        <v>+28°55.00 (+28.9166) [+28°55'00.00]</v>
      </c>
      <c r="Q17" s="557"/>
      <c r="R17" s="557"/>
      <c r="S17" s="557"/>
      <c r="T17" s="557"/>
      <c r="U17" s="557"/>
      <c r="V17" s="557"/>
      <c r="W17" s="557"/>
      <c r="X17" s="557"/>
      <c r="Y17" s="14"/>
      <c r="Z17" s="16"/>
      <c r="AA17" s="16"/>
      <c r="AB17" s="61"/>
      <c r="BN17" s="24"/>
    </row>
    <row r="18" spans="1:67" customFormat="1" ht="18" customHeight="1" thickTop="1">
      <c r="B18" s="16"/>
      <c r="C18" s="763" t="s">
        <v>30</v>
      </c>
      <c r="D18" s="763"/>
      <c r="E18" s="763"/>
      <c r="F18" s="763"/>
      <c r="G18" s="763"/>
      <c r="H18" s="763"/>
      <c r="I18" s="763"/>
      <c r="J18" s="532" t="str">
        <f>M18</f>
        <v>Polaire</v>
      </c>
      <c r="K18" s="533"/>
      <c r="L18" s="534"/>
      <c r="M18" s="1170" t="s">
        <v>153</v>
      </c>
      <c r="N18" s="1171"/>
      <c r="O18" s="1172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714" t="s">
        <v>7</v>
      </c>
      <c r="D22" s="714"/>
      <c r="E22" s="714"/>
      <c r="F22" s="714"/>
      <c r="G22" s="561">
        <f>AD23</f>
        <v>41.516666666666666</v>
      </c>
      <c r="H22" s="562"/>
      <c r="I22" s="562"/>
      <c r="J22" s="620" t="s">
        <v>3</v>
      </c>
      <c r="K22" s="717" t="s">
        <v>853</v>
      </c>
      <c r="L22" s="620"/>
      <c r="M22" s="620"/>
      <c r="N22" s="620"/>
      <c r="O22" s="620"/>
      <c r="P22" s="722" t="str" cm="1">
        <f t="array" ref="P22">angleDecimal2Txt(G22)</f>
        <v>+41°31.00 (+41.5166) [+41°31'00.00]</v>
      </c>
      <c r="Q22" s="722"/>
      <c r="R22" s="722"/>
      <c r="S22" s="722"/>
      <c r="T22" s="722"/>
      <c r="U22" s="722"/>
      <c r="V22" s="722"/>
      <c r="W22" s="722"/>
      <c r="X22" s="722"/>
      <c r="Y22" s="722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714"/>
      <c r="D23" s="714"/>
      <c r="E23" s="714"/>
      <c r="F23" s="714"/>
      <c r="G23" s="562"/>
      <c r="H23" s="562"/>
      <c r="I23" s="562"/>
      <c r="J23" s="620"/>
      <c r="K23" s="620"/>
      <c r="L23" s="620"/>
      <c r="M23" s="620"/>
      <c r="N23" s="620"/>
      <c r="O23" s="620"/>
      <c r="P23" s="722"/>
      <c r="Q23" s="722"/>
      <c r="R23" s="722"/>
      <c r="S23" s="722"/>
      <c r="T23" s="722"/>
      <c r="U23" s="722"/>
      <c r="V23" s="722"/>
      <c r="W23" s="722"/>
      <c r="X23" s="722"/>
      <c r="Y23" s="722"/>
      <c r="AB23" s="61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63" t="s">
        <v>8</v>
      </c>
      <c r="D24" s="563"/>
      <c r="E24" s="563"/>
      <c r="F24" s="563"/>
      <c r="G24" s="561">
        <f>AD25</f>
        <v>-112.33333333333333</v>
      </c>
      <c r="H24" s="562"/>
      <c r="I24" s="562"/>
      <c r="J24" s="620" t="s">
        <v>6</v>
      </c>
      <c r="K24" s="717" t="s">
        <v>854</v>
      </c>
      <c r="L24" s="620"/>
      <c r="M24" s="620"/>
      <c r="N24" s="620"/>
      <c r="O24" s="620"/>
      <c r="P24" s="722" t="str" cm="1">
        <f t="array" ref="P24">angleDecimal2Txt(G24)</f>
        <v>-112°20.00 (-112.3333) [-112°20'00.00]</v>
      </c>
      <c r="Q24" s="722"/>
      <c r="R24" s="722"/>
      <c r="S24" s="722"/>
      <c r="T24" s="722"/>
      <c r="U24" s="722"/>
      <c r="V24" s="722"/>
      <c r="W24" s="722"/>
      <c r="X24" s="722"/>
      <c r="Y24" s="722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63"/>
      <c r="D25" s="563"/>
      <c r="E25" s="563"/>
      <c r="F25" s="563"/>
      <c r="G25" s="562"/>
      <c r="H25" s="562"/>
      <c r="I25" s="562"/>
      <c r="J25" s="620"/>
      <c r="K25" s="620"/>
      <c r="L25" s="620"/>
      <c r="M25" s="620"/>
      <c r="N25" s="620"/>
      <c r="O25" s="620"/>
      <c r="P25" s="722"/>
      <c r="Q25" s="722"/>
      <c r="R25" s="722"/>
      <c r="S25" s="722"/>
      <c r="T25" s="722"/>
      <c r="U25" s="722"/>
      <c r="V25" s="722"/>
      <c r="W25" s="722"/>
      <c r="X25" s="722"/>
      <c r="Y25" s="722"/>
      <c r="Z25" s="14"/>
      <c r="AB25" s="61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647">
        <f>N28</f>
        <v>89.321666666666673</v>
      </c>
      <c r="G27" s="647"/>
      <c r="H27" s="647"/>
      <c r="I27" s="75"/>
      <c r="J27" s="1335" t="str" cm="1">
        <f t="array" ref="J27">angleDecimal2Txt(F27)</f>
        <v>+89°19.30 (+89.3216) [+89°19'18.00]</v>
      </c>
      <c r="K27" s="1335"/>
      <c r="L27" s="1335"/>
      <c r="M27" s="1335"/>
      <c r="N27" s="1335"/>
      <c r="O27" s="1335"/>
      <c r="P27" s="1335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17" t="s">
        <v>448</v>
      </c>
      <c r="D28" s="1317"/>
      <c r="E28" s="1317"/>
      <c r="F28" s="1317"/>
      <c r="G28" s="1317"/>
      <c r="H28" s="1369"/>
      <c r="I28" s="620" t="s">
        <v>3</v>
      </c>
      <c r="J28" s="431" t="s">
        <v>855</v>
      </c>
      <c r="K28" s="431"/>
      <c r="L28" s="431"/>
      <c r="M28" s="431"/>
      <c r="N28" s="1370">
        <f>AD29</f>
        <v>89.321666666666673</v>
      </c>
      <c r="O28" s="1370"/>
      <c r="P28" s="1370"/>
      <c r="Q28" s="1363" t="str" cm="1">
        <f t="array" ref="Q28">angleDecimal2Txt(N28)</f>
        <v>+89°19.30 (+89.3216) [+89°19'18.00]</v>
      </c>
      <c r="R28" s="1363"/>
      <c r="S28" s="1363"/>
      <c r="T28" s="1363"/>
      <c r="U28" s="1364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620"/>
      <c r="J29" s="431"/>
      <c r="K29" s="431"/>
      <c r="L29" s="431"/>
      <c r="M29" s="431"/>
      <c r="N29" s="1370"/>
      <c r="O29" s="1370"/>
      <c r="P29" s="1370"/>
      <c r="Q29" s="1365"/>
      <c r="R29" s="1365"/>
      <c r="S29" s="1365"/>
      <c r="T29" s="1365"/>
      <c r="U29" s="1366"/>
      <c r="AB29" s="61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446</v>
      </c>
      <c r="C32" s="26"/>
      <c r="D32" s="26"/>
      <c r="E32" s="26"/>
      <c r="F32" s="647">
        <f>N33</f>
        <v>317.54500000000002</v>
      </c>
      <c r="G32" s="647"/>
      <c r="H32" s="647"/>
      <c r="I32" s="75"/>
      <c r="J32" s="1367" t="s">
        <v>55</v>
      </c>
      <c r="K32" s="1367"/>
      <c r="L32" s="1367"/>
      <c r="M32" s="1368" t="str">
        <f>J18</f>
        <v>Polaire</v>
      </c>
      <c r="N32" s="1368"/>
      <c r="O32" s="1368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17" t="s">
        <v>447</v>
      </c>
      <c r="D33" s="1317"/>
      <c r="E33" s="1317"/>
      <c r="F33" s="1317"/>
      <c r="G33" s="1317"/>
      <c r="H33" s="1369"/>
      <c r="I33" s="431" t="s">
        <v>856</v>
      </c>
      <c r="J33" s="431"/>
      <c r="K33" s="431"/>
      <c r="L33" s="431"/>
      <c r="M33" s="431"/>
      <c r="N33" s="1370" cm="1">
        <f t="array" ref="N33">angleConvert2Decimal(I33)</f>
        <v>317.54500000000002</v>
      </c>
      <c r="O33" s="1370"/>
      <c r="P33" s="1370"/>
      <c r="Q33" s="467" t="str" cm="1">
        <f t="array" ref="Q33">angleDecimal2Txt(N33)</f>
        <v>+317°32.70 (+317.5450) [+317°32'42.00]</v>
      </c>
      <c r="R33" s="729"/>
      <c r="S33" s="729"/>
      <c r="T33" s="729"/>
      <c r="U33" s="729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431"/>
      <c r="J34" s="431"/>
      <c r="K34" s="431"/>
      <c r="L34" s="431"/>
      <c r="M34" s="431"/>
      <c r="N34" s="1370"/>
      <c r="O34" s="1370"/>
      <c r="P34" s="1370"/>
      <c r="Q34" s="1168"/>
      <c r="R34" s="729"/>
      <c r="S34" s="729"/>
      <c r="T34" s="729"/>
      <c r="U34" s="729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445</v>
      </c>
      <c r="C36" s="26"/>
      <c r="D36" s="26"/>
      <c r="E36" s="26"/>
      <c r="F36" s="647">
        <f>IF(G37=AD37,F41,F50)</f>
        <v>334.54833333333335</v>
      </c>
      <c r="G36" s="647"/>
      <c r="H36" s="647"/>
      <c r="I36" s="26"/>
      <c r="J36" s="26"/>
      <c r="K36" s="26"/>
      <c r="L36" s="750">
        <f>F36+360</f>
        <v>694.5483333333334</v>
      </c>
      <c r="M36" s="750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86" t="s">
        <v>35</v>
      </c>
      <c r="D37" s="786"/>
      <c r="E37" s="786"/>
      <c r="F37" s="1352"/>
      <c r="G37" s="1353" t="s">
        <v>10</v>
      </c>
      <c r="H37" s="712"/>
      <c r="I37" s="71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510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510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744" t="s">
        <v>9</v>
      </c>
      <c r="G39" s="752"/>
      <c r="H39" s="416"/>
      <c r="I39" s="744" t="s">
        <v>12</v>
      </c>
      <c r="J39" s="752"/>
      <c r="K39" s="752"/>
      <c r="L39" s="416"/>
      <c r="M39" s="415" t="s">
        <v>13</v>
      </c>
      <c r="N39" s="432"/>
      <c r="O39" s="612"/>
      <c r="P39" s="522" t="s">
        <v>15</v>
      </c>
      <c r="Q39" s="523"/>
      <c r="R39" s="523"/>
      <c r="S39" s="523"/>
      <c r="T39" s="524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417"/>
      <c r="G40" s="433"/>
      <c r="H40" s="418"/>
      <c r="I40" s="417"/>
      <c r="J40" s="433"/>
      <c r="K40" s="433"/>
      <c r="L40" s="418"/>
      <c r="M40" s="613"/>
      <c r="N40" s="614"/>
      <c r="O40" s="615"/>
      <c r="P40" s="782"/>
      <c r="Q40" s="526"/>
      <c r="R40" s="526"/>
      <c r="S40" s="526"/>
      <c r="T40" s="527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39">
        <f>IF(G37=AD38,"---",AD45)</f>
        <v>334.54833333333335</v>
      </c>
      <c r="G41" s="1339"/>
      <c r="H41" s="1339"/>
      <c r="I41" s="1340">
        <f>E11</f>
        <v>5.416666666666667</v>
      </c>
      <c r="J41" s="1340"/>
      <c r="K41" s="1340"/>
      <c r="L41" s="1340"/>
      <c r="M41" s="1341">
        <v>5</v>
      </c>
      <c r="N41" s="608"/>
      <c r="O41" s="609"/>
      <c r="P41" s="1342" t="s">
        <v>5</v>
      </c>
      <c r="Q41" s="1343" t="s">
        <v>857</v>
      </c>
      <c r="R41" s="616"/>
      <c r="S41" s="616"/>
      <c r="T41" s="1346"/>
      <c r="U41" s="722" t="str" cm="1">
        <f t="array" ref="U41">angleDecimal2Txt(AE40)</f>
        <v>+334°32.89 (+334.5483) [+334°32'54.00]</v>
      </c>
      <c r="V41" s="729"/>
      <c r="W41" s="729"/>
      <c r="X41" s="729"/>
      <c r="Y41" s="729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61"/>
      <c r="G42" s="561"/>
      <c r="H42" s="561"/>
      <c r="I42" s="1340"/>
      <c r="J42" s="1340"/>
      <c r="K42" s="1340"/>
      <c r="L42" s="1340"/>
      <c r="M42" s="934"/>
      <c r="N42" s="610"/>
      <c r="O42" s="611"/>
      <c r="P42" s="1342"/>
      <c r="Q42" s="1347"/>
      <c r="R42" s="768"/>
      <c r="S42" s="768"/>
      <c r="T42" s="1348"/>
      <c r="U42" s="729"/>
      <c r="V42" s="729"/>
      <c r="W42" s="729"/>
      <c r="X42" s="729"/>
      <c r="Y42" s="729"/>
      <c r="AA42" s="16"/>
      <c r="AB42" s="61"/>
      <c r="AC42" s="3" t="s">
        <v>38</v>
      </c>
      <c r="AD42" s="5">
        <f>AE41-AE40</f>
        <v>0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61"/>
      <c r="G43" s="561"/>
      <c r="H43" s="561"/>
      <c r="I43" s="1340"/>
      <c r="J43" s="1340"/>
      <c r="K43" s="1340"/>
      <c r="L43" s="1340"/>
      <c r="M43" s="1349">
        <v>6</v>
      </c>
      <c r="N43" s="630"/>
      <c r="O43" s="1350"/>
      <c r="P43" s="1342" t="s">
        <v>5</v>
      </c>
      <c r="Q43" s="932" t="s">
        <v>857</v>
      </c>
      <c r="R43" s="765"/>
      <c r="S43" s="765"/>
      <c r="T43" s="1351"/>
      <c r="U43" s="722" t="str" cm="1">
        <f t="array" ref="U43">angleDecimal2Txt((AE41))</f>
        <v>+334°32.89 (+334.5483) [+334°32'54.00]</v>
      </c>
      <c r="V43" s="729"/>
      <c r="W43" s="729"/>
      <c r="X43" s="729"/>
      <c r="Y43" s="729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61"/>
      <c r="G44" s="561"/>
      <c r="H44" s="561"/>
      <c r="I44" s="1340"/>
      <c r="J44" s="1340"/>
      <c r="K44" s="1340"/>
      <c r="L44" s="1340"/>
      <c r="M44" s="934"/>
      <c r="N44" s="610"/>
      <c r="O44" s="611"/>
      <c r="P44" s="1342"/>
      <c r="Q44" s="1347"/>
      <c r="R44" s="768"/>
      <c r="S44" s="768"/>
      <c r="T44" s="1348"/>
      <c r="U44" s="729"/>
      <c r="V44" s="729"/>
      <c r="W44" s="729"/>
      <c r="X44" s="729"/>
      <c r="Y44" s="729"/>
      <c r="AA44" s="16"/>
      <c r="AB44" s="61"/>
      <c r="AC44" s="3" t="s">
        <v>39</v>
      </c>
      <c r="AD44" s="5">
        <f>I41-M41</f>
        <v>0.41666666666666696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55" t="str" cm="1">
        <f t="array" ref="F45">angleDecimal2Txt(F41)</f>
        <v>+334°32.89 (+334.5483) [+334°32'54.00]</v>
      </c>
      <c r="G45" s="471"/>
      <c r="H45" s="471"/>
      <c r="I45" s="471"/>
      <c r="J45" s="471"/>
      <c r="K45" s="472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334.54833333333335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744" t="s">
        <v>9</v>
      </c>
      <c r="G48" s="752"/>
      <c r="H48" s="416"/>
      <c r="I48" s="744" t="s">
        <v>12</v>
      </c>
      <c r="J48" s="752"/>
      <c r="K48" s="752"/>
      <c r="L48" s="416"/>
      <c r="M48" s="415" t="s">
        <v>13</v>
      </c>
      <c r="N48" s="432"/>
      <c r="O48" s="612"/>
      <c r="P48" s="522" t="s">
        <v>16</v>
      </c>
      <c r="Q48" s="523"/>
      <c r="R48" s="523"/>
      <c r="S48" s="523"/>
      <c r="T48" s="524"/>
      <c r="U48" s="522" t="s">
        <v>94</v>
      </c>
      <c r="V48" s="523"/>
      <c r="W48" s="523"/>
      <c r="X48" s="523"/>
      <c r="Y48" s="524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417"/>
      <c r="G49" s="433"/>
      <c r="H49" s="418"/>
      <c r="I49" s="417"/>
      <c r="J49" s="433"/>
      <c r="K49" s="433"/>
      <c r="L49" s="418"/>
      <c r="M49" s="613"/>
      <c r="N49" s="614"/>
      <c r="O49" s="615"/>
      <c r="P49" s="782"/>
      <c r="Q49" s="526"/>
      <c r="R49" s="526"/>
      <c r="S49" s="526"/>
      <c r="T49" s="527"/>
      <c r="U49" s="782"/>
      <c r="V49" s="526"/>
      <c r="W49" s="526"/>
      <c r="X49" s="526"/>
      <c r="Y49" s="527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39" t="str">
        <f>IF(G37=AD38,AD52,"---")</f>
        <v>---</v>
      </c>
      <c r="G50" s="1339"/>
      <c r="H50" s="1339"/>
      <c r="I50" s="1340">
        <f>E11</f>
        <v>5.416666666666667</v>
      </c>
      <c r="J50" s="1340"/>
      <c r="K50" s="1340"/>
      <c r="L50" s="1340"/>
      <c r="M50" s="1341">
        <v>18.808299999999999</v>
      </c>
      <c r="N50" s="608"/>
      <c r="O50" s="609"/>
      <c r="P50" s="1342" t="s">
        <v>5</v>
      </c>
      <c r="Q50" s="1343" t="s">
        <v>196</v>
      </c>
      <c r="R50" s="616"/>
      <c r="S50" s="616"/>
      <c r="T50" s="788"/>
      <c r="U50" s="620" t="s">
        <v>6</v>
      </c>
      <c r="V50" s="1343" t="s">
        <v>109</v>
      </c>
      <c r="W50" s="616"/>
      <c r="X50" s="616"/>
      <c r="Y50" s="788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61"/>
      <c r="G51" s="561"/>
      <c r="H51" s="561"/>
      <c r="I51" s="1340"/>
      <c r="J51" s="1340"/>
      <c r="K51" s="1340"/>
      <c r="L51" s="1340"/>
      <c r="M51" s="934"/>
      <c r="N51" s="610"/>
      <c r="O51" s="611"/>
      <c r="P51" s="1342"/>
      <c r="Q51" s="1344"/>
      <c r="R51" s="617"/>
      <c r="S51" s="617"/>
      <c r="T51" s="1345"/>
      <c r="U51" s="620"/>
      <c r="V51" s="1344"/>
      <c r="W51" s="617"/>
      <c r="X51" s="617"/>
      <c r="Y51" s="1345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557" t="e" cm="1">
        <f t="array" ref="F52">angleDecimal2Txt(F50)</f>
        <v>#VALUE!</v>
      </c>
      <c r="G52" s="557"/>
      <c r="H52" s="557"/>
      <c r="I52" s="557"/>
      <c r="J52" s="557"/>
      <c r="K52" s="557"/>
      <c r="L52" s="16"/>
      <c r="M52" s="16"/>
      <c r="N52" s="16"/>
      <c r="O52" s="16"/>
      <c r="P52" s="557" t="str" cm="1">
        <f t="array" ref="P52">angleDecimal2Txt(AD49)</f>
        <v>+311°38.00 (+311.6333) [+311°38'00.00]</v>
      </c>
      <c r="Q52" s="557"/>
      <c r="R52" s="557"/>
      <c r="S52" s="557"/>
      <c r="T52" s="557"/>
      <c r="U52" s="557" t="str" cm="1">
        <f t="array" ref="U52">angleDecimal2Txt(AD51)</f>
        <v>-15°00.12 (-15.0020) [-15°00'07.20]</v>
      </c>
      <c r="V52" s="621"/>
      <c r="W52" s="621"/>
      <c r="X52" s="621"/>
      <c r="Y52" s="621"/>
      <c r="Z52" s="16"/>
      <c r="AA52" s="16"/>
      <c r="AB52" s="61"/>
      <c r="AC52" s="3" t="s">
        <v>179</v>
      </c>
      <c r="AD52" s="3">
        <f>AD49+AD51*(I50-M50)</f>
        <v>512.53461659999994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453</v>
      </c>
      <c r="C54" s="26"/>
      <c r="D54" s="26"/>
      <c r="E54" s="26"/>
      <c r="F54" s="647">
        <f>I55</f>
        <v>292.09333333333336</v>
      </c>
      <c r="G54" s="647"/>
      <c r="H54" s="647"/>
      <c r="I54" s="26"/>
      <c r="J54" s="639" t="s">
        <v>55</v>
      </c>
      <c r="K54" s="639"/>
      <c r="L54" s="639"/>
      <c r="M54" s="814">
        <f>J13</f>
        <v>0</v>
      </c>
      <c r="N54" s="814"/>
      <c r="O54" s="814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17" t="s">
        <v>450</v>
      </c>
      <c r="D55" s="1317"/>
      <c r="E55" s="1317"/>
      <c r="F55" s="1317"/>
      <c r="G55" s="1317"/>
      <c r="H55" s="1318"/>
      <c r="I55" s="1319">
        <f>AD56</f>
        <v>292.09333333333336</v>
      </c>
      <c r="J55" s="461"/>
      <c r="K55" s="461"/>
      <c r="L55" s="462"/>
      <c r="M55" s="36" t="s">
        <v>45</v>
      </c>
      <c r="N55" s="602">
        <f>AD55</f>
        <v>652.09333333333336</v>
      </c>
      <c r="O55" s="602"/>
      <c r="P55" s="602"/>
      <c r="Q55" s="602"/>
      <c r="AB55" s="61"/>
      <c r="AC55" s="3" t="s">
        <v>454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21" t="str" cm="1">
        <f t="array" ref="I56">angleDecimal2Txt(I55)</f>
        <v>+292°05.59 (+292.0933) [+292°05'36.00]</v>
      </c>
      <c r="J56" s="621"/>
      <c r="K56" s="621"/>
      <c r="L56" s="621"/>
      <c r="M56" s="621"/>
      <c r="N56" s="621"/>
      <c r="AB56" s="66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449</v>
      </c>
      <c r="C59" s="26"/>
      <c r="D59" s="26"/>
      <c r="E59" s="26"/>
      <c r="F59" s="647">
        <f>I60</f>
        <v>179.76000000000005</v>
      </c>
      <c r="G59" s="647"/>
      <c r="H59" s="647"/>
      <c r="I59" s="26"/>
      <c r="J59" s="639" t="s">
        <v>55</v>
      </c>
      <c r="K59" s="639"/>
      <c r="L59" s="639"/>
      <c r="M59" s="814" t="str">
        <f>J18</f>
        <v>Polaire</v>
      </c>
      <c r="N59" s="814"/>
      <c r="O59" s="814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17" t="s">
        <v>450</v>
      </c>
      <c r="D60" s="1317"/>
      <c r="E60" s="1317"/>
      <c r="F60" s="1317"/>
      <c r="G60" s="1317"/>
      <c r="H60" s="1318"/>
      <c r="I60" s="1319">
        <f>AD61</f>
        <v>179.76000000000005</v>
      </c>
      <c r="J60" s="461"/>
      <c r="K60" s="461"/>
      <c r="L60" s="462"/>
      <c r="M60" s="36" t="s">
        <v>45</v>
      </c>
      <c r="N60" s="602">
        <f>AD60</f>
        <v>179.76000000000005</v>
      </c>
      <c r="O60" s="602"/>
      <c r="P60" s="602"/>
      <c r="Q60" s="602"/>
      <c r="AB60" s="61"/>
      <c r="AC60" s="3" t="s">
        <v>455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21" t="str" cm="1">
        <f t="array" ref="I61">angleDecimal2Txt(I60)</f>
        <v>+179°45.60 (+179.7600) [+179°45'36.00]</v>
      </c>
      <c r="J61" s="621"/>
      <c r="K61" s="621"/>
      <c r="L61" s="621"/>
      <c r="M61" s="621"/>
      <c r="N61" s="621"/>
      <c r="AB61" s="66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82" t="s">
        <v>72</v>
      </c>
      <c r="E63" s="643"/>
      <c r="F63" s="647">
        <f>IF(G64=AD64,O101,O93)</f>
        <v>28.819379568060796</v>
      </c>
      <c r="G63" s="647"/>
      <c r="H63" s="647"/>
      <c r="I63" s="26"/>
      <c r="J63" s="640" t="str" cm="1">
        <f t="array" ref="J63">angleDecimal2Txt(F63)</f>
        <v>+28°49.16 (+28.8193) [+28°49'09.76]</v>
      </c>
      <c r="K63" s="440"/>
      <c r="L63" s="440"/>
      <c r="M63" s="440"/>
      <c r="N63" s="425"/>
      <c r="O63" s="26"/>
      <c r="P63" s="582"/>
      <c r="Q63" s="582"/>
      <c r="R63" s="26"/>
      <c r="S63" s="60"/>
      <c r="T63" s="26" t="s">
        <v>95</v>
      </c>
      <c r="U63" s="26"/>
      <c r="V63" s="625">
        <f>-O80+O75+O84</f>
        <v>-2.9960824388447736E-2</v>
      </c>
      <c r="W63" s="626"/>
      <c r="X63" s="627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86" t="s">
        <v>35</v>
      </c>
      <c r="D64" s="786"/>
      <c r="E64" s="786"/>
      <c r="F64" s="786"/>
      <c r="G64" s="513" t="s">
        <v>51</v>
      </c>
      <c r="H64" s="513"/>
      <c r="I64" s="513"/>
      <c r="P64" s="16" t="s">
        <v>69</v>
      </c>
      <c r="V64" s="14"/>
      <c r="W64" s="14"/>
      <c r="X64" s="14"/>
      <c r="Y64" s="14"/>
      <c r="Z64" s="14"/>
      <c r="AB64" s="61"/>
      <c r="AC64" s="510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514" t="s">
        <v>62</v>
      </c>
      <c r="G65" s="514"/>
      <c r="H65" s="515"/>
      <c r="I65" s="515"/>
      <c r="J65" s="624">
        <f>IF(G64=AD64,"---",O93)</f>
        <v>28.819379568060796</v>
      </c>
      <c r="K65" s="624"/>
      <c r="L65" s="624"/>
      <c r="V65" s="14"/>
      <c r="W65" s="14"/>
      <c r="X65" s="14"/>
      <c r="Y65" s="14"/>
      <c r="Z65" s="14"/>
      <c r="AB65" s="61"/>
      <c r="AC65" s="510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66" t="s">
        <v>47</v>
      </c>
      <c r="I66" s="1166"/>
      <c r="J66" s="1166"/>
      <c r="K66" s="1166"/>
      <c r="L66" s="1166"/>
      <c r="M66" s="1166"/>
      <c r="N66" s="1166"/>
      <c r="O66" s="565">
        <f>J17</f>
        <v>28.916666666666668</v>
      </c>
      <c r="P66" s="565"/>
      <c r="Q66" s="565"/>
      <c r="R66" s="565"/>
      <c r="S66" s="16" t="s">
        <v>54</v>
      </c>
      <c r="U66" s="557" t="str" cm="1">
        <f t="array" ref="U66">angleDecimal2Txt(O66)</f>
        <v>+28°55.00 (+28.9166) [+28°55'00.00]</v>
      </c>
      <c r="V66" s="557"/>
      <c r="W66" s="557"/>
      <c r="X66" s="557"/>
      <c r="Y66" s="557"/>
      <c r="Z66" s="557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66" t="s">
        <v>24</v>
      </c>
      <c r="I67" s="1166"/>
      <c r="J67" s="1166"/>
      <c r="K67" s="1166"/>
      <c r="L67" s="1166"/>
      <c r="M67" s="1166"/>
      <c r="N67" s="1166"/>
      <c r="O67" s="565">
        <f>J16</f>
        <v>0</v>
      </c>
      <c r="P67" s="565"/>
      <c r="Q67" s="565"/>
      <c r="R67" s="565"/>
      <c r="S67" s="16" t="s">
        <v>54</v>
      </c>
      <c r="U67" s="557" t="str" cm="1">
        <f t="array" ref="U67">angleDecimal2Txt(O67)</f>
        <v>+00°00.00 (+00.0000) [+00°00'00.00]</v>
      </c>
      <c r="V67" s="557"/>
      <c r="W67" s="557"/>
      <c r="X67" s="557"/>
      <c r="Y67" s="557"/>
      <c r="Z67" s="557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67" t="s">
        <v>68</v>
      </c>
      <c r="I68" s="1167"/>
      <c r="J68" s="1167"/>
      <c r="K68" s="1167"/>
      <c r="L68" s="1167"/>
      <c r="M68" s="1167"/>
      <c r="N68" s="1167"/>
      <c r="O68" s="592">
        <f>AD68</f>
        <v>6.7326274217425694E-2</v>
      </c>
      <c r="P68" s="592"/>
      <c r="Q68" s="592"/>
      <c r="R68" s="592"/>
      <c r="S68" s="16" t="s">
        <v>54</v>
      </c>
      <c r="U68" s="557" t="str" cm="1">
        <f t="array" ref="U68">angleDecimal2Txt(O68)</f>
        <v>+00°04.03 (+00.0673) [+00°04'02.37]</v>
      </c>
      <c r="V68" s="557"/>
      <c r="W68" s="557"/>
      <c r="X68" s="557"/>
      <c r="Y68" s="557"/>
      <c r="Z68" s="557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1015" t="s">
        <v>113</v>
      </c>
      <c r="N69" s="1015"/>
      <c r="O69" s="1015"/>
      <c r="P69" s="1015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65" t="s">
        <v>437</v>
      </c>
      <c r="I70" s="1165"/>
      <c r="J70" s="1165"/>
      <c r="K70" s="1165"/>
      <c r="L70" s="1165"/>
      <c r="M70" s="1165"/>
      <c r="N70" s="1165"/>
      <c r="O70" s="659">
        <f>O66-O67-O68</f>
        <v>28.849340392449243</v>
      </c>
      <c r="P70" s="555"/>
      <c r="Q70" s="16" t="s">
        <v>54</v>
      </c>
      <c r="R70" s="588">
        <f>O70*Outils!$F$4</f>
        <v>0.50351597687683236</v>
      </c>
      <c r="S70" s="588"/>
      <c r="T70" s="37" t="s">
        <v>64</v>
      </c>
      <c r="U70" s="557" t="str" cm="1">
        <f t="array" ref="U70">angleDecimal2Txt(O70)</f>
        <v>+28°50.96 (+28.8493) [+28°50'57.62]</v>
      </c>
      <c r="V70" s="557"/>
      <c r="W70" s="557"/>
      <c r="X70" s="557"/>
      <c r="Y70" s="557"/>
      <c r="Z70" s="557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64" t="s">
        <v>61</v>
      </c>
      <c r="N72" s="1164"/>
      <c r="O72" s="1164"/>
      <c r="P72" s="1164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38" t="s">
        <v>139</v>
      </c>
      <c r="N73" s="1338"/>
      <c r="O73" s="1164"/>
      <c r="P73" s="1164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592" t="s">
        <v>52</v>
      </c>
      <c r="I74" s="592"/>
      <c r="J74" s="592"/>
      <c r="K74" s="592"/>
      <c r="L74" s="592"/>
      <c r="M74" s="592"/>
      <c r="N74" s="592"/>
      <c r="O74" s="784">
        <v>0</v>
      </c>
      <c r="P74" s="785"/>
      <c r="Q74" s="785"/>
      <c r="R74" s="785"/>
      <c r="S74" s="16" t="s">
        <v>54</v>
      </c>
      <c r="U74" s="557" t="str" cm="1">
        <f t="array" ref="U74">angleDecimal2Txt(O74)</f>
        <v>+00°00.00 (+00.0000) [+00°00'00.00]</v>
      </c>
      <c r="V74" s="557"/>
      <c r="W74" s="557"/>
      <c r="X74" s="557"/>
      <c r="Y74" s="557"/>
      <c r="Z74" s="557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599" t="s">
        <v>140</v>
      </c>
      <c r="I75" s="600"/>
      <c r="J75" s="600"/>
      <c r="K75" s="600"/>
      <c r="L75" s="600"/>
      <c r="M75" s="600"/>
      <c r="N75" s="601"/>
      <c r="O75" s="556">
        <f>AD74</f>
        <v>0</v>
      </c>
      <c r="P75" s="556"/>
      <c r="Q75" s="556"/>
      <c r="R75" s="556"/>
      <c r="S75" s="16" t="s">
        <v>54</v>
      </c>
      <c r="T75" s="16"/>
      <c r="U75" s="557" t="str" cm="1">
        <f t="array" ref="U75">angleDecimal2Txt(O75)</f>
        <v>+00°00.00 (+00.0000) [+00°00'00.00]</v>
      </c>
      <c r="V75" s="557"/>
      <c r="W75" s="557"/>
      <c r="X75" s="557"/>
      <c r="Y75" s="557"/>
      <c r="Z75" s="557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604" t="s">
        <v>126</v>
      </c>
      <c r="T77" s="605"/>
      <c r="U77" s="606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592" t="s">
        <v>65</v>
      </c>
      <c r="I78" s="592"/>
      <c r="J78" s="592"/>
      <c r="K78" s="592"/>
      <c r="L78" s="592"/>
      <c r="M78" s="592"/>
      <c r="N78" s="592"/>
      <c r="O78" s="590">
        <f>S78</f>
        <v>10</v>
      </c>
      <c r="P78" s="591"/>
      <c r="Q78" s="591"/>
      <c r="R78" s="591"/>
      <c r="S78" s="644">
        <v>10</v>
      </c>
      <c r="T78" s="645"/>
      <c r="U78" s="646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592" t="s">
        <v>66</v>
      </c>
      <c r="I79" s="592"/>
      <c r="J79" s="592"/>
      <c r="K79" s="592"/>
      <c r="L79" s="592"/>
      <c r="M79" s="592"/>
      <c r="N79" s="592"/>
      <c r="O79" s="590">
        <f>S79</f>
        <v>1010</v>
      </c>
      <c r="P79" s="591"/>
      <c r="Q79" s="591"/>
      <c r="R79" s="591"/>
      <c r="S79" s="644">
        <v>1010</v>
      </c>
      <c r="T79" s="645"/>
      <c r="U79" s="646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599" t="s">
        <v>141</v>
      </c>
      <c r="I80" s="600"/>
      <c r="J80" s="600"/>
      <c r="K80" s="600"/>
      <c r="L80" s="600"/>
      <c r="M80" s="600"/>
      <c r="N80" s="601"/>
      <c r="O80" s="556">
        <f>AD81</f>
        <v>2.9960824388447736E-2</v>
      </c>
      <c r="P80" s="556"/>
      <c r="Q80" s="556"/>
      <c r="R80" s="556"/>
      <c r="S80" s="16" t="s">
        <v>54</v>
      </c>
      <c r="T80" s="16"/>
      <c r="U80" s="557" t="str" cm="1">
        <f t="array" ref="U80">angleDecimal2Txt(O80)</f>
        <v>+00°01.79 (+00.0299) [+00°01'47.85]</v>
      </c>
      <c r="V80" s="557"/>
      <c r="W80" s="557"/>
      <c r="X80" s="557"/>
      <c r="Y80" s="557"/>
      <c r="Z80" s="557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592" t="s">
        <v>100</v>
      </c>
      <c r="I82" s="592"/>
      <c r="J82" s="592"/>
      <c r="K82" s="592"/>
      <c r="L82" s="592"/>
      <c r="M82" s="592"/>
      <c r="N82" s="592"/>
      <c r="O82" s="589">
        <v>0</v>
      </c>
      <c r="P82" s="589"/>
      <c r="Q82" s="589"/>
      <c r="R82" s="589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592" t="s">
        <v>70</v>
      </c>
      <c r="I83" s="592"/>
      <c r="J83" s="592"/>
      <c r="K83" s="592"/>
      <c r="L83" s="592"/>
      <c r="M83" s="592"/>
      <c r="N83" s="592"/>
      <c r="O83" s="589">
        <f>J19</f>
        <v>0</v>
      </c>
      <c r="P83" s="589"/>
      <c r="Q83" s="589"/>
      <c r="R83" s="589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641" t="str">
        <f>J18</f>
        <v>Polaire</v>
      </c>
      <c r="AE83" s="641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61" t="s">
        <v>71</v>
      </c>
      <c r="I84" s="1162"/>
      <c r="J84" s="1162"/>
      <c r="K84" s="1162"/>
      <c r="L84" s="1162"/>
      <c r="M84" s="1162"/>
      <c r="N84" s="1163"/>
      <c r="O84" s="602">
        <f>AD87</f>
        <v>0</v>
      </c>
      <c r="P84" s="602"/>
      <c r="Q84" s="602"/>
      <c r="R84" s="602"/>
      <c r="S84" s="16" t="s">
        <v>54</v>
      </c>
      <c r="T84" s="16"/>
      <c r="U84" s="557" t="str" cm="1">
        <f t="array" ref="U84">angleDecimal2Txt(O84)</f>
        <v>+00°00.00 (+00.0000) [+00°00'00.00]</v>
      </c>
      <c r="V84" s="557"/>
      <c r="W84" s="557"/>
      <c r="X84" s="557"/>
      <c r="Y84" s="557"/>
      <c r="Z84" s="557"/>
      <c r="AA84" s="16"/>
      <c r="AB84" s="61"/>
      <c r="AC84" s="3" t="s">
        <v>190</v>
      </c>
      <c r="AD84" s="641">
        <f>O83</f>
        <v>0</v>
      </c>
      <c r="AE84" s="641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42">
        <v>0</v>
      </c>
      <c r="AE85" s="642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545" t="s">
        <v>107</v>
      </c>
      <c r="H86" s="546"/>
      <c r="I86" s="546"/>
      <c r="J86" s="546"/>
      <c r="K86" s="546"/>
      <c r="L86" s="546"/>
      <c r="M86" s="546"/>
      <c r="N86" s="546"/>
      <c r="O86" s="546"/>
      <c r="P86" s="546"/>
      <c r="Q86" s="546"/>
      <c r="R86" s="546"/>
      <c r="S86" s="547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409" t="s">
        <v>115</v>
      </c>
      <c r="H87" s="410"/>
      <c r="I87" s="516" t="s">
        <v>110</v>
      </c>
      <c r="J87" s="517"/>
      <c r="K87" s="517"/>
      <c r="L87" s="517"/>
      <c r="M87" s="517"/>
      <c r="N87" s="518"/>
      <c r="O87" s="550">
        <f>(O75-O80-O68+O82/2) * 60</f>
        <v>-5.8372259163524056</v>
      </c>
      <c r="P87" s="543"/>
      <c r="Q87" s="543"/>
      <c r="R87" s="543"/>
      <c r="S87" s="548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42">
        <f>AE86*AD85</f>
        <v>0</v>
      </c>
      <c r="AE87" s="642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413"/>
      <c r="H88" s="414"/>
      <c r="I88" s="1158" t="s">
        <v>114</v>
      </c>
      <c r="J88" s="1159"/>
      <c r="K88" s="1159"/>
      <c r="L88" s="1159"/>
      <c r="M88" s="1159"/>
      <c r="N88" s="1160"/>
      <c r="O88" s="551"/>
      <c r="P88" s="544"/>
      <c r="Q88" s="544"/>
      <c r="R88" s="544"/>
      <c r="S88" s="549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516" t="s">
        <v>111</v>
      </c>
      <c r="J89" s="517"/>
      <c r="K89" s="517"/>
      <c r="L89" s="517"/>
      <c r="M89" s="517"/>
      <c r="N89" s="518"/>
      <c r="O89" s="543">
        <f>(O75-O80+O82/2)*60</f>
        <v>-1.7976494633068643</v>
      </c>
      <c r="P89" s="543"/>
      <c r="Q89" s="543"/>
      <c r="R89" s="543"/>
      <c r="S89" s="548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519" t="s">
        <v>112</v>
      </c>
      <c r="J90" s="520"/>
      <c r="K90" s="520"/>
      <c r="L90" s="520"/>
      <c r="M90" s="520"/>
      <c r="N90" s="521"/>
      <c r="O90" s="544"/>
      <c r="P90" s="544"/>
      <c r="Q90" s="544"/>
      <c r="R90" s="544"/>
      <c r="S90" s="549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157" t="s">
        <v>71</v>
      </c>
      <c r="J91" s="1157"/>
      <c r="K91" s="1157"/>
      <c r="L91" s="1157"/>
      <c r="M91" s="1157"/>
      <c r="N91" s="1157"/>
      <c r="O91" s="535">
        <f>O84*60</f>
        <v>0</v>
      </c>
      <c r="P91" s="536"/>
      <c r="Q91" s="536"/>
      <c r="R91" s="536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552" t="s">
        <v>142</v>
      </c>
      <c r="I93" s="553"/>
      <c r="J93" s="553"/>
      <c r="K93" s="553"/>
      <c r="L93" s="553"/>
      <c r="M93" s="553"/>
      <c r="N93" s="554"/>
      <c r="O93" s="555">
        <f>O70-O80+O75+O84</f>
        <v>28.819379568060796</v>
      </c>
      <c r="P93" s="556"/>
      <c r="Q93" s="556"/>
      <c r="R93" s="556"/>
      <c r="S93" s="16" t="s">
        <v>54</v>
      </c>
      <c r="T93" s="16"/>
      <c r="U93" s="557" t="str" cm="1">
        <f t="array" ref="U93">angleDecimal2Txt(O93)</f>
        <v>+28°49.16 (+28.8193) [+28°49'09.76]</v>
      </c>
      <c r="V93" s="557"/>
      <c r="W93" s="557"/>
      <c r="X93" s="557"/>
      <c r="Y93" s="557"/>
      <c r="Z93" s="557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514" t="s">
        <v>63</v>
      </c>
      <c r="G95" s="514"/>
      <c r="H95" s="514"/>
      <c r="I95" s="514"/>
      <c r="J95" s="556" t="str">
        <f>IF(G64=AD64,O101,"---")</f>
        <v>---</v>
      </c>
      <c r="K95" s="556"/>
      <c r="L95" s="556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36" t="s">
        <v>146</v>
      </c>
      <c r="O98" s="1336"/>
      <c r="P98" s="1336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37" cm="1">
        <f t="array" ref="N99">angleConvert2Decimal(N98)</f>
        <v>0.17166666666666669</v>
      </c>
      <c r="O99" s="1337"/>
      <c r="P99" s="1337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55" t="str" cm="1">
        <f t="array" ref="W99">angleDecimal2Txt(V99)</f>
        <v>+00°10.30 (+00.1716) [+00°10'18.00]</v>
      </c>
      <c r="X99" s="471"/>
      <c r="Y99" s="471"/>
      <c r="Z99" s="471"/>
      <c r="AA99" s="472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552" t="s">
        <v>145</v>
      </c>
      <c r="I101" s="553"/>
      <c r="J101" s="553"/>
      <c r="K101" s="553"/>
      <c r="L101" s="553"/>
      <c r="M101" s="553"/>
      <c r="N101" s="554"/>
      <c r="O101" s="555">
        <f>J98-L99+N99+R99</f>
        <v>29.088333333333335</v>
      </c>
      <c r="P101" s="556"/>
      <c r="Q101" s="556"/>
      <c r="R101" s="556"/>
      <c r="S101" s="16" t="s">
        <v>54</v>
      </c>
      <c r="T101" s="16"/>
      <c r="U101" s="557" t="str" cm="1">
        <f t="array" ref="U101">angleDecimal2Txt(O101)</f>
        <v>+29°05.29 (+29.0883) [+29°05'18.00]</v>
      </c>
      <c r="V101" s="557"/>
      <c r="W101" s="557"/>
      <c r="X101" s="557"/>
      <c r="Y101" s="557"/>
      <c r="Z101" s="557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74" t="s">
        <v>154</v>
      </c>
      <c r="E104" s="1329"/>
      <c r="F104" s="1329"/>
      <c r="G104" s="1329"/>
      <c r="H104" s="1372">
        <f>90-P105</f>
        <v>0.67833333333332746</v>
      </c>
      <c r="I104" s="1372"/>
      <c r="J104" s="1372"/>
      <c r="K104" s="1372"/>
      <c r="L104" s="1372"/>
      <c r="N104" s="1373" t="s">
        <v>155</v>
      </c>
      <c r="O104" s="1373"/>
      <c r="P104" s="1373"/>
      <c r="Q104" s="1373"/>
      <c r="R104" s="1373"/>
      <c r="S104" s="1373"/>
      <c r="T104" s="1373"/>
      <c r="U104" s="1373"/>
      <c r="V104" s="1373"/>
      <c r="W104" s="1373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30"/>
      <c r="E105" s="1331"/>
      <c r="F105" s="1331"/>
      <c r="G105" s="1331"/>
      <c r="H105" s="1372"/>
      <c r="I105" s="1372"/>
      <c r="J105" s="1372"/>
      <c r="K105" s="1372"/>
      <c r="L105" s="1372"/>
      <c r="M105" s="48" t="s">
        <v>116</v>
      </c>
      <c r="N105" s="1334" t="s">
        <v>84</v>
      </c>
      <c r="O105" s="1334"/>
      <c r="P105" s="1334">
        <f>F27</f>
        <v>89.321666666666673</v>
      </c>
      <c r="Q105" s="1334"/>
      <c r="R105" s="1334"/>
      <c r="S105" s="78" t="s">
        <v>54</v>
      </c>
      <c r="T105" s="1334">
        <f>P105*Outils!$F$4</f>
        <v>1.5589571767022019</v>
      </c>
      <c r="U105" s="1334"/>
      <c r="V105" s="1334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32"/>
      <c r="E106" s="1333"/>
      <c r="F106" s="1333"/>
      <c r="G106" s="1333"/>
      <c r="H106" s="1376" t="str" cm="1">
        <f t="array" ref="H106">angleDecimal2Txt(H104)</f>
        <v>+00°40.69 (+00.6783) [+00°40'41.99]</v>
      </c>
      <c r="I106" s="1376"/>
      <c r="J106" s="1376"/>
      <c r="K106" s="1376"/>
      <c r="L106" s="1376"/>
      <c r="N106" s="1327"/>
      <c r="O106" s="1327"/>
      <c r="P106" s="1327"/>
      <c r="Q106" s="1327"/>
      <c r="R106" s="1327"/>
      <c r="S106" s="84"/>
      <c r="T106" s="1327"/>
      <c r="U106" s="1327"/>
      <c r="V106" s="1327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75"/>
      <c r="O107" s="1327"/>
      <c r="P107" s="1327"/>
      <c r="Q107" s="1327"/>
      <c r="R107" s="1327"/>
      <c r="S107" s="1327"/>
      <c r="T107" s="1327"/>
      <c r="U107" s="1327"/>
      <c r="V107" s="1327"/>
      <c r="W107" s="1327"/>
      <c r="X107" s="1327"/>
      <c r="Y107" s="1327"/>
      <c r="Z107" s="1327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74" t="s">
        <v>156</v>
      </c>
      <c r="E108" s="1329"/>
      <c r="F108" s="1329"/>
      <c r="G108" s="1329"/>
      <c r="H108" s="1372">
        <f>-H104*COS(T109)</f>
        <v>0.67832738233611578</v>
      </c>
      <c r="I108" s="1372"/>
      <c r="J108" s="1372"/>
      <c r="K108" s="1372"/>
      <c r="L108" s="1372"/>
      <c r="N108" s="1377" t="s">
        <v>159</v>
      </c>
      <c r="O108" s="1373"/>
      <c r="P108" s="1373"/>
      <c r="Q108" s="1373"/>
      <c r="R108" s="1373"/>
      <c r="S108" s="1373"/>
      <c r="T108" s="1373"/>
      <c r="U108" s="1373"/>
      <c r="V108" s="1373"/>
      <c r="W108" s="1373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30"/>
      <c r="E109" s="1331"/>
      <c r="F109" s="1331"/>
      <c r="G109" s="1331"/>
      <c r="H109" s="1372"/>
      <c r="I109" s="1372"/>
      <c r="J109" s="1372"/>
      <c r="K109" s="1372"/>
      <c r="L109" s="1372"/>
      <c r="M109" s="48" t="s">
        <v>116</v>
      </c>
      <c r="N109" s="1334" t="s">
        <v>43</v>
      </c>
      <c r="O109" s="1334"/>
      <c r="P109" s="1334">
        <f>F59</f>
        <v>179.76000000000005</v>
      </c>
      <c r="Q109" s="1334"/>
      <c r="R109" s="1334"/>
      <c r="S109" s="78" t="s">
        <v>54</v>
      </c>
      <c r="T109" s="1334">
        <f>P109*Outils!$F$4</f>
        <v>3.1374038633850074</v>
      </c>
      <c r="U109" s="1334"/>
      <c r="V109" s="1334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32"/>
      <c r="E110" s="1333"/>
      <c r="F110" s="1333"/>
      <c r="G110" s="1333"/>
      <c r="H110" s="1371" t="str" cm="1">
        <f t="array" ref="H110">angleDecimal2Txt(H108)</f>
        <v>+00°40.69 (+00.6783) [+00°40'41.97]</v>
      </c>
      <c r="I110" s="1371"/>
      <c r="J110" s="1371"/>
      <c r="K110" s="1371"/>
      <c r="L110" s="1371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444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28" t="s">
        <v>157</v>
      </c>
      <c r="E112" s="1329"/>
      <c r="F112" s="1329"/>
      <c r="G112" s="1329"/>
      <c r="H112" s="1372">
        <f>F63+H108</f>
        <v>29.49770695039691</v>
      </c>
      <c r="I112" s="1372"/>
      <c r="J112" s="1372"/>
      <c r="K112" s="1372"/>
      <c r="L112" s="1372"/>
      <c r="N112" s="1373" t="s">
        <v>161</v>
      </c>
      <c r="O112" s="1373"/>
      <c r="P112" s="1373"/>
      <c r="Q112" s="1373"/>
      <c r="R112" s="1373"/>
      <c r="S112" s="1373"/>
      <c r="T112" s="1373"/>
      <c r="U112" s="1373"/>
      <c r="V112" s="1373"/>
      <c r="W112" s="1373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30"/>
      <c r="E113" s="1331"/>
      <c r="F113" s="1331"/>
      <c r="G113" s="1331"/>
      <c r="H113" s="1372"/>
      <c r="I113" s="1372"/>
      <c r="J113" s="1372"/>
      <c r="K113" s="1372"/>
      <c r="L113" s="1372"/>
      <c r="M113" s="48" t="s">
        <v>116</v>
      </c>
      <c r="N113" s="1334" t="s">
        <v>101</v>
      </c>
      <c r="O113" s="1334"/>
      <c r="P113" s="1334">
        <f>F63</f>
        <v>28.819379568060796</v>
      </c>
      <c r="Q113" s="1334"/>
      <c r="R113" s="1334"/>
      <c r="S113" s="78" t="s">
        <v>54</v>
      </c>
      <c r="T113" s="1334">
        <f>P113*Outils!$F$4</f>
        <v>0.5029930618446421</v>
      </c>
      <c r="U113" s="1334"/>
      <c r="V113" s="1334"/>
      <c r="W113" s="78" t="s">
        <v>64</v>
      </c>
      <c r="X113" s="1327"/>
      <c r="Y113" s="1327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32"/>
      <c r="E114" s="1333"/>
      <c r="F114" s="1333"/>
      <c r="G114" s="1333"/>
      <c r="H114" s="1376" t="str" cm="1">
        <f t="array" ref="H114">angleDecimal2Txt(H112)</f>
        <v>+29°29.86 (+29.4977) [+29°29'51.74]</v>
      </c>
      <c r="I114" s="1376"/>
      <c r="J114" s="1376"/>
      <c r="K114" s="1376"/>
      <c r="L114" s="1376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28" t="s">
        <v>158</v>
      </c>
      <c r="E116" s="1329"/>
      <c r="F116" s="1329"/>
      <c r="G116" s="1329"/>
      <c r="H116" s="976">
        <f>AF120</f>
        <v>359.99673544575774</v>
      </c>
      <c r="I116" s="976"/>
      <c r="J116" s="976"/>
      <c r="K116" s="976"/>
      <c r="L116" s="976"/>
      <c r="N116" s="1377" t="s">
        <v>160</v>
      </c>
      <c r="O116" s="1373"/>
      <c r="P116" s="1373"/>
      <c r="Q116" s="1373"/>
      <c r="R116" s="1373"/>
      <c r="S116" s="1373"/>
      <c r="T116" s="1373"/>
      <c r="U116" s="1373"/>
      <c r="V116" s="1373"/>
      <c r="W116" s="1373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30"/>
      <c r="E117" s="1331"/>
      <c r="F117" s="1331"/>
      <c r="G117" s="1331"/>
      <c r="H117" s="976"/>
      <c r="I117" s="976"/>
      <c r="J117" s="976"/>
      <c r="K117" s="976"/>
      <c r="L117" s="976"/>
      <c r="M117" s="48" t="s">
        <v>116</v>
      </c>
      <c r="N117" s="1334" t="s">
        <v>43</v>
      </c>
      <c r="O117" s="1334"/>
      <c r="P117" s="1334">
        <f>F59</f>
        <v>179.76000000000005</v>
      </c>
      <c r="Q117" s="1334"/>
      <c r="R117" s="1334"/>
      <c r="S117" s="78" t="s">
        <v>54</v>
      </c>
      <c r="T117" s="1334">
        <f>P117*Outils!$F$4</f>
        <v>3.1374038633850074</v>
      </c>
      <c r="U117" s="1334"/>
      <c r="V117" s="1334"/>
      <c r="W117" s="78" t="s">
        <v>64</v>
      </c>
      <c r="X117" s="84"/>
      <c r="AA117"/>
      <c r="AB117" s="83"/>
      <c r="AC117" s="11" t="s">
        <v>440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32"/>
      <c r="E118" s="1333"/>
      <c r="F118" s="1333"/>
      <c r="G118" s="1333"/>
      <c r="H118" s="1371" t="str" cm="1">
        <f t="array" ref="H118">angleDecimal2Txt(H116)</f>
        <v>+359°59.80 (+359.9967) [+359°59'48.24]</v>
      </c>
      <c r="I118" s="1371"/>
      <c r="J118" s="1371"/>
      <c r="K118" s="1371"/>
      <c r="L118" s="1371"/>
      <c r="N118" s="1334" t="s">
        <v>41</v>
      </c>
      <c r="O118" s="1334"/>
      <c r="P118" s="1334">
        <f>H112</f>
        <v>29.49770695039691</v>
      </c>
      <c r="Q118" s="1334"/>
      <c r="R118" s="1334"/>
      <c r="S118" s="78" t="s">
        <v>54</v>
      </c>
      <c r="T118" s="1334">
        <f>P118*Outils!$F$4</f>
        <v>0.51483210807284174</v>
      </c>
      <c r="U118" s="1334"/>
      <c r="V118" s="1334"/>
      <c r="W118" s="78" t="s">
        <v>64</v>
      </c>
      <c r="AA118"/>
      <c r="AB118" s="83"/>
      <c r="AC118" t="s">
        <v>441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442</v>
      </c>
      <c r="AD119">
        <f>COS(T118)</f>
        <v>0.8703754026568995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7"/>
      <c r="N120" s="1327"/>
      <c r="O120" s="84"/>
      <c r="P120" s="1327"/>
      <c r="Q120" s="1327"/>
      <c r="R120" s="1327"/>
      <c r="S120" s="1327"/>
      <c r="T120" s="1327"/>
      <c r="U120" s="1327"/>
      <c r="V120" s="84"/>
      <c r="W120" s="1327"/>
      <c r="X120" s="1327"/>
      <c r="Y120" s="1327"/>
      <c r="Z120" s="84"/>
      <c r="AA120"/>
      <c r="AB120" s="83"/>
      <c r="AC120" s="11" t="s">
        <v>443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7"/>
      <c r="I121" s="1327"/>
      <c r="J121" s="84"/>
      <c r="K121" s="1327"/>
      <c r="L121" s="1327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7"/>
      <c r="I122" s="1327"/>
      <c r="J122" s="84"/>
      <c r="K122" s="1327"/>
      <c r="L122" s="1327"/>
      <c r="M122" s="84"/>
      <c r="N122" s="1327"/>
      <c r="O122" s="1327"/>
      <c r="P122" s="1327"/>
      <c r="Q122" s="1327"/>
      <c r="R122" s="1327"/>
      <c r="S122" s="1327"/>
      <c r="T122" s="1327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7"/>
      <c r="I123" s="1327"/>
      <c r="J123" s="1327"/>
      <c r="K123" s="1327"/>
      <c r="L123" s="1327"/>
      <c r="M123" s="84"/>
      <c r="N123" s="84"/>
      <c r="O123" s="84"/>
      <c r="P123" s="84"/>
      <c r="Q123" s="84"/>
      <c r="R123" s="84"/>
      <c r="S123" s="1327"/>
      <c r="T123" s="1327"/>
      <c r="U123" s="1327"/>
      <c r="V123" s="1327"/>
      <c r="W123" s="1327"/>
      <c r="X123" s="1327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535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512" t="s">
        <v>1</v>
      </c>
      <c r="C127" s="512"/>
      <c r="D127" s="512" t="str">
        <f>E7</f>
        <v>20/10/2029</v>
      </c>
      <c r="E127" s="512"/>
      <c r="F127" s="512"/>
      <c r="G127" s="512"/>
      <c r="H127" s="234" t="s">
        <v>2</v>
      </c>
      <c r="I127" s="512" t="str">
        <f>G7</f>
        <v>05:25:00.00(05.4166)</v>
      </c>
      <c r="J127" s="512"/>
      <c r="K127" s="512"/>
      <c r="L127" s="512"/>
    </row>
    <row r="128" spans="1:59" customFormat="1" ht="15">
      <c r="B128" s="558" t="s">
        <v>30</v>
      </c>
      <c r="C128" s="558"/>
      <c r="D128" s="887" t="s">
        <v>436</v>
      </c>
      <c r="E128" s="887"/>
      <c r="F128" s="887"/>
      <c r="G128" s="887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400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41" t="s">
        <v>401</v>
      </c>
      <c r="D131" s="441"/>
      <c r="E131" s="441" t="str" cm="1">
        <f t="array" ref="E131">angleDecimal2Txt(angleConvert2Decimal(M17))</f>
        <v>+28°55.00 (+28.9166) [+28°55'00.00]</v>
      </c>
      <c r="F131" s="441"/>
      <c r="G131" s="441"/>
      <c r="H131" s="441"/>
      <c r="I131" s="441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511" t="s">
        <v>402</v>
      </c>
      <c r="D132" s="511"/>
      <c r="E132" s="463" t="str" cm="1">
        <f t="array" ref="E132">angleDecimal2Txt(angleConvert2Decimal(M16))</f>
        <v>+00°00.00 (+00.0000) [+00°00'00.00]</v>
      </c>
      <c r="F132" s="463"/>
      <c r="G132" s="463"/>
      <c r="H132" s="463"/>
      <c r="I132" s="463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512" t="s">
        <v>403</v>
      </c>
      <c r="D133" s="512"/>
      <c r="E133" s="464" t="str">
        <f>CONCATENATE(M15, " m")</f>
        <v>5,28 m</v>
      </c>
      <c r="F133" s="464"/>
      <c r="G133" s="464"/>
      <c r="H133" s="464"/>
      <c r="I133" s="464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48" t="str" cm="1">
        <f t="array" ref="E134">angleDecimal2Txt(O70)</f>
        <v>+28°50.96 (+28.8493) [+28°50'57.62]</v>
      </c>
      <c r="F134" s="448"/>
      <c r="G134" s="448"/>
      <c r="H134" s="448"/>
      <c r="I134" s="448"/>
      <c r="J134" s="448" t="s">
        <v>405</v>
      </c>
      <c r="K134" s="448"/>
      <c r="L134" s="448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45" t="s">
        <v>403</v>
      </c>
      <c r="G135" s="447"/>
      <c r="H135" s="480" t="str" cm="1">
        <f t="array" ref="H135">angleDecimal2Txt(O68)</f>
        <v>+00°04.03 (+00.0673) [+00°04'02.37]</v>
      </c>
      <c r="I135" s="480"/>
      <c r="J135" s="480"/>
      <c r="K135" s="480"/>
      <c r="L135" s="480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45" t="s">
        <v>410</v>
      </c>
      <c r="G136" s="447"/>
      <c r="H136" s="871" t="str" cm="1">
        <f t="array" ref="H136">angleDecimal2Txt(O80)</f>
        <v>+00°01.79 (+00.0299) [+00°01'47.85]</v>
      </c>
      <c r="I136" s="872"/>
      <c r="J136" s="872"/>
      <c r="K136" s="872"/>
      <c r="L136" s="1154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48" t="str" cm="1">
        <f t="array" ref="E137">angleDecimal2Txt(F63)</f>
        <v>+28°49.16 (+28.8193) [+28°49'09.76]</v>
      </c>
      <c r="F137" s="448"/>
      <c r="G137" s="448"/>
      <c r="H137" s="448"/>
      <c r="I137" s="448"/>
      <c r="J137" s="448" t="s">
        <v>404</v>
      </c>
      <c r="K137" s="448"/>
      <c r="L137" s="448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60" t="str" cm="1">
        <f t="array" ref="F138">angleDecimal2Txt(O75-O80-O68)</f>
        <v>-00°05.83 (-00.0972) [-00°05'50.23]</v>
      </c>
      <c r="G138" s="460"/>
      <c r="H138" s="460"/>
      <c r="I138" s="460"/>
      <c r="J138" s="460"/>
      <c r="K138" s="460" t="s">
        <v>412</v>
      </c>
      <c r="L138" s="460"/>
      <c r="M138" s="460"/>
      <c r="N138" s="449" t="s">
        <v>427</v>
      </c>
      <c r="O138" s="449"/>
      <c r="P138" s="449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60" t="str" cm="1">
        <f t="array" ref="F139">angleDecimal2Txt(O75-O80-O68+O84)</f>
        <v>-00°05.83 (-00.0972) [-00°05'50.23]</v>
      </c>
      <c r="G139" s="460"/>
      <c r="H139" s="460"/>
      <c r="I139" s="460"/>
      <c r="J139" s="460"/>
      <c r="K139" s="460" t="s">
        <v>408</v>
      </c>
      <c r="L139" s="460"/>
      <c r="M139" s="460"/>
      <c r="N139" s="449"/>
      <c r="O139" s="449"/>
      <c r="P139" s="449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60" t="str" cm="1">
        <f t="array" ref="F140">angleDecimal2Txt(O75-O80+O84)</f>
        <v>-00°01.79 (-00.0299) [-00°01'47.85]</v>
      </c>
      <c r="G140" s="460"/>
      <c r="H140" s="460"/>
      <c r="I140" s="460"/>
      <c r="J140" s="460"/>
      <c r="K140" s="460" t="s">
        <v>409</v>
      </c>
      <c r="L140" s="460"/>
      <c r="M140" s="460"/>
      <c r="N140" s="449"/>
      <c r="O140" s="449"/>
      <c r="P140" s="449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42" t="s">
        <v>413</v>
      </c>
      <c r="D144" s="442"/>
      <c r="E144" s="442" t="str" cm="1">
        <f t="array" ref="E144">latitudeDecimal2Txt(G22)</f>
        <v>N 41°31.00 (N 41.5166) [N 41°31'00.00]</v>
      </c>
      <c r="F144" s="442"/>
      <c r="G144" s="442"/>
      <c r="H144" s="442"/>
      <c r="I144" s="442"/>
      <c r="J144" s="442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43" t="s">
        <v>414</v>
      </c>
      <c r="D145" s="443"/>
      <c r="E145" s="443" t="str" cm="1">
        <f t="array" ref="E145">longitudeDecimal2Txt(G24)</f>
        <v>W 112°20.00 (W 112.3333) [W 112°20'00.00]</v>
      </c>
      <c r="F145" s="443"/>
      <c r="G145" s="443"/>
      <c r="H145" s="443"/>
      <c r="I145" s="443"/>
      <c r="J145" s="443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20" t="s">
        <v>438</v>
      </c>
      <c r="G146" s="1322" t="str">
        <f>CONCATENATE(" -",G37)</f>
        <v xml:space="preserve"> -Par interval</v>
      </c>
      <c r="H146" s="460">
        <f>IF(G37=AD37,M41,CONCATENATE("T0:",M50))</f>
        <v>5</v>
      </c>
      <c r="I146" s="460"/>
      <c r="J146" s="460"/>
      <c r="K146" s="460" t="str" cm="1">
        <f t="array" ref="K146">IF(G37=AD37,angleDecimal2Txt(AE40,0),CONCATENATE("Pos. à T0:",angleDecimal2Txt(AD49,0)))</f>
        <v>+334°32.89</v>
      </c>
      <c r="L146" s="460"/>
      <c r="M146" s="460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21"/>
      <c r="G147" s="1323"/>
      <c r="H147" s="460" cm="1">
        <f t="array" ref="H147">IF(G37=AD37,M43,CONCATENATE("V:",angleDecimal2Txt(AD51,0)))</f>
        <v>6</v>
      </c>
      <c r="I147" s="460"/>
      <c r="J147" s="460"/>
      <c r="K147" s="460" t="str" cm="1">
        <f t="array" ref="K147">IF(G37=AD37,angleDecimal2Txt(AE41,0),CONCATENATE("dt:",TEXT((I50-M50),"0.000")," h"))</f>
        <v>+334°32.89</v>
      </c>
      <c r="L147" s="460"/>
      <c r="M147" s="460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44" t="s">
        <v>439</v>
      </c>
      <c r="D148" s="444"/>
      <c r="E148" s="444" t="str" cm="1">
        <f t="array" ref="E148">angleDecimal2Txt(F36,0)</f>
        <v>+334°32.89</v>
      </c>
      <c r="F148" s="444"/>
      <c r="G148" s="444"/>
      <c r="H148" s="444"/>
      <c r="I148" s="444"/>
      <c r="J148" s="444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40" t="s">
        <v>463</v>
      </c>
      <c r="D149" s="1239"/>
      <c r="E149" s="444" t="str" cm="1">
        <f t="array" ref="E149">angleDecimal2Txt(F32,0)</f>
        <v>+317°32.70</v>
      </c>
      <c r="F149" s="444"/>
      <c r="G149" s="444"/>
      <c r="H149" s="444"/>
      <c r="I149" s="444"/>
      <c r="J149" s="444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40" t="s">
        <v>452</v>
      </c>
      <c r="D150" s="1239"/>
      <c r="E150" s="444" t="str" cm="1">
        <f t="array" ref="E150">angleDecimal2Txt(F54,0)</f>
        <v>+292°05.59</v>
      </c>
      <c r="F150" s="444"/>
      <c r="G150" s="444"/>
      <c r="H150" s="444"/>
      <c r="I150" s="444"/>
      <c r="J150" s="444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44" t="s">
        <v>451</v>
      </c>
      <c r="D151" s="444"/>
      <c r="E151" s="444" t="str" cm="1">
        <f t="array" ref="E151">angleDecimal2Txt(F59,0)</f>
        <v>+179°45.60</v>
      </c>
      <c r="F151" s="444"/>
      <c r="G151" s="444"/>
      <c r="H151" s="444"/>
      <c r="I151" s="444"/>
      <c r="J151" s="444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44" t="s">
        <v>9</v>
      </c>
      <c r="D152" s="444"/>
      <c r="E152" s="444" t="str" cm="1">
        <f t="array" ref="E152">angleDecimal2Txt(F27,0)</f>
        <v>+89°19.30</v>
      </c>
      <c r="F152" s="444"/>
      <c r="G152" s="444"/>
      <c r="H152" s="444"/>
      <c r="I152" s="444"/>
      <c r="J152" s="444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24" t="s">
        <v>456</v>
      </c>
      <c r="G153" s="1324"/>
      <c r="H153" s="1324"/>
      <c r="I153" s="1324"/>
      <c r="J153" s="1324"/>
      <c r="K153" s="1324"/>
      <c r="L153" s="1324"/>
      <c r="M153" s="132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60" t="s">
        <v>457</v>
      </c>
      <c r="G154" s="460"/>
      <c r="H154" s="460"/>
      <c r="I154" s="460" t="str" cm="1">
        <f t="array" ref="I154">angleDecimal2Txt(H104,0)</f>
        <v>+00°40.69</v>
      </c>
      <c r="J154" s="460"/>
      <c r="K154" s="460"/>
      <c r="L154" s="460"/>
      <c r="M154" s="460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60" t="s">
        <v>458</v>
      </c>
      <c r="G155" s="460"/>
      <c r="H155" s="460"/>
      <c r="I155" s="460" t="str" cm="1">
        <f t="array" ref="I155">angleDecimal2Txt(H108)</f>
        <v>+00°40.69 (+00.6783) [+00°40'41.97]</v>
      </c>
      <c r="J155" s="460"/>
      <c r="K155" s="460"/>
      <c r="L155" s="460"/>
      <c r="M155" s="460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24" t="s">
        <v>460</v>
      </c>
      <c r="G156" s="1324"/>
      <c r="H156" s="1324"/>
      <c r="I156" s="1324"/>
      <c r="J156" s="1324"/>
      <c r="K156" s="1324"/>
      <c r="L156" s="1324"/>
      <c r="M156" s="1324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24" t="s">
        <v>459</v>
      </c>
      <c r="G157" s="1324"/>
      <c r="H157" s="1324"/>
      <c r="I157" s="1324"/>
      <c r="J157" s="1324"/>
      <c r="K157" s="1324"/>
      <c r="L157" s="1324"/>
      <c r="M157" s="1324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58" t="s">
        <v>41</v>
      </c>
      <c r="D158" s="458"/>
      <c r="E158" s="458" t="str" cm="1">
        <f t="array" ref="E158">latitudeDecimal2Txt(H112)</f>
        <v>N 29°29.86 (N 29.4977) [N 29°29'51.74]</v>
      </c>
      <c r="F158" s="1078"/>
      <c r="G158" s="1078"/>
      <c r="H158" s="1078"/>
      <c r="I158" s="1078"/>
      <c r="J158" s="1078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25" t="s">
        <v>462</v>
      </c>
      <c r="D159" s="1326"/>
      <c r="E159" s="1041" t="str" cm="1">
        <f t="array" ref="E159">angleDecimal2Txt(H116,0)</f>
        <v>+359°59.80</v>
      </c>
      <c r="F159" s="1042"/>
      <c r="G159" s="1042"/>
      <c r="H159" s="1042"/>
      <c r="I159" s="1042"/>
      <c r="J159" s="1043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94" zoomScale="85" zoomScaleNormal="85" workbookViewId="0">
      <selection activeCell="M69" sqref="M69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05" t="s">
        <v>683</v>
      </c>
      <c r="B1" s="1405"/>
      <c r="C1" s="1405"/>
      <c r="D1" s="225"/>
      <c r="E1" s="225"/>
    </row>
    <row r="2" spans="1:66">
      <c r="B2" s="371" t="s">
        <v>666</v>
      </c>
      <c r="C2" s="371"/>
      <c r="D2" s="371"/>
      <c r="E2" s="371"/>
      <c r="F2" s="383" t="s">
        <v>667</v>
      </c>
      <c r="G2" s="383"/>
      <c r="H2" s="383"/>
      <c r="I2" s="383"/>
      <c r="J2" s="371" t="s">
        <v>732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1" t="s">
        <v>663</v>
      </c>
      <c r="D3" s="381"/>
      <c r="E3" s="381"/>
      <c r="G3" s="381" t="s">
        <v>668</v>
      </c>
      <c r="H3" s="381"/>
      <c r="I3" s="381"/>
      <c r="K3" s="381" t="s">
        <v>735</v>
      </c>
      <c r="L3" s="252" t="s">
        <v>737</v>
      </c>
      <c r="M3" s="1446" t="s">
        <v>733</v>
      </c>
      <c r="N3" s="1446"/>
      <c r="O3" s="1446"/>
      <c r="P3" s="1446"/>
      <c r="Q3" s="368" t="s">
        <v>90</v>
      </c>
      <c r="R3" s="382" t="s">
        <v>734</v>
      </c>
      <c r="S3" s="382"/>
      <c r="T3" s="382"/>
      <c r="U3" s="252"/>
    </row>
    <row r="4" spans="1:66">
      <c r="C4" s="381" t="s">
        <v>664</v>
      </c>
      <c r="D4" s="381"/>
      <c r="E4" s="381"/>
      <c r="G4" s="381" t="s">
        <v>669</v>
      </c>
      <c r="H4" s="381"/>
      <c r="I4" s="381"/>
      <c r="K4" s="381" t="s">
        <v>739</v>
      </c>
      <c r="L4" s="252" t="s">
        <v>738</v>
      </c>
      <c r="M4" s="1446" t="s">
        <v>736</v>
      </c>
      <c r="N4" s="1446"/>
      <c r="O4" s="1446"/>
      <c r="P4" s="1446"/>
      <c r="Q4" s="252"/>
      <c r="R4" s="252"/>
      <c r="S4" s="252"/>
      <c r="T4" s="252"/>
      <c r="U4" s="252"/>
    </row>
    <row r="5" spans="1:66">
      <c r="C5" s="381" t="s">
        <v>665</v>
      </c>
      <c r="D5" s="381"/>
      <c r="E5" s="381"/>
      <c r="G5" s="381" t="s">
        <v>670</v>
      </c>
      <c r="H5" s="381"/>
      <c r="I5" s="381"/>
    </row>
    <row r="6" spans="1:66">
      <c r="K6" t="s">
        <v>740</v>
      </c>
    </row>
    <row r="7" spans="1:66">
      <c r="L7" s="381" t="s">
        <v>741</v>
      </c>
      <c r="M7" s="381"/>
      <c r="N7" s="381"/>
      <c r="O7" s="381"/>
      <c r="P7" s="381"/>
    </row>
    <row r="8" spans="1:66">
      <c r="L8" s="381" t="s">
        <v>742</v>
      </c>
      <c r="M8" s="381"/>
      <c r="N8" s="381"/>
      <c r="O8" s="381"/>
      <c r="P8" s="381"/>
    </row>
    <row r="9" spans="1:66" ht="15.75" thickBot="1"/>
    <row r="10" spans="1:66" s="16" customFormat="1" ht="17.25" customHeight="1" thickBot="1">
      <c r="B10" s="1399" t="s">
        <v>1</v>
      </c>
      <c r="C10" s="1401"/>
      <c r="D10" s="1401"/>
      <c r="E10" s="94" t="str" cm="1">
        <f t="array" ref="E10">dateDecimale2txt(dateConvert2Decimal(E11),0)</f>
        <v>2007/04/23</v>
      </c>
      <c r="F10" s="94"/>
      <c r="G10" s="26" t="s">
        <v>316</v>
      </c>
      <c r="H10" s="26"/>
      <c r="I10" s="26"/>
      <c r="J10" s="26"/>
      <c r="K10" s="26"/>
      <c r="L10" s="26" t="s">
        <v>317</v>
      </c>
      <c r="M10" s="807">
        <f>dateConvert2Decimal(E11)</f>
        <v>1177286400</v>
      </c>
      <c r="N10" s="807"/>
      <c r="O10" s="364"/>
      <c r="P10" s="26" t="s">
        <v>318</v>
      </c>
      <c r="Q10" s="783">
        <f>(M10/86400)+DATE(1970,1,1)</f>
        <v>39195</v>
      </c>
      <c r="R10" s="783"/>
      <c r="S10" s="26" t="s">
        <v>319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742" t="s">
        <v>1</v>
      </c>
      <c r="D11" s="743"/>
      <c r="E11" s="780" t="s">
        <v>753</v>
      </c>
      <c r="F11" s="781"/>
      <c r="G11" s="781"/>
      <c r="H11" s="366" t="s">
        <v>755</v>
      </c>
      <c r="I11" s="1409">
        <f>T10</f>
        <v>4</v>
      </c>
      <c r="J11" s="1409"/>
      <c r="K11" s="1409"/>
      <c r="L11" s="771"/>
      <c r="M11" s="771"/>
      <c r="N11" s="771"/>
      <c r="O11" s="77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399" t="s">
        <v>18</v>
      </c>
      <c r="C13" s="1401"/>
      <c r="D13" s="1401"/>
      <c r="E13" s="1401"/>
      <c r="F13" s="1401"/>
      <c r="G13" s="1401"/>
      <c r="H13" s="1401"/>
      <c r="I13" s="1401"/>
      <c r="J13" s="1401"/>
      <c r="K13" s="1401"/>
      <c r="L13" s="1401"/>
      <c r="M13" s="1401"/>
      <c r="N13" s="1401"/>
      <c r="O13" s="1401"/>
      <c r="P13" s="1401"/>
      <c r="Q13" s="1401"/>
      <c r="R13" s="1401"/>
      <c r="S13" s="1401"/>
      <c r="T13" s="1401"/>
      <c r="U13" s="1401"/>
      <c r="V13" s="1401"/>
      <c r="W13" s="1401"/>
      <c r="X13" s="1401"/>
      <c r="Y13" s="1401"/>
      <c r="Z13" s="1402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23" t="s">
        <v>19</v>
      </c>
      <c r="D14" s="1423"/>
      <c r="E14" s="1423"/>
      <c r="F14" s="1423"/>
      <c r="G14" s="1423"/>
      <c r="H14" s="1423"/>
      <c r="I14" s="1423"/>
      <c r="J14" s="654">
        <f>M14</f>
        <v>4</v>
      </c>
      <c r="K14" s="655"/>
      <c r="L14" s="656"/>
      <c r="M14" s="716">
        <v>4</v>
      </c>
      <c r="N14" s="716"/>
      <c r="O14" s="716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13" t="s">
        <v>696</v>
      </c>
      <c r="D15" s="1414"/>
      <c r="E15" s="1414"/>
      <c r="F15" s="1414"/>
      <c r="G15" s="1414"/>
      <c r="H15" s="1414"/>
      <c r="I15" s="1415"/>
      <c r="J15" s="556" cm="1">
        <f t="array" ref="J15">angleConvert2Decimal(M15)</f>
        <v>0</v>
      </c>
      <c r="K15" s="653"/>
      <c r="L15" s="653"/>
      <c r="M15" s="715" t="s">
        <v>697</v>
      </c>
      <c r="N15" s="716"/>
      <c r="O15" s="716"/>
      <c r="P15" s="557" t="str" cm="1">
        <f t="array" ref="P15">angleDecimal2Txt(J15)</f>
        <v>+00°00.00 (+00.0000) [+00°00'00.00]</v>
      </c>
      <c r="Q15" s="557"/>
      <c r="R15" s="557"/>
      <c r="S15" s="557"/>
      <c r="T15" s="557"/>
      <c r="U15" s="557"/>
      <c r="V15" s="557"/>
      <c r="W15" s="557"/>
      <c r="X15" s="557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410" t="s">
        <v>65</v>
      </c>
      <c r="D16" s="1411"/>
      <c r="E16" s="1411"/>
      <c r="F16" s="1411"/>
      <c r="G16" s="1411"/>
      <c r="H16" s="1411"/>
      <c r="I16" s="1412"/>
      <c r="J16" s="556" cm="1">
        <f t="array" ref="J16">angleConvert2Decimal(M16)</f>
        <v>10</v>
      </c>
      <c r="K16" s="653"/>
      <c r="L16" s="653"/>
      <c r="M16" s="1417">
        <v>10</v>
      </c>
      <c r="N16" s="1418"/>
      <c r="O16" s="1418"/>
    </row>
    <row r="17" spans="2:31">
      <c r="C17" s="1410" t="s">
        <v>66</v>
      </c>
      <c r="D17" s="1411"/>
      <c r="E17" s="1411"/>
      <c r="F17" s="1411"/>
      <c r="G17" s="1411"/>
      <c r="H17" s="1411"/>
      <c r="I17" s="1412"/>
      <c r="J17" s="556" cm="1">
        <f t="array" ref="J17">angleConvert2Decimal(M17)</f>
        <v>1011</v>
      </c>
      <c r="K17" s="653"/>
      <c r="L17" s="653"/>
      <c r="M17" s="1421">
        <v>1011</v>
      </c>
      <c r="N17" s="1422"/>
      <c r="O17" s="1422"/>
    </row>
    <row r="18" spans="2:31" ht="15.75" thickBot="1">
      <c r="C18" s="1410" t="s">
        <v>743</v>
      </c>
      <c r="D18" s="1411"/>
      <c r="E18" s="1411"/>
      <c r="F18" s="1411"/>
      <c r="G18" s="1411"/>
      <c r="H18" s="1411"/>
      <c r="I18" s="1412"/>
      <c r="J18" s="1424" t="s">
        <v>744</v>
      </c>
      <c r="K18" s="1424"/>
      <c r="L18" s="1424"/>
      <c r="M18" s="1424"/>
      <c r="N18" s="1424"/>
      <c r="O18" s="1424"/>
      <c r="R18" t="s">
        <v>744</v>
      </c>
      <c r="S18" t="s">
        <v>745</v>
      </c>
    </row>
    <row r="19" spans="2:31" ht="16.5" thickTop="1" thickBot="1">
      <c r="C19" s="1410" t="s">
        <v>751</v>
      </c>
      <c r="D19" s="1411"/>
      <c r="E19" s="1411"/>
      <c r="F19" s="1411"/>
      <c r="G19" s="1411"/>
      <c r="H19" s="1411"/>
      <c r="I19" s="1412"/>
      <c r="J19" s="384">
        <f>IF(J18=R18,J20,12+R22)</f>
        <v>14</v>
      </c>
      <c r="K19" s="1425" t="str">
        <f>heureDecimal2Txt(J19)</f>
        <v>14:00:00.00(14.0000)</v>
      </c>
      <c r="L19" s="1425"/>
      <c r="M19" s="1425"/>
      <c r="N19" s="1425"/>
      <c r="O19" s="1425"/>
    </row>
    <row r="20" spans="2:31" ht="15.75" thickTop="1">
      <c r="C20" s="1410" t="s">
        <v>752</v>
      </c>
      <c r="D20" s="1411"/>
      <c r="E20" s="1411"/>
      <c r="F20" s="1411"/>
      <c r="G20" s="1411"/>
      <c r="H20" s="1411"/>
      <c r="I20" s="1412"/>
      <c r="J20" s="556">
        <f>heureConvert2Decimal(M20)</f>
        <v>14</v>
      </c>
      <c r="K20" s="653"/>
      <c r="L20" s="653"/>
      <c r="M20" s="1421" t="s">
        <v>746</v>
      </c>
      <c r="N20" s="1422"/>
      <c r="O20" s="1422"/>
    </row>
    <row r="21" spans="2:31">
      <c r="C21" s="1410" t="s">
        <v>747</v>
      </c>
      <c r="D21" s="1411"/>
      <c r="E21" s="1411"/>
      <c r="F21" s="1411"/>
      <c r="G21" s="1411"/>
      <c r="H21" s="1411"/>
      <c r="I21" s="1412"/>
      <c r="J21" s="556" cm="1">
        <f t="array" ref="J21">angleConvert2Decimal(M21)</f>
        <v>49</v>
      </c>
      <c r="K21" s="653"/>
      <c r="L21" s="653"/>
      <c r="M21" s="1421" t="s">
        <v>749</v>
      </c>
      <c r="N21" s="1422"/>
      <c r="O21" s="1422"/>
    </row>
    <row r="22" spans="2:31">
      <c r="C22" s="1410" t="s">
        <v>748</v>
      </c>
      <c r="D22" s="1411"/>
      <c r="E22" s="1411"/>
      <c r="F22" s="1411"/>
      <c r="G22" s="1411"/>
      <c r="H22" s="1411"/>
      <c r="I22" s="1412"/>
      <c r="J22" s="556" cm="1">
        <f t="array" ref="J22">angleConvert2Decimal(M22)</f>
        <v>-8</v>
      </c>
      <c r="K22" s="653"/>
      <c r="L22" s="653"/>
      <c r="M22" s="1421" t="s">
        <v>750</v>
      </c>
      <c r="N22" s="1422"/>
      <c r="O22" s="1422"/>
      <c r="R22">
        <f>-1*angleConvert2Decimal(M22)/15.002</f>
        <v>0.53326223170243969</v>
      </c>
    </row>
    <row r="24" spans="2:31" ht="15.75" thickBot="1"/>
    <row r="25" spans="2:31" ht="15.75" thickBot="1">
      <c r="B25" s="1399" t="s">
        <v>56</v>
      </c>
      <c r="C25" s="1400"/>
      <c r="D25" s="1400"/>
      <c r="E25" s="1400"/>
      <c r="F25" s="1400"/>
      <c r="G25" s="1400"/>
      <c r="H25" s="1400"/>
      <c r="I25" s="1400"/>
      <c r="J25" s="1400"/>
      <c r="K25" s="1400"/>
      <c r="L25" s="1400"/>
      <c r="M25" s="1400"/>
      <c r="N25" s="1400"/>
      <c r="O25" s="1400"/>
      <c r="P25" s="1400"/>
      <c r="Q25" s="1400"/>
      <c r="R25" s="1400"/>
      <c r="S25" s="1400"/>
      <c r="T25" s="1400"/>
      <c r="U25" s="1401"/>
      <c r="V25" s="1401"/>
      <c r="W25" s="1401"/>
      <c r="X25" s="1401"/>
      <c r="Y25" s="1401"/>
      <c r="Z25" s="1402"/>
    </row>
    <row r="26" spans="2:31" ht="16.5" thickTop="1" thickBot="1">
      <c r="B26" s="16"/>
      <c r="C26" s="924" t="s">
        <v>33</v>
      </c>
      <c r="D26" s="924"/>
      <c r="E26" s="924"/>
      <c r="F26" s="924"/>
      <c r="G26" s="436"/>
      <c r="H26" s="422"/>
      <c r="I26" s="1141" t="s">
        <v>60</v>
      </c>
      <c r="J26" s="1141"/>
      <c r="K26" s="1147" cm="1">
        <f t="array" ref="K26">angleConvert2Decimal(M26)</f>
        <v>32.983333333333334</v>
      </c>
      <c r="L26" s="1147"/>
      <c r="M26" s="1416" t="s">
        <v>756</v>
      </c>
      <c r="N26" s="1416"/>
      <c r="O26" s="1416"/>
      <c r="P26" s="738" t="str">
        <f>angleDecimal2Txt(K26)</f>
        <v>+32°59.00 (+32.9833) [+32°59'00.00]</v>
      </c>
      <c r="Q26" s="738"/>
      <c r="R26" s="738"/>
      <c r="S26" s="738"/>
      <c r="T26" s="738"/>
      <c r="AA26" s="253" t="s">
        <v>31</v>
      </c>
    </row>
    <row r="27" spans="2:31" ht="16.5" thickTop="1" thickBot="1">
      <c r="B27" s="14"/>
      <c r="C27" s="924"/>
      <c r="D27" s="924"/>
      <c r="E27" s="924"/>
      <c r="F27" s="924"/>
      <c r="G27" s="1012"/>
      <c r="H27" s="1014"/>
      <c r="I27" s="1141" t="s">
        <v>688</v>
      </c>
      <c r="J27" s="1141"/>
      <c r="K27" s="1426" t="str">
        <f>M27</f>
        <v>Bord inf.</v>
      </c>
      <c r="L27" s="1427"/>
      <c r="M27" s="1428" t="s">
        <v>689</v>
      </c>
      <c r="N27" s="1428"/>
      <c r="O27" s="1428"/>
      <c r="P27" s="738"/>
      <c r="Q27" s="738"/>
      <c r="R27" s="738"/>
      <c r="S27" s="738"/>
      <c r="T27" s="738"/>
    </row>
    <row r="28" spans="2:31" ht="16.5" thickTop="1" thickBot="1">
      <c r="B28" s="14"/>
      <c r="C28" s="420" t="s">
        <v>31</v>
      </c>
      <c r="D28" s="420"/>
      <c r="E28" s="420"/>
      <c r="F28" s="420"/>
      <c r="G28" s="428" t="s">
        <v>31</v>
      </c>
      <c r="H28" s="428"/>
      <c r="I28" s="1141" t="s">
        <v>60</v>
      </c>
      <c r="J28" s="1141"/>
      <c r="K28" s="1147" cm="1">
        <f t="array" ref="K28">angleConvert2Decimal(M28)</f>
        <v>49.674999999999997</v>
      </c>
      <c r="L28" s="1147"/>
      <c r="M28" s="1416" t="s">
        <v>672</v>
      </c>
      <c r="N28" s="1416"/>
      <c r="O28" s="1416"/>
      <c r="P28" s="738" t="str">
        <f>angleDecimal2Txt(K28)</f>
        <v>+49°40.50 (+49.6749) [+49°40'30.00]</v>
      </c>
      <c r="Q28" s="738"/>
      <c r="R28" s="738"/>
      <c r="S28" s="738"/>
      <c r="T28" s="738"/>
    </row>
    <row r="29" spans="2:31" ht="16.5" thickTop="1" thickBot="1">
      <c r="C29" s="420"/>
      <c r="D29" s="420"/>
      <c r="E29" s="420"/>
      <c r="F29" s="420"/>
      <c r="G29" s="428"/>
      <c r="H29" s="428"/>
      <c r="I29" s="1141" t="s">
        <v>688</v>
      </c>
      <c r="J29" s="1141"/>
      <c r="K29" s="1426" t="str">
        <f>M29</f>
        <v>Bord inf.</v>
      </c>
      <c r="L29" s="1427"/>
      <c r="M29" s="1428" t="s">
        <v>689</v>
      </c>
      <c r="N29" s="1428"/>
      <c r="O29" s="1428"/>
      <c r="P29" s="738"/>
      <c r="Q29" s="738"/>
      <c r="R29" s="738"/>
      <c r="S29" s="738"/>
      <c r="T29" s="738"/>
      <c r="AA29" s="367" t="s">
        <v>689</v>
      </c>
      <c r="AC29" s="367" t="s">
        <v>776</v>
      </c>
      <c r="AE29" t="s">
        <v>778</v>
      </c>
    </row>
    <row r="30" spans="2:31" ht="15.75" thickTop="1">
      <c r="C30" s="924" t="s">
        <v>684</v>
      </c>
      <c r="D30" s="924"/>
      <c r="E30" s="924"/>
      <c r="F30" s="924"/>
      <c r="G30" s="1430"/>
      <c r="H30" s="1430"/>
      <c r="I30" s="1284" t="s">
        <v>60</v>
      </c>
      <c r="J30" s="1284"/>
      <c r="K30" s="1458" cm="1">
        <f t="array" ref="K30">angleConvert2Decimal(M30)</f>
        <v>81.825000000000003</v>
      </c>
      <c r="L30" s="1458"/>
      <c r="M30" s="1457" t="s">
        <v>757</v>
      </c>
      <c r="N30" s="1457"/>
      <c r="O30" s="1457"/>
      <c r="P30" s="1379" t="str">
        <f>angleDecimal2Txt(K30)</f>
        <v>+81°49.50 (+81.8250) [+81°49'30.00]</v>
      </c>
      <c r="Q30" s="1380"/>
      <c r="R30" s="1380"/>
      <c r="S30" s="1380"/>
      <c r="T30" s="1381"/>
      <c r="AA30" s="367" t="s">
        <v>690</v>
      </c>
      <c r="AC30" s="367" t="s">
        <v>777</v>
      </c>
      <c r="AE30" t="s">
        <v>779</v>
      </c>
    </row>
    <row r="31" spans="2:31">
      <c r="C31" s="924"/>
      <c r="D31" s="924"/>
      <c r="E31" s="924"/>
      <c r="F31" s="924"/>
      <c r="G31" s="1430"/>
      <c r="H31" s="1430"/>
      <c r="I31" s="1141" t="s">
        <v>688</v>
      </c>
      <c r="J31" s="1141"/>
      <c r="K31" s="1426" t="str">
        <f>M31</f>
        <v>Bord inf. Lune</v>
      </c>
      <c r="L31" s="1427"/>
      <c r="M31" s="1428" t="s">
        <v>776</v>
      </c>
      <c r="N31" s="1428"/>
      <c r="O31" s="1428"/>
      <c r="P31" s="1382"/>
      <c r="Q31" s="1383"/>
      <c r="R31" s="1383"/>
      <c r="S31" s="1383"/>
      <c r="T31" s="1384"/>
      <c r="AA31" s="367" t="s">
        <v>58</v>
      </c>
      <c r="AC31" s="367"/>
    </row>
    <row r="32" spans="2:31" ht="15.75" thickBot="1">
      <c r="C32" s="924"/>
      <c r="D32" s="924"/>
      <c r="E32" s="924"/>
      <c r="F32" s="924"/>
      <c r="G32" s="1430"/>
      <c r="H32" s="1430"/>
      <c r="I32" s="1141" t="s">
        <v>688</v>
      </c>
      <c r="J32" s="1141"/>
      <c r="K32" s="1426" t="str">
        <f>M32</f>
        <v>Bord inf. Soleil</v>
      </c>
      <c r="L32" s="1427"/>
      <c r="M32" s="1428" t="s">
        <v>778</v>
      </c>
      <c r="N32" s="1428"/>
      <c r="O32" s="1428"/>
      <c r="P32" s="1385"/>
      <c r="Q32" s="1386"/>
      <c r="R32" s="1386"/>
      <c r="S32" s="1386"/>
      <c r="T32" s="1387"/>
    </row>
    <row r="33" spans="2:28" ht="16.5" thickTop="1" thickBot="1"/>
    <row r="34" spans="2:28" ht="15.75" thickBot="1">
      <c r="B34" s="1399" t="s">
        <v>692</v>
      </c>
      <c r="C34" s="1400"/>
      <c r="D34" s="1400"/>
      <c r="E34" s="1400"/>
      <c r="F34" s="1400"/>
      <c r="G34" s="1400"/>
      <c r="H34" s="1400"/>
      <c r="I34" s="1401"/>
      <c r="J34" s="1401"/>
      <c r="K34" s="1401"/>
      <c r="L34" s="1401"/>
      <c r="M34" s="1401"/>
      <c r="N34" s="1401"/>
      <c r="O34" s="1401"/>
      <c r="P34" s="1401"/>
      <c r="Q34" s="1401"/>
      <c r="R34" s="1401"/>
      <c r="S34" s="1401"/>
      <c r="T34" s="1401"/>
      <c r="U34" s="1401"/>
      <c r="V34" s="1401"/>
      <c r="W34" s="1401"/>
      <c r="X34" s="1401"/>
      <c r="Y34" s="1401"/>
      <c r="Z34" s="1402"/>
    </row>
    <row r="35" spans="2:28" ht="16.5" thickTop="1" thickBot="1">
      <c r="C35" s="1398" t="s">
        <v>33</v>
      </c>
      <c r="D35" s="1398"/>
      <c r="E35" s="1398"/>
      <c r="F35" s="1398"/>
      <c r="G35" s="369"/>
      <c r="H35" s="91"/>
      <c r="I35" s="1419" t="s">
        <v>278</v>
      </c>
      <c r="J35" s="1420"/>
      <c r="K35" s="641" cm="1">
        <f t="array" ref="K35">angleConvert2Decimal(M35)</f>
        <v>0.94833333333333336</v>
      </c>
      <c r="L35" s="641"/>
      <c r="M35" s="1397" t="s">
        <v>754</v>
      </c>
      <c r="N35" s="1397"/>
      <c r="O35" s="1397"/>
      <c r="P35" s="1388" t="str">
        <f>angleDecimal2Txt(K35)</f>
        <v>+00°56.89 (+00.9483) [+00°56'54.00]</v>
      </c>
      <c r="Q35" s="1389"/>
      <c r="R35" s="1389"/>
      <c r="S35" s="1389"/>
      <c r="T35" s="1390"/>
    </row>
    <row r="36" spans="2:28" ht="16.5" thickTop="1" thickBot="1"/>
    <row r="37" spans="2:28" ht="15.75" thickBot="1">
      <c r="B37" s="1399" t="s">
        <v>100</v>
      </c>
      <c r="C37" s="1401"/>
      <c r="D37" s="1401"/>
      <c r="E37" s="1401"/>
      <c r="F37" s="1401"/>
      <c r="G37" s="1401"/>
      <c r="H37" s="1401"/>
      <c r="I37" s="1401"/>
      <c r="J37" s="1401"/>
      <c r="K37" s="1401"/>
      <c r="L37" s="1401"/>
      <c r="M37" s="1401"/>
      <c r="N37" s="1401"/>
      <c r="O37" s="1401"/>
      <c r="P37" s="1401"/>
      <c r="Q37" s="1401"/>
      <c r="R37" s="1401"/>
      <c r="S37" s="1401"/>
      <c r="T37" s="1401"/>
      <c r="U37" s="1401"/>
      <c r="V37" s="1401"/>
      <c r="W37" s="1401"/>
      <c r="X37" s="1401"/>
      <c r="Y37" s="1401"/>
      <c r="Z37" s="1402"/>
    </row>
    <row r="38" spans="2:28" ht="15.75" thickBot="1">
      <c r="C38" t="s">
        <v>693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31" t="str">
        <f>angleDecimal2Txt(F39)</f>
        <v>+00°31.99 (+00.5333) [+00°31'59.99]</v>
      </c>
      <c r="H39" s="1431"/>
      <c r="I39" s="1431"/>
      <c r="J39" s="1431"/>
      <c r="K39" s="1431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31" t="str">
        <f>angleDecimal2Txt(F40)</f>
        <v>+00°31.05 (+00.5176) [+00°31'03.49]</v>
      </c>
      <c r="H40" s="1431"/>
      <c r="I40" s="1431"/>
      <c r="J40" s="1431"/>
      <c r="K40" s="1431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399" t="s">
        <v>95</v>
      </c>
      <c r="C42" s="1401"/>
      <c r="D42" s="1401"/>
      <c r="E42" s="1401"/>
      <c r="F42" s="1401"/>
      <c r="G42" s="1401"/>
      <c r="H42" s="1401"/>
      <c r="I42" s="1401"/>
      <c r="J42" s="1401"/>
      <c r="K42" s="1401"/>
      <c r="L42" s="1401"/>
      <c r="M42" s="1401"/>
      <c r="N42" s="1401"/>
      <c r="O42" s="1401"/>
      <c r="P42" s="1401"/>
      <c r="Q42" s="1401"/>
      <c r="R42" s="1401"/>
      <c r="S42" s="1401"/>
      <c r="T42" s="1401"/>
      <c r="U42" s="1401"/>
      <c r="V42" s="1401"/>
      <c r="W42" s="1401"/>
      <c r="X42" s="1401"/>
      <c r="Y42" s="1401"/>
      <c r="Z42" s="1402"/>
    </row>
    <row r="43" spans="2:28">
      <c r="F43" s="1396" t="s">
        <v>31</v>
      </c>
      <c r="G43" s="1396"/>
      <c r="H43" s="1396"/>
      <c r="I43" s="1396"/>
      <c r="J43" s="1396" t="s">
        <v>33</v>
      </c>
      <c r="K43" s="1396"/>
      <c r="L43" s="1396"/>
      <c r="M43" s="1396"/>
      <c r="N43" s="1396" t="s">
        <v>685</v>
      </c>
      <c r="O43" s="1396"/>
      <c r="P43" s="1396"/>
      <c r="Q43" s="1396"/>
      <c r="R43" s="1396"/>
    </row>
    <row r="44" spans="2:28" ht="15.75" thickBot="1">
      <c r="C44" s="1454" t="s">
        <v>60</v>
      </c>
      <c r="D44" s="1454"/>
      <c r="E44" s="1454"/>
      <c r="F44" s="444">
        <f>$K$28</f>
        <v>49.674999999999997</v>
      </c>
      <c r="G44" s="444"/>
      <c r="H44" s="444"/>
      <c r="I44" s="444"/>
      <c r="J44" s="444">
        <f>$K$26</f>
        <v>32.983333333333334</v>
      </c>
      <c r="K44" s="444"/>
      <c r="L44" s="444"/>
      <c r="M44" s="444"/>
      <c r="N44" s="1391" t="s">
        <v>698</v>
      </c>
      <c r="O44" s="1239">
        <f>$K$30</f>
        <v>81.825000000000003</v>
      </c>
      <c r="P44" s="444"/>
      <c r="Q44" s="444"/>
      <c r="R44" s="444"/>
    </row>
    <row r="45" spans="2:28" ht="16.5" thickTop="1" thickBot="1">
      <c r="C45" s="1454"/>
      <c r="D45" s="1454"/>
      <c r="E45" s="1454"/>
      <c r="F45" s="1429" t="str">
        <f>angleDecimal2Txt(F44)</f>
        <v>+49°40.50 (+49.6749) [+49°40'30.00]</v>
      </c>
      <c r="G45" s="1429"/>
      <c r="H45" s="1429"/>
      <c r="I45" s="1429"/>
      <c r="J45" s="1429" t="str">
        <f>angleDecimal2Txt(J44)</f>
        <v>+32°59.00 (+32.9833) [+32°59'00.00]</v>
      </c>
      <c r="K45" s="1429"/>
      <c r="L45" s="1429"/>
      <c r="M45" s="1429"/>
      <c r="N45" s="1392"/>
      <c r="O45" s="1439" t="str">
        <f>angleDecimal2Txt(O44)</f>
        <v>+81°49.50 (+81.8250) [+81°49'30.00]</v>
      </c>
      <c r="P45" s="1429"/>
      <c r="Q45" s="1429"/>
      <c r="R45" s="1429"/>
    </row>
    <row r="46" spans="2:28" ht="18.75" thickTop="1">
      <c r="D46" s="1455" t="s">
        <v>686</v>
      </c>
      <c r="E46" s="1456"/>
      <c r="F46" s="444">
        <f>$J$15*(-1)</f>
        <v>0</v>
      </c>
      <c r="G46" s="444"/>
      <c r="H46" s="444"/>
      <c r="I46" s="444"/>
      <c r="J46" s="444">
        <f>$J$15*(-1)</f>
        <v>0</v>
      </c>
      <c r="K46" s="444"/>
      <c r="L46" s="444"/>
      <c r="M46" s="444"/>
      <c r="N46" s="444">
        <f>$J$15*(-1)</f>
        <v>0</v>
      </c>
      <c r="O46" s="444"/>
      <c r="P46" s="444"/>
      <c r="Q46" s="444"/>
      <c r="R46" s="444"/>
      <c r="AA46" s="3" t="s">
        <v>46</v>
      </c>
      <c r="AB46" s="3">
        <f>J14</f>
        <v>4</v>
      </c>
    </row>
    <row r="47" spans="2:28">
      <c r="D47" s="1432" t="s">
        <v>403</v>
      </c>
      <c r="E47" s="1433"/>
      <c r="F47" s="1141">
        <f>$AB$47</f>
        <v>5.8599999999999999E-2</v>
      </c>
      <c r="G47" s="1141"/>
      <c r="H47" s="1141"/>
      <c r="I47" s="1141"/>
      <c r="J47" s="1141">
        <f>$AB$47</f>
        <v>5.8599999999999999E-2</v>
      </c>
      <c r="K47" s="1141"/>
      <c r="L47" s="1141"/>
      <c r="M47" s="1141"/>
      <c r="N47" s="1141" t="s">
        <v>704</v>
      </c>
      <c r="O47" s="1141"/>
      <c r="P47" s="1141"/>
      <c r="Q47" s="1141"/>
      <c r="R47" s="1141"/>
      <c r="AA47" s="72" t="s">
        <v>67</v>
      </c>
      <c r="AB47" s="3">
        <f>0.0293 * SQRT(AB46)</f>
        <v>5.8599999999999999E-2</v>
      </c>
    </row>
    <row r="48" spans="2:28" ht="15.75" thickBot="1">
      <c r="C48" s="1430" t="s">
        <v>758</v>
      </c>
      <c r="D48" s="1430"/>
      <c r="E48" s="1430"/>
      <c r="F48" s="1403">
        <f>F44+F46-F47</f>
        <v>49.616399999999999</v>
      </c>
      <c r="G48" s="1404"/>
      <c r="H48" s="385">
        <f>F48*Outils!$F$4</f>
        <v>0.86596954298651452</v>
      </c>
      <c r="I48" s="388" t="s">
        <v>694</v>
      </c>
      <c r="J48" s="1403">
        <f>J44+J46-J47</f>
        <v>32.924733333333336</v>
      </c>
      <c r="K48" s="1404"/>
      <c r="L48" s="385">
        <f>J48*Outils!$F$4</f>
        <v>0.57464500200779445</v>
      </c>
      <c r="M48" s="389" t="s">
        <v>64</v>
      </c>
      <c r="N48" s="1408" t="s">
        <v>703</v>
      </c>
      <c r="O48" s="1404">
        <f>O44+N46</f>
        <v>81.825000000000003</v>
      </c>
      <c r="P48" s="1434"/>
      <c r="Q48" s="385">
        <f>O48*Outils!$F$4</f>
        <v>1.4281156604443601</v>
      </c>
      <c r="R48" s="388" t="s">
        <v>64</v>
      </c>
      <c r="AA48" s="72"/>
      <c r="AB48" s="3"/>
    </row>
    <row r="49" spans="3:34" ht="16.5" thickTop="1" thickBot="1">
      <c r="C49" s="1430"/>
      <c r="D49" s="1430"/>
      <c r="E49" s="1430"/>
      <c r="F49" s="1429" t="str">
        <f>angleDecimal2Txt(F48)</f>
        <v>+49°36.98 (+49.6163) [+49°36'59.04]</v>
      </c>
      <c r="G49" s="1429"/>
      <c r="H49" s="1429"/>
      <c r="I49" s="1429"/>
      <c r="J49" s="1429" t="str">
        <f>angleDecimal2Txt(J48)</f>
        <v>+32°55.48 (+32.9247) [+32°55'29.04]</v>
      </c>
      <c r="K49" s="1429"/>
      <c r="L49" s="1429"/>
      <c r="M49" s="1429"/>
      <c r="N49" s="1284"/>
      <c r="O49" s="1439" t="str">
        <f>angleDecimal2Txt(O48)</f>
        <v>+81°49.50 (+81.8250) [+81°49'30.00]</v>
      </c>
      <c r="P49" s="1429"/>
      <c r="Q49" s="1429"/>
      <c r="R49" s="1429"/>
      <c r="AA49" s="72"/>
      <c r="AB49" s="3"/>
    </row>
    <row r="50" spans="3:34" ht="15.75" thickTop="1">
      <c r="D50" s="1432" t="s">
        <v>687</v>
      </c>
      <c r="E50" s="1433"/>
      <c r="F50" s="444" t="str">
        <f>K29</f>
        <v>Bord inf.</v>
      </c>
      <c r="G50" s="444"/>
      <c r="H50" s="444"/>
      <c r="I50" s="444"/>
      <c r="J50" s="444" t="str">
        <f>K27</f>
        <v>Bord inf.</v>
      </c>
      <c r="K50" s="444"/>
      <c r="L50" s="444"/>
      <c r="M50" s="444"/>
      <c r="N50" s="444" t="str">
        <f>K31</f>
        <v>Bord inf. Lune</v>
      </c>
      <c r="O50" s="444"/>
      <c r="P50" s="444"/>
      <c r="Q50" s="444" t="str">
        <f>K32</f>
        <v>Bord inf. Soleil</v>
      </c>
      <c r="R50" s="444"/>
    </row>
    <row r="51" spans="3:34" ht="15.75" thickBot="1">
      <c r="D51" s="1432" t="s">
        <v>100</v>
      </c>
      <c r="E51" s="1433"/>
      <c r="F51" s="444">
        <f>F39</f>
        <v>0.53333333299999997</v>
      </c>
      <c r="G51" s="444"/>
      <c r="H51" s="444"/>
      <c r="I51" s="444"/>
      <c r="J51" s="1141">
        <f>F40</f>
        <v>0.51763780940000004</v>
      </c>
      <c r="K51" s="1141"/>
      <c r="L51" s="1141"/>
      <c r="M51" s="1141"/>
      <c r="N51" s="1141">
        <f>F51</f>
        <v>0.53333333299999997</v>
      </c>
      <c r="O51" s="1141"/>
      <c r="P51" s="1141"/>
      <c r="Q51" s="1141">
        <f>J51</f>
        <v>0.51763780940000004</v>
      </c>
      <c r="R51" s="1141"/>
      <c r="AA51" s="253" t="s">
        <v>691</v>
      </c>
      <c r="AB51" s="253"/>
    </row>
    <row r="52" spans="3:34" ht="16.5" thickTop="1" thickBot="1">
      <c r="D52" s="1435" t="s">
        <v>71</v>
      </c>
      <c r="E52" s="1436"/>
      <c r="F52" s="1393">
        <f>F51*VLOOKUP(F50,$AA$52:$AB$56,2,FALSE)</f>
        <v>0.26666666649999998</v>
      </c>
      <c r="G52" s="1395" t="str">
        <f>angleDecimal2Txt((F52))</f>
        <v>+00°15.99 (+00.2666) [+00°15'59.99]</v>
      </c>
      <c r="H52" s="1395"/>
      <c r="I52" s="1395"/>
      <c r="J52" s="1407">
        <f>J51*VLOOKUP(J50,$AA$52:$AB$56,2,FALSE)</f>
        <v>0.25881890470000002</v>
      </c>
      <c r="K52" s="1395" t="str">
        <f>angleDecimal2Txt((J52))</f>
        <v>+00°15.52 (+00.2588) [+00°15'31.74]</v>
      </c>
      <c r="L52" s="1395"/>
      <c r="M52" s="1395"/>
      <c r="N52" s="1141">
        <f>N51*VLOOKUP(N50,Z52:AB53,3,FALSE)</f>
        <v>0.26666666649999998</v>
      </c>
      <c r="O52" s="1141"/>
      <c r="P52" s="1141"/>
      <c r="Q52" s="1141">
        <f>Q51*VLOOKUP(Q50,Y52:AB53,4,FALSE)</f>
        <v>0.25881890470000002</v>
      </c>
      <c r="R52" s="1141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37"/>
      <c r="E53" s="1438"/>
      <c r="F53" s="1394"/>
      <c r="G53" s="1395"/>
      <c r="H53" s="1395"/>
      <c r="I53" s="1395"/>
      <c r="J53" s="1408"/>
      <c r="K53" s="1395"/>
      <c r="L53" s="1395"/>
      <c r="M53" s="1395"/>
      <c r="N53" s="1141">
        <f>(N52+Q52)</f>
        <v>0.52548557119999995</v>
      </c>
      <c r="O53" s="1141"/>
      <c r="P53" s="1141"/>
      <c r="Q53" s="1141"/>
      <c r="R53" s="1141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430" t="s">
        <v>766</v>
      </c>
      <c r="D54" s="1430"/>
      <c r="E54" s="1430"/>
      <c r="F54" s="1434">
        <f>F48+F52</f>
        <v>49.8830666665</v>
      </c>
      <c r="G54" s="1434"/>
      <c r="H54" s="385">
        <f>F54*Outils!$F$4</f>
        <v>0.87062375432225714</v>
      </c>
      <c r="I54" s="386" t="s">
        <v>694</v>
      </c>
      <c r="J54" s="1434">
        <f>J48+J52</f>
        <v>33.183552238033336</v>
      </c>
      <c r="K54" s="1434"/>
      <c r="L54" s="385">
        <f>J54*Outils!$F$4</f>
        <v>0.57916224406121486</v>
      </c>
      <c r="M54" s="387" t="s">
        <v>64</v>
      </c>
      <c r="N54" s="1408" t="s">
        <v>773</v>
      </c>
      <c r="O54" s="1404">
        <f>O48+N53</f>
        <v>82.350485571199997</v>
      </c>
      <c r="P54" s="1434"/>
      <c r="Q54" s="385">
        <f>O54*Outils!$F$4</f>
        <v>1.4372871138335233</v>
      </c>
      <c r="R54" s="386" t="s">
        <v>64</v>
      </c>
      <c r="AA54" s="253" t="str">
        <f>AA31</f>
        <v>Milieu</v>
      </c>
      <c r="AB54" s="253">
        <v>0</v>
      </c>
    </row>
    <row r="55" spans="3:34" ht="16.5" thickTop="1" thickBot="1">
      <c r="C55" s="1430"/>
      <c r="D55" s="1430"/>
      <c r="E55" s="1430"/>
      <c r="F55" s="1439" t="str">
        <f>angleDecimal2Txt(F54)</f>
        <v>+49°52.98 (+49.8830) [+49°52'59.03]</v>
      </c>
      <c r="G55" s="1429"/>
      <c r="H55" s="1429"/>
      <c r="I55" s="1429"/>
      <c r="J55" s="1429" t="str">
        <f>angleDecimal2Txt(J54)</f>
        <v>+33°11.01 (+33.1835) [+33°11'00.78]</v>
      </c>
      <c r="K55" s="1429"/>
      <c r="L55" s="1429"/>
      <c r="M55" s="1442"/>
      <c r="N55" s="1284"/>
      <c r="O55" s="1439" t="str">
        <f>angleDecimal2Txt(O54)</f>
        <v>+82°21.02 (+82.3504) [+82°21'01.74]</v>
      </c>
      <c r="P55" s="1429"/>
      <c r="Q55" s="1429"/>
      <c r="R55" s="1429"/>
      <c r="AA55" s="253"/>
      <c r="AB55" s="253"/>
    </row>
    <row r="56" spans="3:34" ht="16.5" thickTop="1" thickBot="1">
      <c r="E56" s="370" t="s">
        <v>695</v>
      </c>
      <c r="F56" s="374" cm="1">
        <f t="array" ref="F56">astroHPSoleilEnDegre()</f>
        <v>2.8833333333333302E-3</v>
      </c>
      <c r="G56" s="1406" t="str">
        <f>angleDecimal2Txt((F56))</f>
        <v>+00°00.17 (+00.0028) [+00°00'10.37]</v>
      </c>
      <c r="H56" s="1406"/>
      <c r="I56" s="1406"/>
      <c r="J56" s="374">
        <f>K35</f>
        <v>0.94833333333333336</v>
      </c>
      <c r="K56" s="1406" t="str">
        <f>angleDecimal2Txt((J56))</f>
        <v>+00°56.89 (+00.9483) [+00°56'54.00]</v>
      </c>
      <c r="L56" s="1406"/>
      <c r="M56" s="1406"/>
    </row>
    <row r="57" spans="3:34" ht="16.5" thickTop="1" thickBot="1">
      <c r="E57" s="253" t="s">
        <v>278</v>
      </c>
      <c r="F57" s="374">
        <f>AC58</f>
        <v>1.8578748766220486E-3</v>
      </c>
      <c r="G57" s="1406" t="str">
        <f>angleDecimal2Txt((F57))</f>
        <v>+00°00.11 (+00.0018) [+00°00'06.68]</v>
      </c>
      <c r="H57" s="1406"/>
      <c r="I57" s="1406"/>
      <c r="J57" s="375">
        <f>AC59</f>
        <v>0.79366966768813074</v>
      </c>
      <c r="K57" s="1406" t="str">
        <f>angleDecimal2Txt((J57))</f>
        <v>+00°47.62 (+00.7936) [+00°47'37.21]</v>
      </c>
      <c r="L57" s="1406"/>
      <c r="M57" s="1406"/>
      <c r="AA57" s="3" t="s">
        <v>760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06" t="str">
        <f>angleDecimal2Txt((F58))</f>
        <v>+00°00.83 (+00.0139) [+00°00'50.32]</v>
      </c>
      <c r="H58" s="1406"/>
      <c r="I58" s="1406"/>
      <c r="J58" s="375">
        <f>AC65</f>
        <v>2.5304558655161638E-2</v>
      </c>
      <c r="K58" s="1406" t="str">
        <f>angleDecimal2Txt((J58))</f>
        <v>+00°01.51 (+00.0253) [+00°01'31.09]</v>
      </c>
      <c r="L58" s="1406"/>
      <c r="M58" s="1406"/>
      <c r="Q58" s="92"/>
      <c r="AA58" s="1378" t="s">
        <v>759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720</v>
      </c>
      <c r="F59" s="366">
        <f>F57-F58+F52</f>
        <v>0.25454438367681936</v>
      </c>
      <c r="G59" s="1406" t="str">
        <f>angleDecimal2Txt((F59))</f>
        <v>+00°15.27 (+00.2545) [+00°15'16.35]</v>
      </c>
      <c r="H59" s="1406"/>
      <c r="I59" s="1406"/>
      <c r="J59" s="375">
        <f>J57-J58+J52</f>
        <v>1.0271840137329691</v>
      </c>
      <c r="K59" s="1406" t="str">
        <f>angleDecimal2Txt((J59))</f>
        <v>+01°01.63 (+01.0271) [+01°01'37.86]</v>
      </c>
      <c r="L59" s="1406"/>
      <c r="M59" s="1406"/>
      <c r="Q59" s="92"/>
      <c r="AA59" s="1378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430" t="s">
        <v>767</v>
      </c>
      <c r="D60" s="1430"/>
      <c r="E60" s="1430"/>
      <c r="F60" s="1443">
        <f>F54+F57-F58</f>
        <v>49.870944383676814</v>
      </c>
      <c r="G60" s="1443"/>
      <c r="H60" s="385">
        <f>F60*Outils!$F$4</f>
        <v>0.87041218057413461</v>
      </c>
      <c r="I60" s="388" t="s">
        <v>694</v>
      </c>
      <c r="J60" s="1444">
        <f>J54+J57-J58</f>
        <v>33.951917347066299</v>
      </c>
      <c r="K60" s="1443"/>
      <c r="L60" s="385">
        <f>J60*Outils!$F$4</f>
        <v>0.59257274507128521</v>
      </c>
      <c r="M60" s="388" t="s">
        <v>694</v>
      </c>
      <c r="O60" s="1440"/>
      <c r="P60" s="1440"/>
      <c r="Q60" s="1440"/>
      <c r="R60" s="1440"/>
    </row>
    <row r="61" spans="3:34" ht="16.5" thickTop="1" thickBot="1">
      <c r="C61" s="1430"/>
      <c r="D61" s="1430"/>
      <c r="E61" s="1430"/>
      <c r="F61" s="1439" t="str">
        <f>angleDecimal2Txt(F60)</f>
        <v>+49°52.25 (+49.8709) [+49°52'15.39]</v>
      </c>
      <c r="G61" s="1429"/>
      <c r="H61" s="1429"/>
      <c r="I61" s="1429"/>
      <c r="J61" s="1429" t="str">
        <f>angleDecimal2Txt(J60)</f>
        <v>+33°57.11 (+33.9519) [+33°57'06.90]</v>
      </c>
      <c r="K61" s="1429"/>
      <c r="L61" s="1429"/>
      <c r="M61" s="1429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453" t="s">
        <v>699</v>
      </c>
      <c r="D63" s="1453"/>
      <c r="E63" s="1453"/>
      <c r="F63" s="1441">
        <f>SIN(H54)</f>
        <v>0.76473100165685415</v>
      </c>
      <c r="G63" s="1441"/>
      <c r="H63" s="1441"/>
      <c r="I63" s="1441"/>
      <c r="J63" s="1441">
        <f>SIN(L54)</f>
        <v>0.54732299301012166</v>
      </c>
      <c r="K63" s="1441"/>
      <c r="L63" s="1441"/>
      <c r="M63" s="1441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453" t="s">
        <v>700</v>
      </c>
      <c r="D64" s="1453"/>
      <c r="E64" s="1453"/>
      <c r="F64" s="1441">
        <f>COS(H54)</f>
        <v>0.64434966835166796</v>
      </c>
      <c r="G64" s="1441"/>
      <c r="H64" s="1441"/>
      <c r="I64" s="1441"/>
      <c r="J64" s="1441">
        <f>COS(L54)</f>
        <v>0.83692146663975731</v>
      </c>
      <c r="K64" s="1441"/>
      <c r="L64" s="1441"/>
      <c r="M64" s="1441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453" t="s">
        <v>768</v>
      </c>
      <c r="D65" s="1453"/>
      <c r="E65" s="1453"/>
      <c r="F65" s="1441">
        <f>SIN(H60)</f>
        <v>0.76459465706743734</v>
      </c>
      <c r="G65" s="1441"/>
      <c r="H65" s="1441"/>
      <c r="I65" s="1441"/>
      <c r="J65" s="1441">
        <f>SIN(L60)</f>
        <v>0.55849697781054075</v>
      </c>
      <c r="K65" s="1441"/>
      <c r="L65" s="1441"/>
      <c r="M65" s="1441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453" t="s">
        <v>769</v>
      </c>
      <c r="D66" s="1453"/>
      <c r="E66" s="1453"/>
      <c r="F66" s="1441">
        <f>COS(H60)</f>
        <v>0.64451145093312956</v>
      </c>
      <c r="G66" s="1441"/>
      <c r="H66" s="1441"/>
      <c r="I66" s="1441"/>
      <c r="J66" s="1441">
        <f>COS(L60)</f>
        <v>0.82950655559585085</v>
      </c>
      <c r="K66" s="1441"/>
      <c r="L66" s="1441"/>
      <c r="M66" s="1441"/>
    </row>
    <row r="68" spans="2:29">
      <c r="C68" s="1453" t="s">
        <v>673</v>
      </c>
      <c r="D68" s="1453"/>
      <c r="E68" s="1453"/>
      <c r="F68" s="1441">
        <f>F63*J63</f>
        <v>0.41855486067445774</v>
      </c>
      <c r="G68" s="1441"/>
      <c r="H68" s="1441"/>
      <c r="I68" s="1441"/>
      <c r="J68" s="393" t="s">
        <v>761</v>
      </c>
    </row>
    <row r="69" spans="2:29">
      <c r="C69" s="1453" t="s">
        <v>770</v>
      </c>
      <c r="D69" s="1453"/>
      <c r="E69" s="1453"/>
      <c r="F69" s="1441">
        <f>F64*J64</f>
        <v>0.5392700694657192</v>
      </c>
      <c r="G69" s="1441"/>
      <c r="H69" s="1441"/>
      <c r="I69" s="1441"/>
      <c r="J69" s="393" t="s">
        <v>764</v>
      </c>
    </row>
    <row r="70" spans="2:29">
      <c r="C70" s="1453" t="s">
        <v>771</v>
      </c>
      <c r="D70" s="1453"/>
      <c r="E70" s="1453"/>
      <c r="F70" s="1441">
        <f>F65*J65</f>
        <v>0.42702380522225059</v>
      </c>
      <c r="G70" s="1441"/>
      <c r="H70" s="1441"/>
      <c r="I70" s="1441"/>
      <c r="J70" s="393" t="s">
        <v>763</v>
      </c>
    </row>
    <row r="71" spans="2:29">
      <c r="C71" s="1453" t="s">
        <v>772</v>
      </c>
      <c r="D71" s="1453"/>
      <c r="E71" s="1453"/>
      <c r="F71" s="1441">
        <f>F66*J66</f>
        <v>0.53462647370562455</v>
      </c>
      <c r="G71" s="1441"/>
      <c r="H71" s="1441"/>
      <c r="I71" s="1441"/>
      <c r="J71" s="393" t="s">
        <v>5</v>
      </c>
    </row>
    <row r="72" spans="2:29">
      <c r="C72" s="1453" t="s">
        <v>774</v>
      </c>
      <c r="D72" s="1453"/>
      <c r="E72" s="1453"/>
      <c r="F72" s="1441">
        <f>COS(Q54)</f>
        <v>0.13311293913358418</v>
      </c>
      <c r="G72" s="1441"/>
      <c r="H72" s="1441"/>
      <c r="I72" s="1441"/>
      <c r="J72" s="393" t="s">
        <v>762</v>
      </c>
    </row>
    <row r="73" spans="2:29" ht="15.75" thickBot="1"/>
    <row r="74" spans="2:29" ht="15.75" thickBot="1">
      <c r="B74" s="1399" t="s">
        <v>705</v>
      </c>
      <c r="C74" s="1401"/>
      <c r="D74" s="1401"/>
      <c r="E74" s="1401"/>
      <c r="F74" s="1401"/>
      <c r="G74" s="1401"/>
      <c r="H74" s="1401"/>
      <c r="I74" s="1401"/>
      <c r="J74" s="1401"/>
      <c r="K74" s="1401"/>
      <c r="L74" s="1401"/>
      <c r="M74" s="1401"/>
      <c r="N74" s="1401"/>
      <c r="O74" s="1401"/>
      <c r="P74" s="1401"/>
      <c r="Q74" s="1401"/>
      <c r="R74" s="1401"/>
      <c r="S74" s="1401"/>
      <c r="T74" s="1401"/>
      <c r="U74" s="1401"/>
      <c r="V74" s="1401"/>
      <c r="W74" s="1401"/>
      <c r="X74" s="1401"/>
      <c r="Y74" s="1401"/>
      <c r="Z74" s="1402"/>
    </row>
    <row r="75" spans="2:29">
      <c r="C75" s="1445" t="s">
        <v>775</v>
      </c>
      <c r="D75" s="1445"/>
      <c r="E75" s="1445"/>
      <c r="F75" s="1445"/>
      <c r="G75" s="1445"/>
      <c r="H75" s="1445"/>
      <c r="I75" s="1445"/>
      <c r="J75" s="1445"/>
      <c r="K75" s="1445"/>
      <c r="L75" s="1445"/>
      <c r="M75" s="1445"/>
    </row>
    <row r="76" spans="2:29">
      <c r="C76" s="1449" t="s">
        <v>765</v>
      </c>
      <c r="D76" s="1449"/>
      <c r="E76" s="1449"/>
      <c r="F76" s="1449"/>
      <c r="G76" s="390"/>
      <c r="H76" s="390"/>
      <c r="I76" s="390"/>
      <c r="J76" s="390"/>
      <c r="K76" s="390"/>
      <c r="L76" s="390"/>
      <c r="M76" s="390"/>
    </row>
    <row r="77" spans="2:29" ht="15.75" thickBot="1">
      <c r="C77" t="s">
        <v>701</v>
      </c>
      <c r="D77">
        <f>F68+(F72-F70)*F69/F71</f>
        <v>0.12209117814526732</v>
      </c>
    </row>
    <row r="78" spans="2:29" ht="16.5" thickTop="1" thickBot="1">
      <c r="C78" s="83" t="s">
        <v>671</v>
      </c>
      <c r="D78" s="83">
        <f>ACOS(D77)*Outils!$F$5</f>
        <v>82.987194178480095</v>
      </c>
      <c r="E78" t="s">
        <v>28</v>
      </c>
      <c r="F78" s="1429" t="str">
        <f>angleDecimal2Txt(D78)</f>
        <v>+82°59.23 (+82.9871) [+82°59'13.89]</v>
      </c>
      <c r="G78" s="1429"/>
      <c r="H78" s="1429"/>
      <c r="I78" s="1429"/>
    </row>
    <row r="79" spans="2:29" ht="15.75" thickTop="1"/>
    <row r="80" spans="2:29" ht="15.75" thickBot="1"/>
    <row r="81" spans="2:31" ht="15.75" thickBot="1">
      <c r="B81" s="1399" t="s">
        <v>706</v>
      </c>
      <c r="C81" s="1401"/>
      <c r="D81" s="1401"/>
      <c r="E81" s="1401"/>
      <c r="F81" s="1401"/>
      <c r="G81" s="1401"/>
      <c r="H81" s="1401"/>
      <c r="I81" s="1400"/>
      <c r="J81" s="1400"/>
      <c r="K81" s="1400"/>
      <c r="L81" s="1400"/>
      <c r="M81" s="1400"/>
      <c r="N81" s="1401"/>
      <c r="O81" s="1401"/>
      <c r="P81" s="1401"/>
      <c r="Q81" s="1401"/>
      <c r="R81" s="1401"/>
      <c r="S81" s="1401"/>
      <c r="T81" s="1401"/>
      <c r="U81" s="1401"/>
      <c r="V81" s="1401"/>
      <c r="W81" s="1401"/>
      <c r="X81" s="1401"/>
      <c r="Y81" s="1401"/>
      <c r="Z81" s="1402"/>
    </row>
    <row r="82" spans="2:31" ht="15.75" thickBot="1">
      <c r="C82" t="s">
        <v>707</v>
      </c>
      <c r="AA82" s="91" t="s">
        <v>712</v>
      </c>
      <c r="AB82" s="91">
        <f>AVERAGE(F85:F92)</f>
        <v>79.995833333333323</v>
      </c>
      <c r="AC82" s="91"/>
      <c r="AD82" s="91" t="s">
        <v>713</v>
      </c>
      <c r="AE82" s="91">
        <f>AVERAGE(D85:D92)</f>
        <v>10.5</v>
      </c>
    </row>
    <row r="83" spans="2:31" ht="19.5" thickTop="1" thickBot="1">
      <c r="D83" s="252" t="s">
        <v>674</v>
      </c>
      <c r="E83" s="1446" t="s">
        <v>708</v>
      </c>
      <c r="F83" s="1446"/>
      <c r="G83" s="1452" t="s">
        <v>781</v>
      </c>
      <c r="H83" s="1452"/>
      <c r="N83" s="1450" t="s">
        <v>718</v>
      </c>
      <c r="O83" s="1451">
        <f>K87*D78+L87</f>
        <v>16.433791811755441</v>
      </c>
      <c r="P83" s="1451"/>
      <c r="Q83" s="1451"/>
      <c r="R83" s="373" t="s">
        <v>719</v>
      </c>
    </row>
    <row r="84" spans="2:31" ht="16.5" thickTop="1" thickBot="1">
      <c r="D84" s="372" t="s">
        <v>710</v>
      </c>
      <c r="E84" s="1447" t="s">
        <v>711</v>
      </c>
      <c r="F84" s="1448"/>
      <c r="G84" s="391" t="s">
        <v>782</v>
      </c>
      <c r="H84" s="391" t="s">
        <v>783</v>
      </c>
      <c r="N84" s="1450"/>
      <c r="O84" s="1451" t="str">
        <f>heureDecimal2Txt(O83)</f>
        <v>16:26:01.65(16.4337)</v>
      </c>
      <c r="P84" s="1451"/>
      <c r="Q84" s="1451"/>
      <c r="R84" s="373" t="s">
        <v>719</v>
      </c>
      <c r="AA84" s="365" t="s">
        <v>714</v>
      </c>
      <c r="AB84" s="365" t="s">
        <v>715</v>
      </c>
      <c r="AC84" s="1284" t="s">
        <v>716</v>
      </c>
      <c r="AD84" s="1284"/>
      <c r="AE84" s="91" t="s">
        <v>717</v>
      </c>
    </row>
    <row r="85" spans="2:31" ht="19.5" thickTop="1" thickBot="1">
      <c r="D85" s="252">
        <v>0</v>
      </c>
      <c r="E85" s="368" t="s">
        <v>675</v>
      </c>
      <c r="F85" s="252" cm="1">
        <f t="array" ref="F85">angleConvert2Decimal(E85)</f>
        <v>74.680000000000007</v>
      </c>
      <c r="G85" s="391">
        <f t="shared" ref="G85:G92" si="0">(D85-$L$90)/$K$90</f>
        <v>74.702541982629683</v>
      </c>
      <c r="H85" s="392">
        <f>POWER((G85-F85),2)</f>
        <v>5.0814098087660425E-4</v>
      </c>
      <c r="J85" s="371" t="s">
        <v>709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84">
        <f t="shared" ref="AC85:AC92" si="3">AA85*AB85</f>
        <v>55.816249999999819</v>
      </c>
      <c r="AD85" s="1284"/>
      <c r="AE85" s="91">
        <f>AA85*AA85</f>
        <v>28.258084027777596</v>
      </c>
    </row>
    <row r="86" spans="2:31" ht="16.5" thickTop="1" thickBot="1">
      <c r="D86" s="252">
        <v>3</v>
      </c>
      <c r="E86" s="368" t="s">
        <v>676</v>
      </c>
      <c r="F86" s="252" cm="1">
        <f t="array" ref="F86">angleConvert2Decimal(E86)</f>
        <v>76.211666666666673</v>
      </c>
      <c r="G86" s="391">
        <f t="shared" si="0"/>
        <v>76.214910939973578</v>
      </c>
      <c r="H86" s="392">
        <f t="shared" ref="H86:H92" si="4">POWER((G86-F86),2)</f>
        <v>1.052530928989428E-5</v>
      </c>
      <c r="K86" s="350" t="s">
        <v>242</v>
      </c>
      <c r="L86" s="350" t="s">
        <v>243</v>
      </c>
      <c r="AA86" s="365">
        <f t="shared" si="1"/>
        <v>-3.7841666666666498</v>
      </c>
      <c r="AB86" s="365">
        <f t="shared" si="2"/>
        <v>-7.5</v>
      </c>
      <c r="AC86" s="1284">
        <f t="shared" si="3"/>
        <v>28.381249999999874</v>
      </c>
      <c r="AD86" s="1284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677</v>
      </c>
      <c r="F87" s="252" cm="1">
        <f t="array" ref="F87">angleConvert2Decimal(E87)</f>
        <v>77.736666666666665</v>
      </c>
      <c r="G87" s="391">
        <f t="shared" si="0"/>
        <v>77.727279897317473</v>
      </c>
      <c r="H87" s="392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84">
        <f t="shared" si="3"/>
        <v>10.166249999999962</v>
      </c>
      <c r="AD87" s="1284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678</v>
      </c>
      <c r="F88" s="252" cm="1">
        <f t="array" ref="F88">angleConvert2Decimal(E88)</f>
        <v>79.256666666666661</v>
      </c>
      <c r="G88" s="391">
        <f t="shared" si="0"/>
        <v>79.239648854661368</v>
      </c>
      <c r="H88" s="392">
        <f t="shared" si="4"/>
        <v>2.896059254474741E-4</v>
      </c>
      <c r="J88" s="377" t="s">
        <v>780</v>
      </c>
      <c r="K88" s="377"/>
      <c r="L88" s="377"/>
      <c r="M88" s="377"/>
      <c r="AA88" s="365">
        <f t="shared" si="1"/>
        <v>-0.73916666666666231</v>
      </c>
      <c r="AB88" s="365">
        <f t="shared" si="2"/>
        <v>-1.5</v>
      </c>
      <c r="AC88" s="1284">
        <f t="shared" si="3"/>
        <v>1.1087499999999935</v>
      </c>
      <c r="AD88" s="1284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679</v>
      </c>
      <c r="F89" s="252" cm="1">
        <f t="array" ref="F89">angleConvert2Decimal(E89)</f>
        <v>80.768333333333331</v>
      </c>
      <c r="G89" s="391">
        <f t="shared" si="0"/>
        <v>80.752017812005263</v>
      </c>
      <c r="H89" s="392">
        <f t="shared" si="4"/>
        <v>2.661962362066242E-4</v>
      </c>
      <c r="K89" s="253" t="s">
        <v>242</v>
      </c>
      <c r="L89" s="253" t="s">
        <v>243</v>
      </c>
      <c r="AA89" s="365">
        <f t="shared" si="1"/>
        <v>0.77250000000000796</v>
      </c>
      <c r="AB89" s="365">
        <f t="shared" si="2"/>
        <v>1.5</v>
      </c>
      <c r="AC89" s="1284">
        <f t="shared" si="3"/>
        <v>1.1587500000000119</v>
      </c>
      <c r="AD89" s="1284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680</v>
      </c>
      <c r="F90" s="252" cm="1">
        <f t="array" ref="F90">angleConvert2Decimal(E90)</f>
        <v>82.273333333333326</v>
      </c>
      <c r="G90" s="391">
        <f t="shared" si="0"/>
        <v>82.264386769349159</v>
      </c>
      <c r="H90" s="392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84">
        <f t="shared" si="3"/>
        <v>10.248750000000015</v>
      </c>
      <c r="AD90" s="1284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681</v>
      </c>
      <c r="F91" s="252" cm="1">
        <f t="array" ref="F91">angleConvert2Decimal(E91)</f>
        <v>83.773333333333326</v>
      </c>
      <c r="G91" s="391">
        <f t="shared" si="0"/>
        <v>83.776755726693068</v>
      </c>
      <c r="H91" s="392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84">
        <f t="shared" si="3"/>
        <v>28.331250000000026</v>
      </c>
      <c r="AD91" s="1284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682</v>
      </c>
      <c r="F92" s="252" cm="1">
        <f t="array" ref="F92">angleConvert2Decimal(E92)</f>
        <v>85.266666666666666</v>
      </c>
      <c r="G92" s="391">
        <f t="shared" si="0"/>
        <v>85.289124684036963</v>
      </c>
      <c r="H92" s="392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84">
        <f t="shared" si="3"/>
        <v>55.343750000000099</v>
      </c>
      <c r="AD92" s="1284"/>
      <c r="AE92" s="91">
        <f t="shared" si="5"/>
        <v>27.781684027777878</v>
      </c>
    </row>
    <row r="93" spans="2:31" ht="15.75" thickTop="1"/>
  </sheetData>
  <mergeCells count="189"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06" workbookViewId="0">
      <selection activeCell="S4" sqref="S4"/>
    </sheetView>
  </sheetViews>
  <sheetFormatPr baseColWidth="10"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459" t="s">
        <v>808</v>
      </c>
      <c r="B1" s="1459"/>
      <c r="C1" s="1459"/>
      <c r="D1" s="1459"/>
      <c r="E1" s="1459"/>
      <c r="F1" s="1459"/>
      <c r="G1" s="1459"/>
      <c r="H1" s="1459"/>
      <c r="I1" s="1459"/>
      <c r="J1" s="1459"/>
      <c r="K1" s="1459"/>
      <c r="L1" s="1459"/>
      <c r="M1" s="1459"/>
      <c r="N1" s="1459"/>
      <c r="O1" s="1459"/>
      <c r="P1" s="1459"/>
      <c r="Q1" s="1459"/>
      <c r="R1" s="1459"/>
      <c r="S1" s="1459"/>
      <c r="T1" s="1459"/>
      <c r="U1" s="1459"/>
      <c r="V1" s="1459"/>
    </row>
    <row r="2" spans="1:66">
      <c r="B2" t="s">
        <v>787</v>
      </c>
      <c r="O2" t="s">
        <v>784</v>
      </c>
    </row>
    <row r="3" spans="1:66">
      <c r="C3" t="s">
        <v>823</v>
      </c>
      <c r="O3" t="s">
        <v>786</v>
      </c>
    </row>
    <row r="4" spans="1:66">
      <c r="C4" t="s">
        <v>809</v>
      </c>
      <c r="O4" t="s">
        <v>785</v>
      </c>
    </row>
    <row r="5" spans="1:66">
      <c r="C5" t="s">
        <v>810</v>
      </c>
    </row>
    <row r="7" spans="1:66" s="399" customFormat="1" ht="15.75" thickBot="1">
      <c r="A7" s="399" t="s">
        <v>811</v>
      </c>
    </row>
    <row r="8" spans="1:66" s="16" customFormat="1" ht="17.25" customHeight="1" thickBot="1">
      <c r="B8" s="25" t="s">
        <v>0</v>
      </c>
      <c r="C8" s="26"/>
      <c r="D8" s="26"/>
      <c r="E8" s="94" t="str" cm="1">
        <f t="array" ref="E8">dateDecimale2txt(dateConvert2Decimal(E9),0)</f>
        <v>2025/09/03</v>
      </c>
      <c r="F8" s="94"/>
      <c r="G8" s="95"/>
      <c r="H8" s="96"/>
      <c r="I8" s="94" t="str" cm="1">
        <f t="array" ref="I8">heureDecimal2Txt(E12)</f>
        <v>09:17:00.00(09.2833)</v>
      </c>
      <c r="J8" s="94"/>
      <c r="K8" s="94"/>
      <c r="L8" s="26"/>
      <c r="M8" s="26"/>
      <c r="N8" s="26" t="s">
        <v>316</v>
      </c>
      <c r="O8" s="26"/>
      <c r="P8" s="26"/>
      <c r="Q8" s="26"/>
      <c r="R8" s="26"/>
      <c r="S8" s="26" t="s">
        <v>317</v>
      </c>
      <c r="T8" s="807">
        <f>dateConvert2Decimal(E9)</f>
        <v>1756857600</v>
      </c>
      <c r="U8" s="807"/>
      <c r="V8" s="807"/>
      <c r="W8" s="26" t="s">
        <v>318</v>
      </c>
      <c r="X8" s="783">
        <f>(T8/86400)+DATE(1970,1,1)</f>
        <v>45903</v>
      </c>
      <c r="Y8" s="783"/>
      <c r="Z8" s="26" t="s">
        <v>319</v>
      </c>
      <c r="AA8" s="247">
        <f>INT(MONTH(X8))</f>
        <v>9</v>
      </c>
      <c r="AB8" s="62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742" t="s">
        <v>1</v>
      </c>
      <c r="D9" s="743"/>
      <c r="E9" s="780" t="s">
        <v>812</v>
      </c>
      <c r="F9" s="781"/>
      <c r="G9" s="781"/>
      <c r="H9" s="59"/>
      <c r="I9" s="771"/>
      <c r="J9" s="771"/>
      <c r="K9" s="771"/>
      <c r="L9" s="771"/>
      <c r="M9" s="771"/>
      <c r="N9" s="771"/>
      <c r="O9" s="771"/>
      <c r="AB9" s="61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744" t="s">
        <v>11</v>
      </c>
      <c r="D10" s="416"/>
      <c r="E10" s="744" t="s">
        <v>2</v>
      </c>
      <c r="F10" s="752"/>
      <c r="G10" s="752"/>
      <c r="H10" s="416"/>
      <c r="I10" s="651" t="s">
        <v>228</v>
      </c>
      <c r="J10" s="651"/>
      <c r="K10" s="651"/>
      <c r="L10" s="651" t="s">
        <v>224</v>
      </c>
      <c r="M10" s="651"/>
      <c r="N10" s="651"/>
      <c r="O10" s="651"/>
      <c r="P10" s="651"/>
      <c r="Q10" s="651" t="s">
        <v>225</v>
      </c>
      <c r="R10" s="651"/>
      <c r="S10" s="651"/>
      <c r="T10" s="651"/>
      <c r="U10" s="651"/>
      <c r="V10" s="674" t="s">
        <v>122</v>
      </c>
      <c r="W10" s="675"/>
      <c r="X10" s="675"/>
      <c r="Y10" s="676"/>
      <c r="AB10" s="63"/>
      <c r="AC10" s="3" t="s">
        <v>163</v>
      </c>
      <c r="AD10" s="67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434"/>
      <c r="D11" s="745"/>
      <c r="E11" s="417"/>
      <c r="F11" s="433"/>
      <c r="G11" s="433"/>
      <c r="H11" s="418"/>
      <c r="I11" s="651"/>
      <c r="J11" s="651"/>
      <c r="K11" s="651"/>
      <c r="L11" s="651"/>
      <c r="M11" s="651"/>
      <c r="N11" s="651"/>
      <c r="O11" s="651"/>
      <c r="P11" s="651"/>
      <c r="Q11" s="651"/>
      <c r="R11" s="651"/>
      <c r="S11" s="651"/>
      <c r="T11" s="651"/>
      <c r="U11" s="651"/>
      <c r="V11" s="677"/>
      <c r="W11" s="678"/>
      <c r="X11" s="678"/>
      <c r="Y11" s="679"/>
      <c r="AB11" s="61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417"/>
      <c r="D12" s="418"/>
      <c r="E12" s="687">
        <f>AD9+AD10+AD11+AD12</f>
        <v>9.2833333333333332</v>
      </c>
      <c r="F12" s="688"/>
      <c r="G12" s="688"/>
      <c r="H12" s="689"/>
      <c r="I12" s="680" t="s">
        <v>791</v>
      </c>
      <c r="J12" s="680"/>
      <c r="K12" s="680"/>
      <c r="L12" s="670">
        <v>0</v>
      </c>
      <c r="M12" s="670"/>
      <c r="N12" s="670"/>
      <c r="O12" s="670"/>
      <c r="P12" s="670"/>
      <c r="Q12" s="670">
        <v>0</v>
      </c>
      <c r="R12" s="670"/>
      <c r="S12" s="670"/>
      <c r="T12" s="670"/>
      <c r="U12" s="671"/>
      <c r="V12" s="669" t="s">
        <v>121</v>
      </c>
      <c r="W12" s="669"/>
      <c r="X12" s="669"/>
      <c r="Y12" s="669"/>
      <c r="AB12" s="61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ht="17.25" customHeight="1" thickTop="1" thickBot="1">
      <c r="B13" s="16"/>
      <c r="E13" s="681" t="str" cm="1">
        <f t="array" ref="E13">heureDecimal2Txt(E12)</f>
        <v>09:17:00.00(09.2833)</v>
      </c>
      <c r="F13" s="682"/>
      <c r="G13" s="682"/>
      <c r="H13" s="683"/>
      <c r="I13" s="11"/>
      <c r="J13" s="11"/>
      <c r="K13" s="11"/>
      <c r="M13" t="s">
        <v>794</v>
      </c>
      <c r="V13" s="11"/>
      <c r="W13" s="11"/>
      <c r="X13" s="11"/>
      <c r="Y13" s="11"/>
      <c r="Z13" s="16"/>
      <c r="AA13" s="16"/>
      <c r="AB13" s="61"/>
      <c r="BN13" s="24"/>
    </row>
    <row r="14" spans="1:66" s="16" customFormat="1" ht="17.25" customHeight="1" thickTop="1" thickBot="1">
      <c r="C14" s="15"/>
      <c r="D14" s="15"/>
      <c r="E14" s="14"/>
      <c r="F14" s="14"/>
      <c r="G14" s="14"/>
      <c r="H14" s="14"/>
      <c r="I14" s="14"/>
      <c r="J14" s="14"/>
      <c r="K14" s="14"/>
      <c r="L14" s="14"/>
      <c r="M14" s="14" t="s">
        <v>795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AB14" s="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7.25" customHeight="1" thickBot="1">
      <c r="B15" s="25" t="s">
        <v>198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62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s="16" customFormat="1" ht="17.25" customHeight="1" thickTop="1" thickBot="1">
      <c r="C16" s="714" t="s">
        <v>7</v>
      </c>
      <c r="D16" s="714"/>
      <c r="E16" s="714"/>
      <c r="F16" s="714"/>
      <c r="G16" s="561">
        <f>AD17</f>
        <v>25.7</v>
      </c>
      <c r="H16" s="562"/>
      <c r="I16" s="562"/>
      <c r="J16" s="620" t="s">
        <v>3</v>
      </c>
      <c r="K16" s="717" t="s">
        <v>813</v>
      </c>
      <c r="L16" s="620"/>
      <c r="M16" s="620"/>
      <c r="N16" s="620"/>
      <c r="O16" s="620"/>
      <c r="P16" s="722" t="str" cm="1">
        <f t="array" ref="P16">latitudeDecimal2Txt(G16)</f>
        <v>N 25°42.00 (N 25.6999) [N 25°42'00.00]</v>
      </c>
      <c r="Q16" s="722"/>
      <c r="R16" s="722"/>
      <c r="S16" s="722"/>
      <c r="T16" s="722"/>
      <c r="U16" s="722"/>
      <c r="V16" s="722"/>
      <c r="W16" s="722"/>
      <c r="X16" s="722"/>
      <c r="Y16" s="722"/>
      <c r="AB16" s="61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 thickTop="1" thickBot="1">
      <c r="A17" s="407" t="s">
        <v>129</v>
      </c>
      <c r="B17" s="311" t="s">
        <v>130</v>
      </c>
      <c r="C17" s="714"/>
      <c r="D17" s="714"/>
      <c r="E17" s="714"/>
      <c r="F17" s="714"/>
      <c r="G17" s="562"/>
      <c r="H17" s="562"/>
      <c r="I17" s="562"/>
      <c r="J17" s="620"/>
      <c r="K17" s="620"/>
      <c r="L17" s="620"/>
      <c r="M17" s="620"/>
      <c r="N17" s="620"/>
      <c r="O17" s="620"/>
      <c r="P17" s="722"/>
      <c r="Q17" s="722"/>
      <c r="R17" s="722"/>
      <c r="S17" s="722"/>
      <c r="T17" s="722"/>
      <c r="U17" s="722"/>
      <c r="V17" s="722"/>
      <c r="W17" s="722"/>
      <c r="X17" s="722"/>
      <c r="Y17" s="722"/>
      <c r="AB17" s="61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Top="1" thickBot="1">
      <c r="A18" s="407"/>
      <c r="B18" s="311" t="s">
        <v>138</v>
      </c>
      <c r="C18" s="563" t="s">
        <v>8</v>
      </c>
      <c r="D18" s="563"/>
      <c r="E18" s="563"/>
      <c r="F18" s="563"/>
      <c r="G18" s="561">
        <f>AD19</f>
        <v>136.35</v>
      </c>
      <c r="H18" s="562"/>
      <c r="I18" s="562"/>
      <c r="J18" s="620" t="s">
        <v>5</v>
      </c>
      <c r="K18" s="717" t="s">
        <v>790</v>
      </c>
      <c r="L18" s="620"/>
      <c r="M18" s="620"/>
      <c r="N18" s="620"/>
      <c r="O18" s="620"/>
      <c r="P18" s="722" t="str" cm="1">
        <f t="array" ref="P18">longitudeDecimal2Txt(G18)</f>
        <v>E 136°21.00 (E 136.3499) [E 136°21'00.00]</v>
      </c>
      <c r="Q18" s="722"/>
      <c r="R18" s="722"/>
      <c r="S18" s="722"/>
      <c r="T18" s="722"/>
      <c r="U18" s="722"/>
      <c r="V18" s="722"/>
      <c r="W18" s="722"/>
      <c r="X18" s="722"/>
      <c r="Y18" s="722"/>
      <c r="Z18" s="14"/>
      <c r="AB18" s="61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31"/>
    </row>
    <row r="19" spans="1:66" s="16" customFormat="1" ht="17.25" customHeight="1" thickTop="1" thickBot="1">
      <c r="C19" s="563"/>
      <c r="D19" s="563"/>
      <c r="E19" s="563"/>
      <c r="F19" s="563"/>
      <c r="G19" s="562"/>
      <c r="H19" s="562"/>
      <c r="I19" s="562"/>
      <c r="J19" s="620"/>
      <c r="K19" s="620"/>
      <c r="L19" s="620"/>
      <c r="M19" s="620"/>
      <c r="N19" s="620"/>
      <c r="O19" s="620"/>
      <c r="P19" s="722"/>
      <c r="Q19" s="722"/>
      <c r="R19" s="722"/>
      <c r="S19" s="722"/>
      <c r="T19" s="722"/>
      <c r="U19" s="722"/>
      <c r="V19" s="722"/>
      <c r="W19" s="722"/>
      <c r="X19" s="722"/>
      <c r="Y19" s="722"/>
      <c r="Z19" s="14"/>
      <c r="AB19" s="61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31"/>
    </row>
    <row r="20" spans="1:66" s="16" customFormat="1" ht="17.25" customHeight="1" thickTop="1">
      <c r="B20" s="14"/>
      <c r="D20" s="14"/>
      <c r="E20" s="14"/>
      <c r="F20" s="14"/>
      <c r="G20" s="14"/>
      <c r="H20" s="14"/>
      <c r="AB20" s="61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31"/>
    </row>
    <row r="21" spans="1:66" s="16" customFormat="1" ht="17.25" customHeight="1" thickBot="1">
      <c r="C21" s="59"/>
      <c r="D21" s="59"/>
      <c r="E21" s="59"/>
      <c r="F21" s="59"/>
      <c r="G21" s="59"/>
      <c r="AB21" s="61"/>
      <c r="AC21"/>
      <c r="AD21" s="68" t="s">
        <v>817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4"/>
    </row>
    <row r="22" spans="1:66" s="16" customFormat="1" ht="17.25" customHeight="1" thickBot="1">
      <c r="B22" s="25" t="s">
        <v>9</v>
      </c>
      <c r="C22" s="75"/>
      <c r="D22" s="75"/>
      <c r="E22" s="75"/>
      <c r="F22" s="751">
        <f>IF(G23=AD23,D26,IF(G23=AD22,D39,D33))</f>
        <v>19.190000000000001</v>
      </c>
      <c r="G22" s="647"/>
      <c r="H22" s="647"/>
      <c r="I22" s="26"/>
      <c r="J22" s="26"/>
      <c r="K22" s="26" t="str" cm="1">
        <f t="array" ref="K22">latitudeDecimal2Txt(F22)</f>
        <v>N 19°11.40 (N 19.1900) [N 19°11'24.00]</v>
      </c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64"/>
      <c r="AC22"/>
      <c r="AD22" s="68" t="s">
        <v>555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33" customFormat="1" ht="17.25" customHeight="1">
      <c r="C23" s="634" t="s">
        <v>35</v>
      </c>
      <c r="D23" s="634"/>
      <c r="E23" s="634"/>
      <c r="F23" s="634"/>
      <c r="G23" s="753" t="s">
        <v>10</v>
      </c>
      <c r="H23" s="513"/>
      <c r="I23" s="754"/>
      <c r="AB23" s="65"/>
      <c r="AC23" s="510" t="s">
        <v>36</v>
      </c>
      <c r="AD23" s="68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6" customFormat="1" ht="17.25" customHeight="1" outlineLevel="1">
      <c r="C24" s="408" t="s">
        <v>10</v>
      </c>
      <c r="D24" s="419" t="s">
        <v>9</v>
      </c>
      <c r="E24" s="420"/>
      <c r="F24" s="420"/>
      <c r="G24" s="420"/>
      <c r="H24" s="420"/>
      <c r="I24" s="415" t="s">
        <v>619</v>
      </c>
      <c r="J24" s="416"/>
      <c r="K24" s="415" t="s">
        <v>13</v>
      </c>
      <c r="L24" s="432"/>
      <c r="M24" s="612"/>
      <c r="N24" s="430" t="s">
        <v>15</v>
      </c>
      <c r="O24" s="430"/>
      <c r="P24" s="430"/>
      <c r="Q24" s="430"/>
      <c r="R24" s="430"/>
      <c r="S24" s="14"/>
      <c r="AB24" s="61"/>
      <c r="AC24" s="510"/>
      <c r="AD24" s="68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4"/>
    </row>
    <row r="25" spans="1:66" s="16" customFormat="1" ht="17.25" customHeight="1" outlineLevel="1" thickBot="1">
      <c r="C25" s="408"/>
      <c r="D25" s="419"/>
      <c r="E25" s="420"/>
      <c r="F25" s="420"/>
      <c r="G25" s="420"/>
      <c r="H25" s="420"/>
      <c r="I25" s="417"/>
      <c r="J25" s="418"/>
      <c r="K25" s="613"/>
      <c r="L25" s="614"/>
      <c r="M25" s="615"/>
      <c r="N25" s="430"/>
      <c r="O25" s="430"/>
      <c r="P25" s="430"/>
      <c r="Q25" s="430"/>
      <c r="R25" s="430"/>
      <c r="S25" s="14"/>
      <c r="AB25" s="61"/>
      <c r="AC25"/>
      <c r="AD25" s="71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1:66" s="16" customFormat="1" ht="17.25" customHeight="1" outlineLevel="1" thickTop="1" thickBot="1">
      <c r="C26" s="408"/>
      <c r="D26" s="421">
        <f>IF(G23=AD23,AD31,"---")</f>
        <v>19.190000000000001</v>
      </c>
      <c r="E26" s="421"/>
      <c r="F26" s="421"/>
      <c r="G26" s="421"/>
      <c r="H26" s="422"/>
      <c r="I26" s="409">
        <f>E12</f>
        <v>9.2833333333333332</v>
      </c>
      <c r="J26" s="410"/>
      <c r="K26" s="787">
        <v>19</v>
      </c>
      <c r="L26" s="616"/>
      <c r="M26" s="788"/>
      <c r="N26" s="620" t="s">
        <v>3</v>
      </c>
      <c r="O26" s="680" t="s">
        <v>814</v>
      </c>
      <c r="P26" s="815"/>
      <c r="Q26" s="815"/>
      <c r="R26" s="815"/>
      <c r="S26" s="722" t="str" cm="1">
        <f t="array" ref="S26">angleDecimal2Txt(AE26)</f>
        <v>+19°11.40 (+19.1900) [+19°11'24.00]</v>
      </c>
      <c r="T26" s="729"/>
      <c r="U26" s="729"/>
      <c r="V26" s="729"/>
      <c r="W26" s="729"/>
      <c r="AB26" s="61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4"/>
    </row>
    <row r="27" spans="1:66" s="16" customFormat="1" ht="17.25" customHeight="1" outlineLevel="1" thickTop="1" thickBot="1">
      <c r="C27" s="408"/>
      <c r="D27" s="423"/>
      <c r="E27" s="423"/>
      <c r="F27" s="423"/>
      <c r="G27" s="423"/>
      <c r="H27" s="424"/>
      <c r="I27" s="411"/>
      <c r="J27" s="412"/>
      <c r="K27" s="767"/>
      <c r="L27" s="768"/>
      <c r="M27" s="769"/>
      <c r="N27" s="620"/>
      <c r="O27" s="793"/>
      <c r="P27" s="793"/>
      <c r="Q27" s="793"/>
      <c r="R27" s="793"/>
      <c r="S27" s="729"/>
      <c r="T27" s="729"/>
      <c r="U27" s="729"/>
      <c r="V27" s="729"/>
      <c r="W27" s="729"/>
      <c r="AB27" s="61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6" s="16" customFormat="1" ht="17.25" customHeight="1" outlineLevel="1" thickTop="1" thickBot="1">
      <c r="C28" s="408"/>
      <c r="D28" s="423"/>
      <c r="E28" s="423"/>
      <c r="F28" s="423"/>
      <c r="G28" s="423"/>
      <c r="H28" s="424"/>
      <c r="I28" s="411"/>
      <c r="J28" s="412"/>
      <c r="K28" s="764">
        <v>20</v>
      </c>
      <c r="L28" s="765"/>
      <c r="M28" s="766"/>
      <c r="N28" s="620" t="s">
        <v>3</v>
      </c>
      <c r="O28" s="792" t="s">
        <v>814</v>
      </c>
      <c r="P28" s="793"/>
      <c r="Q28" s="793"/>
      <c r="R28" s="793"/>
      <c r="S28" s="722" t="str" cm="1">
        <f t="array" ref="S28">angleDecimal2Txt((AE27))</f>
        <v>+19°11.40 (+19.1900) [+19°11'24.00]</v>
      </c>
      <c r="T28" s="729"/>
      <c r="U28" s="729"/>
      <c r="V28" s="729"/>
      <c r="W28" s="729"/>
      <c r="AB28" s="61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4"/>
    </row>
    <row r="29" spans="1:66" s="16" customFormat="1" ht="17.25" customHeight="1" outlineLevel="1" thickTop="1" thickBot="1">
      <c r="C29" s="408"/>
      <c r="D29" s="425" t="str" cm="1">
        <f t="array" ref="D29">latitudeDecimal2Txt(D26)</f>
        <v>N 19°11.40 (N 19.1900) [N 19°11'24.00]</v>
      </c>
      <c r="E29" s="426"/>
      <c r="F29" s="426"/>
      <c r="G29" s="426"/>
      <c r="H29" s="426"/>
      <c r="I29" s="413"/>
      <c r="J29" s="414"/>
      <c r="K29" s="767"/>
      <c r="L29" s="768"/>
      <c r="M29" s="769"/>
      <c r="N29" s="620"/>
      <c r="O29" s="793"/>
      <c r="P29" s="793"/>
      <c r="Q29" s="793"/>
      <c r="R29" s="793"/>
      <c r="S29" s="729"/>
      <c r="T29" s="729"/>
      <c r="U29" s="729"/>
      <c r="V29" s="729"/>
      <c r="W29" s="729"/>
      <c r="AB29" s="61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>
      <c r="C30" s="59"/>
      <c r="D30" s="59"/>
      <c r="E30" s="59"/>
      <c r="AB30" s="61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hidden="1" customHeight="1" outlineLevel="1">
      <c r="C31" s="427" t="s">
        <v>14</v>
      </c>
      <c r="D31" s="420" t="s">
        <v>9</v>
      </c>
      <c r="E31" s="420"/>
      <c r="F31" s="420"/>
      <c r="G31" s="420"/>
      <c r="H31" s="420"/>
      <c r="I31" s="415" t="s">
        <v>619</v>
      </c>
      <c r="J31" s="416"/>
      <c r="K31" s="415" t="s">
        <v>611</v>
      </c>
      <c r="L31" s="432"/>
      <c r="M31" s="612"/>
      <c r="N31" s="430" t="s">
        <v>16</v>
      </c>
      <c r="O31" s="430"/>
      <c r="P31" s="430"/>
      <c r="Q31" s="430"/>
      <c r="R31" s="430"/>
      <c r="S31" s="430" t="s">
        <v>131</v>
      </c>
      <c r="T31" s="430"/>
      <c r="U31" s="430"/>
      <c r="V31" s="430"/>
      <c r="W31" s="430"/>
      <c r="AA31" s="14"/>
      <c r="AB31" s="61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hidden="1" customHeight="1" outlineLevel="1">
      <c r="C32" s="427"/>
      <c r="D32" s="420"/>
      <c r="E32" s="420"/>
      <c r="F32" s="420"/>
      <c r="G32" s="420"/>
      <c r="H32" s="420"/>
      <c r="I32" s="417"/>
      <c r="J32" s="418"/>
      <c r="K32" s="613"/>
      <c r="L32" s="614"/>
      <c r="M32" s="615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AA32" s="14"/>
      <c r="AB32" s="61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6" s="16" customFormat="1" ht="17.25" hidden="1" customHeight="1" outlineLevel="1">
      <c r="C33" s="427"/>
      <c r="D33" s="421" t="str">
        <f>IF(G23=AD24,AD37,"---")</f>
        <v>---</v>
      </c>
      <c r="E33" s="421"/>
      <c r="F33" s="421"/>
      <c r="G33" s="421"/>
      <c r="H33" s="421"/>
      <c r="I33" s="429">
        <f>E12</f>
        <v>9.2833333333333332</v>
      </c>
      <c r="J33" s="429"/>
      <c r="K33" s="608">
        <v>0</v>
      </c>
      <c r="L33" s="608"/>
      <c r="M33" s="609"/>
      <c r="N33" s="620" t="s">
        <v>3</v>
      </c>
      <c r="O33" s="618" t="s">
        <v>610</v>
      </c>
      <c r="P33" s="619"/>
      <c r="Q33" s="619"/>
      <c r="R33" s="619"/>
      <c r="S33" s="620" t="s">
        <v>3</v>
      </c>
      <c r="T33" s="618">
        <f>0.2/60</f>
        <v>3.3333333333333335E-3</v>
      </c>
      <c r="U33" s="619"/>
      <c r="V33" s="619"/>
      <c r="W33" s="619"/>
      <c r="AA33" s="14"/>
      <c r="AB33" s="61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6" s="16" customFormat="1" ht="17.25" hidden="1" customHeight="1" outlineLevel="1" thickBot="1">
      <c r="C34" s="427"/>
      <c r="D34" s="423"/>
      <c r="E34" s="423"/>
      <c r="F34" s="423"/>
      <c r="G34" s="423"/>
      <c r="H34" s="423"/>
      <c r="I34" s="429"/>
      <c r="J34" s="429"/>
      <c r="K34" s="610"/>
      <c r="L34" s="610"/>
      <c r="M34" s="611"/>
      <c r="N34" s="620"/>
      <c r="O34" s="620"/>
      <c r="P34" s="620"/>
      <c r="Q34" s="620"/>
      <c r="R34" s="620"/>
      <c r="S34" s="620"/>
      <c r="T34" s="620"/>
      <c r="U34" s="620"/>
      <c r="V34" s="620"/>
      <c r="W34" s="620"/>
      <c r="Z34" s="14"/>
      <c r="AA34" s="14"/>
      <c r="AB34" s="61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6" s="16" customFormat="1" ht="17.25" hidden="1" customHeight="1" outlineLevel="1" thickTop="1" thickBot="1">
      <c r="C35" s="427"/>
      <c r="D35" s="425" t="e" cm="1">
        <f t="array" ref="D35">latitudeDecimal2Txt(D33)</f>
        <v>#VALUE!</v>
      </c>
      <c r="E35" s="426"/>
      <c r="F35" s="426"/>
      <c r="G35" s="426"/>
      <c r="H35" s="640"/>
      <c r="I35" s="429"/>
      <c r="J35" s="429"/>
      <c r="K35" s="440" t="str" cm="1">
        <f t="array" ref="K35">heureDecimal2Txt(K33)</f>
        <v>00:00:00.00(00.0000)</v>
      </c>
      <c r="L35" s="440"/>
      <c r="M35" s="425"/>
      <c r="N35" s="557" t="str" cm="1">
        <f t="array" ref="N35">angleDecimal2Txt(AD34)</f>
        <v>+23°10.59 (+23.1766) [+23°10'36.00]</v>
      </c>
      <c r="O35" s="557"/>
      <c r="P35" s="557"/>
      <c r="Q35" s="557"/>
      <c r="R35" s="557"/>
      <c r="S35" s="557" t="str" cm="1">
        <f t="array" ref="S35">angleDecimal2Txt(AD36)</f>
        <v>+00°00.19 (+00.0033) [+00°00'11.99]</v>
      </c>
      <c r="T35" s="621"/>
      <c r="U35" s="621"/>
      <c r="V35" s="621"/>
      <c r="W35" s="621"/>
      <c r="Z35" s="14"/>
      <c r="AB35" s="61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6" s="16" customFormat="1" ht="17.25" customHeight="1" collapsed="1">
      <c r="A36" s="34" t="s">
        <v>537</v>
      </c>
      <c r="C36" s="59"/>
      <c r="D36" s="59"/>
      <c r="E36" s="59"/>
      <c r="I36"/>
      <c r="Z36" s="14"/>
      <c r="AB36" s="61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4"/>
    </row>
    <row r="37" spans="1:66" s="16" customFormat="1" ht="17.25" hidden="1" customHeight="1" outlineLevel="1">
      <c r="C37" s="427" t="s">
        <v>620</v>
      </c>
      <c r="D37" s="420" t="s">
        <v>9</v>
      </c>
      <c r="E37" s="420"/>
      <c r="F37" s="420"/>
      <c r="G37" s="420"/>
      <c r="H37" s="420"/>
      <c r="I37" s="522" t="s">
        <v>556</v>
      </c>
      <c r="J37" s="523"/>
      <c r="K37" s="523"/>
      <c r="L37" s="523"/>
      <c r="M37" s="524"/>
      <c r="AB37" s="61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4"/>
    </row>
    <row r="38" spans="1:66" s="16" customFormat="1" ht="17.25" hidden="1" customHeight="1" outlineLevel="1">
      <c r="C38" s="427"/>
      <c r="D38" s="420"/>
      <c r="E38" s="420"/>
      <c r="F38" s="420"/>
      <c r="G38" s="420"/>
      <c r="H38" s="420"/>
      <c r="I38" s="782"/>
      <c r="J38" s="526"/>
      <c r="K38" s="526"/>
      <c r="L38" s="526"/>
      <c r="M38" s="527"/>
      <c r="S38"/>
      <c r="T38"/>
      <c r="U38"/>
      <c r="V38"/>
      <c r="W38"/>
      <c r="X38"/>
      <c r="Y38"/>
      <c r="AB38" s="61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4"/>
    </row>
    <row r="39" spans="1:66" s="16" customFormat="1" ht="17.25" hidden="1" customHeight="1" outlineLevel="1">
      <c r="C39" s="427"/>
      <c r="D39" s="437" t="str">
        <f>IF(G23=AD22,AD40,"---")</f>
        <v>---</v>
      </c>
      <c r="E39" s="423"/>
      <c r="F39" s="423"/>
      <c r="G39" s="423"/>
      <c r="H39" s="423"/>
      <c r="I39" s="791" t="s">
        <v>3</v>
      </c>
      <c r="J39" s="431" t="s">
        <v>618</v>
      </c>
      <c r="K39" s="431"/>
      <c r="L39" s="431"/>
      <c r="M39" s="431"/>
      <c r="U39"/>
      <c r="V39"/>
      <c r="W39"/>
      <c r="X39"/>
      <c r="Y39"/>
      <c r="AB39" s="61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6" s="16" customFormat="1" ht="17.25" hidden="1" customHeight="1" outlineLevel="1" thickBot="1">
      <c r="C40" s="427"/>
      <c r="D40" s="468"/>
      <c r="E40" s="469"/>
      <c r="F40" s="469"/>
      <c r="G40" s="469"/>
      <c r="H40" s="469"/>
      <c r="I40" s="791"/>
      <c r="J40" s="431"/>
      <c r="K40" s="431"/>
      <c r="L40" s="431"/>
      <c r="M40" s="431"/>
      <c r="U40"/>
      <c r="V40"/>
      <c r="W40"/>
      <c r="X40"/>
      <c r="Y40"/>
      <c r="AB40" s="61"/>
      <c r="AC40" s="3" t="s">
        <v>176</v>
      </c>
      <c r="AD40" s="3" cm="1">
        <f t="array" ref="AD40">angleConvert2Decimal(J39)*AD39</f>
        <v>14.728333333333333</v>
      </c>
      <c r="AE40"/>
      <c r="AF40"/>
      <c r="AG40" s="395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6" s="16" customFormat="1" ht="17.25" hidden="1" customHeight="1" outlineLevel="1" thickTop="1" thickBot="1">
      <c r="C41" s="427"/>
      <c r="D41" s="426" t="str" cm="1">
        <f t="array" ref="D41">latitudeDecimal2Txt(AD40)</f>
        <v>N 14°43.70 (N 14.7283) [N 14°43'42.00]</v>
      </c>
      <c r="E41" s="426"/>
      <c r="F41" s="426"/>
      <c r="G41" s="426"/>
      <c r="H41" s="426"/>
      <c r="I41"/>
      <c r="J41"/>
      <c r="K41"/>
      <c r="L41"/>
      <c r="N41"/>
      <c r="O41"/>
      <c r="U41"/>
      <c r="V41"/>
      <c r="W41"/>
      <c r="X41"/>
      <c r="Y41"/>
      <c r="AB41" s="61"/>
      <c r="AC41">
        <f>YEAR($X$7)</f>
        <v>1900</v>
      </c>
      <c r="AD41">
        <f>MONTH($X$7)</f>
        <v>1</v>
      </c>
      <c r="AE41">
        <f>DAY($X$7)</f>
        <v>0</v>
      </c>
      <c r="AF41" s="215">
        <f>INT(E12)</f>
        <v>9</v>
      </c>
      <c r="AG41" s="215">
        <f>INT(((3600*E12-3600*AF41)/60)+0.000001)</f>
        <v>17</v>
      </c>
      <c r="AH41" s="394">
        <f>((E12*3600 - AG41*60 -AF41*3600))</f>
        <v>0</v>
      </c>
      <c r="AI41" t="s">
        <v>802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6" s="16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61"/>
      <c r="AC42"/>
      <c r="AD42" s="68" t="s">
        <v>817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4"/>
    </row>
    <row r="43" spans="1:66" s="16" customFormat="1" ht="17.25" customHeight="1" thickBot="1">
      <c r="A43" s="33"/>
      <c r="B43" s="25" t="s">
        <v>134</v>
      </c>
      <c r="C43" s="75"/>
      <c r="D43" s="75"/>
      <c r="E43" s="75"/>
      <c r="F43" s="751">
        <f>IF(G44=AD44,D47,IF(G44=AD43,D60,D54))</f>
        <v>267.41316666666665</v>
      </c>
      <c r="G43" s="647"/>
      <c r="H43" s="647"/>
      <c r="I43" s="26"/>
      <c r="J43" s="26"/>
      <c r="K43" s="26"/>
      <c r="L43" s="750">
        <f>F43-360</f>
        <v>-92.586833333333345</v>
      </c>
      <c r="M43" s="750"/>
      <c r="N43" s="26" t="s">
        <v>28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64"/>
      <c r="AC43"/>
      <c r="AD43" s="68" t="s">
        <v>554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4"/>
    </row>
    <row r="44" spans="1:66" s="16" customFormat="1" ht="17.25" customHeight="1">
      <c r="B44" s="33"/>
      <c r="C44" s="634" t="s">
        <v>35</v>
      </c>
      <c r="D44" s="634"/>
      <c r="E44" s="634"/>
      <c r="F44" s="634"/>
      <c r="G44" s="712" t="s">
        <v>554</v>
      </c>
      <c r="H44" s="712"/>
      <c r="I44" s="71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65"/>
      <c r="AC44" s="510" t="s">
        <v>36</v>
      </c>
      <c r="AD44" s="68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4"/>
    </row>
    <row r="45" spans="1:66" s="16" customFormat="1" ht="17.25" hidden="1" customHeight="1" outlineLevel="1">
      <c r="C45" s="408" t="s">
        <v>10</v>
      </c>
      <c r="D45" s="434" t="s">
        <v>415</v>
      </c>
      <c r="E45" s="435"/>
      <c r="F45" s="435"/>
      <c r="G45" s="435"/>
      <c r="H45" s="435"/>
      <c r="I45" s="432" t="s">
        <v>619</v>
      </c>
      <c r="J45" s="416"/>
      <c r="K45" s="415" t="s">
        <v>13</v>
      </c>
      <c r="L45" s="432"/>
      <c r="M45" s="612"/>
      <c r="N45" s="522" t="s">
        <v>15</v>
      </c>
      <c r="O45" s="523"/>
      <c r="P45" s="523"/>
      <c r="Q45" s="523"/>
      <c r="R45" s="524"/>
      <c r="S45" s="14"/>
      <c r="AB45" s="61"/>
      <c r="AC45" s="510"/>
      <c r="AD45" s="68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4"/>
    </row>
    <row r="46" spans="1:66" s="16" customFormat="1" ht="17.25" hidden="1" customHeight="1" outlineLevel="1" thickBot="1">
      <c r="C46" s="408"/>
      <c r="D46" s="417"/>
      <c r="E46" s="433"/>
      <c r="F46" s="433"/>
      <c r="G46" s="433"/>
      <c r="H46" s="433"/>
      <c r="I46" s="433"/>
      <c r="J46" s="418"/>
      <c r="K46" s="613"/>
      <c r="L46" s="614"/>
      <c r="M46" s="615"/>
      <c r="N46" s="525"/>
      <c r="O46" s="526"/>
      <c r="P46" s="526"/>
      <c r="Q46" s="526"/>
      <c r="R46" s="527"/>
      <c r="S46" s="14"/>
      <c r="AB46" s="61"/>
      <c r="AC46"/>
      <c r="AD46" s="71" t="s">
        <v>73</v>
      </c>
      <c r="AE46" s="3" t="s">
        <v>622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4"/>
    </row>
    <row r="47" spans="1:66" s="16" customFormat="1" ht="17.25" hidden="1" customHeight="1" outlineLevel="1" thickTop="1" thickBot="1">
      <c r="C47" s="408"/>
      <c r="D47" s="436" t="str">
        <f>IF(G44=AD44,AF52,"---")</f>
        <v>---</v>
      </c>
      <c r="E47" s="421"/>
      <c r="F47" s="421"/>
      <c r="G47" s="421"/>
      <c r="H47" s="422"/>
      <c r="I47" s="409">
        <f>E12</f>
        <v>9.2833333333333332</v>
      </c>
      <c r="J47" s="410"/>
      <c r="K47" s="789">
        <v>9</v>
      </c>
      <c r="L47" s="608"/>
      <c r="M47" s="790"/>
      <c r="N47" s="429" t="s">
        <v>5</v>
      </c>
      <c r="O47" s="635" t="s">
        <v>815</v>
      </c>
      <c r="P47" s="635"/>
      <c r="Q47" s="635"/>
      <c r="R47" s="636"/>
      <c r="S47" s="738" t="str" cm="1">
        <f t="array" ref="S47">angleDecimal2Txt(AF47)</f>
        <v>+110°09.40 (+110.1566) [+110°09'24.00]</v>
      </c>
      <c r="T47" s="738"/>
      <c r="U47" s="738"/>
      <c r="V47" s="738"/>
      <c r="W47" s="738"/>
      <c r="X47" s="738"/>
      <c r="Z47"/>
      <c r="AB47" s="61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4"/>
    </row>
    <row r="48" spans="1:66" s="16" customFormat="1" ht="17.25" hidden="1" customHeight="1" outlineLevel="1" thickTop="1" thickBot="1">
      <c r="C48" s="408"/>
      <c r="D48" s="437"/>
      <c r="E48" s="423"/>
      <c r="F48" s="423"/>
      <c r="G48" s="423"/>
      <c r="H48" s="424"/>
      <c r="I48" s="411"/>
      <c r="J48" s="412"/>
      <c r="K48" s="632"/>
      <c r="L48" s="610"/>
      <c r="M48" s="633"/>
      <c r="N48" s="429"/>
      <c r="O48" s="637"/>
      <c r="P48" s="637"/>
      <c r="Q48" s="637"/>
      <c r="R48" s="638"/>
      <c r="S48" s="738"/>
      <c r="T48" s="738"/>
      <c r="U48" s="738"/>
      <c r="V48" s="738"/>
      <c r="W48" s="738"/>
      <c r="X48" s="738"/>
      <c r="Z48"/>
      <c r="AB48" s="61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4"/>
    </row>
    <row r="49" spans="1:66" s="16" customFormat="1" ht="17.25" hidden="1" customHeight="1" outlineLevel="1" thickTop="1" thickBot="1">
      <c r="C49" s="408"/>
      <c r="D49" s="437"/>
      <c r="E49" s="423"/>
      <c r="F49" s="423"/>
      <c r="G49" s="423"/>
      <c r="H49" s="424"/>
      <c r="I49" s="411"/>
      <c r="J49" s="412"/>
      <c r="K49" s="629">
        <v>10</v>
      </c>
      <c r="L49" s="630"/>
      <c r="M49" s="631"/>
      <c r="N49" s="429" t="s">
        <v>5</v>
      </c>
      <c r="O49" s="739" t="s">
        <v>816</v>
      </c>
      <c r="P49" s="739"/>
      <c r="Q49" s="739"/>
      <c r="R49" s="740"/>
      <c r="S49" s="738" t="str" cm="1">
        <f t="array" ref="S49">angleDecimal2Txt((AF48))</f>
        <v>+125°11.90 (+125.1983) [+125°11'54.00]</v>
      </c>
      <c r="T49" s="738"/>
      <c r="U49" s="738"/>
      <c r="V49" s="738"/>
      <c r="W49" s="738"/>
      <c r="X49" s="738"/>
      <c r="Z49"/>
      <c r="AB49" s="61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4"/>
    </row>
    <row r="50" spans="1:66" s="16" customFormat="1" ht="17.25" hidden="1" customHeight="1" outlineLevel="1" thickTop="1" thickBot="1">
      <c r="C50" s="408"/>
      <c r="D50" s="426" t="e" cm="1">
        <f t="array" ref="D50">angleDecimal2Txt(D47)</f>
        <v>#VALUE!</v>
      </c>
      <c r="E50" s="426"/>
      <c r="F50" s="426"/>
      <c r="G50" s="426"/>
      <c r="H50" s="426"/>
      <c r="I50" s="413"/>
      <c r="J50" s="414"/>
      <c r="K50" s="632"/>
      <c r="L50" s="610"/>
      <c r="M50" s="633"/>
      <c r="N50" s="429"/>
      <c r="O50" s="637"/>
      <c r="P50" s="637"/>
      <c r="Q50" s="637"/>
      <c r="R50" s="638"/>
      <c r="S50" s="738"/>
      <c r="T50" s="738"/>
      <c r="U50" s="738"/>
      <c r="V50" s="738"/>
      <c r="W50" s="738"/>
      <c r="X50" s="738"/>
      <c r="Z50"/>
      <c r="AB50" s="61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4"/>
    </row>
    <row r="51" spans="1:66" s="16" customFormat="1" ht="17.25" customHeight="1" collapsed="1">
      <c r="C51" s="59"/>
      <c r="D51" s="59"/>
      <c r="E51" s="59"/>
      <c r="Z51"/>
      <c r="AB51" s="61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4"/>
    </row>
    <row r="52" spans="1:66" s="16" customFormat="1" ht="17.25" hidden="1" customHeight="1" outlineLevel="1">
      <c r="C52" s="438" t="s">
        <v>14</v>
      </c>
      <c r="D52" s="420" t="s">
        <v>415</v>
      </c>
      <c r="E52" s="420"/>
      <c r="F52" s="420"/>
      <c r="G52" s="420"/>
      <c r="H52" s="420"/>
      <c r="I52" s="439" t="s">
        <v>619</v>
      </c>
      <c r="J52" s="420"/>
      <c r="K52" s="432" t="s">
        <v>611</v>
      </c>
      <c r="L52" s="432"/>
      <c r="M52" s="612"/>
      <c r="N52" s="522" t="s">
        <v>16</v>
      </c>
      <c r="O52" s="523"/>
      <c r="P52" s="523"/>
      <c r="Q52" s="523"/>
      <c r="R52" s="524"/>
      <c r="S52" s="522" t="s">
        <v>94</v>
      </c>
      <c r="T52" s="523"/>
      <c r="U52" s="523"/>
      <c r="V52" s="523"/>
      <c r="W52" s="524"/>
      <c r="Z52"/>
      <c r="AA52" s="14"/>
      <c r="AB52" s="61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4"/>
    </row>
    <row r="53" spans="1:66" s="16" customFormat="1" ht="17.25" hidden="1" customHeight="1" outlineLevel="1">
      <c r="C53" s="438"/>
      <c r="D53" s="420"/>
      <c r="E53" s="420"/>
      <c r="F53" s="420"/>
      <c r="G53" s="420"/>
      <c r="H53" s="420"/>
      <c r="I53" s="420"/>
      <c r="J53" s="420"/>
      <c r="K53" s="614"/>
      <c r="L53" s="614"/>
      <c r="M53" s="615"/>
      <c r="N53" s="525"/>
      <c r="O53" s="526"/>
      <c r="P53" s="526"/>
      <c r="Q53" s="526"/>
      <c r="R53" s="527"/>
      <c r="S53" s="525"/>
      <c r="T53" s="528"/>
      <c r="U53" s="528"/>
      <c r="V53" s="528"/>
      <c r="W53" s="529"/>
      <c r="Z53"/>
      <c r="AA53" s="14"/>
      <c r="AB53" s="61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4"/>
    </row>
    <row r="54" spans="1:66" s="16" customFormat="1" ht="17.25" hidden="1" customHeight="1" outlineLevel="1">
      <c r="C54" s="438"/>
      <c r="D54" s="428" t="str">
        <f>IF(G44=AD45,AF58,"---")</f>
        <v>---</v>
      </c>
      <c r="E54" s="428"/>
      <c r="F54" s="428"/>
      <c r="G54" s="428"/>
      <c r="H54" s="428"/>
      <c r="I54" s="429">
        <f>E12</f>
        <v>9.2833333333333332</v>
      </c>
      <c r="J54" s="429"/>
      <c r="K54" s="608">
        <v>0</v>
      </c>
      <c r="L54" s="608"/>
      <c r="M54" s="790"/>
      <c r="N54" s="429" t="s">
        <v>5</v>
      </c>
      <c r="O54" s="616" t="s">
        <v>612</v>
      </c>
      <c r="P54" s="616"/>
      <c r="Q54" s="616"/>
      <c r="R54" s="616"/>
      <c r="S54" s="429" t="s">
        <v>5</v>
      </c>
      <c r="T54" s="560">
        <v>14.997999999999999</v>
      </c>
      <c r="U54" s="429"/>
      <c r="V54" s="429"/>
      <c r="W54" s="429"/>
      <c r="AA54" s="14"/>
      <c r="AB54" s="61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4"/>
    </row>
    <row r="55" spans="1:66" s="16" customFormat="1" ht="17.25" hidden="1" customHeight="1" outlineLevel="1" collapsed="1" thickBot="1">
      <c r="C55" s="438"/>
      <c r="D55" s="428"/>
      <c r="E55" s="428"/>
      <c r="F55" s="428"/>
      <c r="G55" s="428"/>
      <c r="H55" s="428"/>
      <c r="I55" s="429"/>
      <c r="J55" s="429"/>
      <c r="K55" s="610"/>
      <c r="L55" s="610"/>
      <c r="M55" s="633"/>
      <c r="N55" s="429"/>
      <c r="O55" s="617"/>
      <c r="P55" s="617"/>
      <c r="Q55" s="617"/>
      <c r="R55" s="617"/>
      <c r="S55" s="429"/>
      <c r="T55" s="429"/>
      <c r="U55" s="429"/>
      <c r="V55" s="429"/>
      <c r="W55" s="429"/>
      <c r="Z55" s="14"/>
      <c r="AA55" s="14"/>
      <c r="AB55" s="61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6" s="16" customFormat="1" ht="17.25" hidden="1" customHeight="1" outlineLevel="1" thickTop="1" thickBot="1">
      <c r="C56" s="438"/>
      <c r="D56" s="426" t="e" cm="1">
        <f t="array" ref="D56">angleDecimal2Txt(D54)</f>
        <v>#VALUE!</v>
      </c>
      <c r="E56" s="426"/>
      <c r="F56" s="426"/>
      <c r="G56" s="426"/>
      <c r="H56" s="426"/>
      <c r="I56" s="429"/>
      <c r="J56" s="429"/>
      <c r="K56" s="440" t="str" cm="1">
        <f t="array" ref="K56">heureDecimal2Txt(K54)</f>
        <v>00:00:00.00(00.0000)</v>
      </c>
      <c r="L56" s="440"/>
      <c r="M56" s="425"/>
      <c r="N56" s="622" t="str" cm="1">
        <f t="array" ref="N56">angleDecimal2Txt(AD55)</f>
        <v>+180°02.00 (+180.0333) [+180°02'00.00]</v>
      </c>
      <c r="O56" s="557"/>
      <c r="P56" s="557"/>
      <c r="Q56" s="557"/>
      <c r="R56" s="557"/>
      <c r="S56" s="622" t="str" cm="1">
        <f t="array" ref="S56">angleDecimal2Txt(AD57)</f>
        <v>+14°59.87 (+14.9979) [+14°59'52.79]</v>
      </c>
      <c r="T56" s="623"/>
      <c r="U56" s="623"/>
      <c r="V56" s="623"/>
      <c r="W56" s="623"/>
      <c r="Z56" s="14"/>
      <c r="AB56" s="61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6" s="16" customFormat="1" ht="17.25" customHeight="1" collapsed="1">
      <c r="A57" s="34" t="s">
        <v>537</v>
      </c>
      <c r="C57" s="59"/>
      <c r="D57" s="59"/>
      <c r="E57" s="59"/>
      <c r="Z57" s="14"/>
      <c r="AB57" s="61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4"/>
    </row>
    <row r="58" spans="1:66" s="16" customFormat="1" ht="17.25" customHeight="1" outlineLevel="1">
      <c r="C58" s="427" t="s">
        <v>620</v>
      </c>
      <c r="D58" s="420" t="s">
        <v>415</v>
      </c>
      <c r="E58" s="420"/>
      <c r="F58" s="420"/>
      <c r="G58" s="420"/>
      <c r="H58" s="420"/>
      <c r="I58" s="430" t="s">
        <v>556</v>
      </c>
      <c r="J58" s="430"/>
      <c r="K58" s="430"/>
      <c r="L58" s="430"/>
      <c r="M58" s="430"/>
      <c r="AB58" s="61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4"/>
    </row>
    <row r="59" spans="1:66" s="16" customFormat="1" ht="17.25" customHeight="1" outlineLevel="1">
      <c r="C59" s="427"/>
      <c r="D59" s="420"/>
      <c r="E59" s="420"/>
      <c r="F59" s="420"/>
      <c r="G59" s="420"/>
      <c r="H59" s="420"/>
      <c r="I59" s="430"/>
      <c r="J59" s="430"/>
      <c r="K59" s="430"/>
      <c r="L59" s="430"/>
      <c r="M59" s="430"/>
      <c r="O59" s="16" t="s">
        <v>821</v>
      </c>
      <c r="Q59" s="16" t="s">
        <v>819</v>
      </c>
      <c r="W59" s="14"/>
      <c r="X59" s="14"/>
      <c r="AB59" s="61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4"/>
    </row>
    <row r="60" spans="1:66" s="16" customFormat="1" ht="17.25" customHeight="1" outlineLevel="1">
      <c r="C60" s="427"/>
      <c r="D60" s="428">
        <f>IF(G44=AD43,AD61,"---")</f>
        <v>267.41316666666665</v>
      </c>
      <c r="E60" s="428"/>
      <c r="F60" s="428"/>
      <c r="G60" s="428"/>
      <c r="H60" s="428"/>
      <c r="I60" s="429" t="s">
        <v>5</v>
      </c>
      <c r="J60" s="431" t="str">
        <f>angleDecimal2Txt(T60,0)</f>
        <v>+267°24.79</v>
      </c>
      <c r="K60" s="431"/>
      <c r="L60" s="431"/>
      <c r="M60" s="431"/>
      <c r="O60" s="40" t="s">
        <v>818</v>
      </c>
      <c r="P60" s="16">
        <f>angleConvert2Decimal(O60)</f>
        <v>121.31833333333333</v>
      </c>
      <c r="Q60" s="40" t="s">
        <v>820</v>
      </c>
      <c r="R60" s="16">
        <f>angleConvert2Decimal(Q60)</f>
        <v>146.095</v>
      </c>
      <c r="S60" s="16">
        <f>R60+P60</f>
        <v>267.4133333333333</v>
      </c>
      <c r="T60" s="16">
        <f>MOD(360+S60,360)</f>
        <v>267.4133333333333</v>
      </c>
      <c r="W60" s="14"/>
      <c r="X60" s="14"/>
      <c r="AB60" s="61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6" s="16" customFormat="1" ht="17.25" customHeight="1" outlineLevel="1" thickBot="1">
      <c r="C61" s="427"/>
      <c r="D61" s="428"/>
      <c r="E61" s="428"/>
      <c r="F61" s="428"/>
      <c r="G61" s="428"/>
      <c r="H61" s="428"/>
      <c r="I61" s="429"/>
      <c r="J61" s="431"/>
      <c r="K61" s="431"/>
      <c r="L61" s="431"/>
      <c r="M61" s="431"/>
      <c r="S61" s="14"/>
      <c r="T61" s="14"/>
      <c r="U61" s="14"/>
      <c r="V61" s="14"/>
      <c r="W61" s="14"/>
      <c r="X61" s="14"/>
      <c r="AB61" s="61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6" s="16" customFormat="1" ht="17.25" customHeight="1" outlineLevel="1" thickTop="1" thickBot="1">
      <c r="C62" s="427"/>
      <c r="D62" s="426" t="str" cm="1">
        <f t="array" ref="D62">angleDecimal2Txt(AD61)</f>
        <v>+267°24.78 (+267.4131) [+267°24'47.39]</v>
      </c>
      <c r="E62" s="426"/>
      <c r="F62" s="426"/>
      <c r="G62" s="426"/>
      <c r="H62" s="426"/>
      <c r="I62"/>
      <c r="J62"/>
      <c r="K62"/>
      <c r="L62"/>
      <c r="M62"/>
      <c r="S62" s="14"/>
      <c r="T62" s="14"/>
      <c r="U62" s="14"/>
      <c r="V62" s="14"/>
      <c r="W62" s="14"/>
      <c r="X62" s="14"/>
      <c r="AB62" s="61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6" s="16" customFormat="1" ht="17.25" customHeight="1" thickTop="1" thickBot="1">
      <c r="C63"/>
      <c r="D63"/>
      <c r="E63"/>
      <c r="I63"/>
      <c r="J63"/>
      <c r="K63"/>
      <c r="L63"/>
      <c r="M63"/>
      <c r="S63" s="14"/>
      <c r="T63" s="14"/>
      <c r="U63" s="14"/>
      <c r="V63" s="14"/>
      <c r="W63" s="14"/>
      <c r="X63" s="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6" s="14" customFormat="1" ht="17.25" customHeight="1" thickBot="1">
      <c r="A64" s="16"/>
      <c r="B64" s="25" t="s">
        <v>43</v>
      </c>
      <c r="C64" s="75"/>
      <c r="D64" s="75"/>
      <c r="E64" s="75"/>
      <c r="F64" s="751">
        <f>I65</f>
        <v>43.763166666666621</v>
      </c>
      <c r="G64" s="751"/>
      <c r="H64" s="751"/>
      <c r="I64" s="26"/>
      <c r="J64" s="639" t="s">
        <v>55</v>
      </c>
      <c r="K64" s="639"/>
      <c r="L64" s="639"/>
      <c r="M64" s="814" t="e">
        <f>#REF!</f>
        <v>#REF!</v>
      </c>
      <c r="N64" s="814"/>
      <c r="O64" s="814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2:66" s="16" customFormat="1" ht="17.25" customHeight="1" thickTop="1" thickBot="1">
      <c r="C65" s="607" t="s">
        <v>21</v>
      </c>
      <c r="D65" s="607"/>
      <c r="E65" s="607"/>
      <c r="F65" s="607"/>
      <c r="G65" s="607"/>
      <c r="H65" s="607"/>
      <c r="I65" s="461">
        <f>AD66</f>
        <v>43.763166666666621</v>
      </c>
      <c r="J65" s="461"/>
      <c r="K65" s="461"/>
      <c r="L65" s="462"/>
      <c r="M65" s="36" t="s">
        <v>45</v>
      </c>
      <c r="N65" s="602">
        <f>AD65</f>
        <v>403.76316666666662</v>
      </c>
      <c r="O65" s="602"/>
      <c r="P65" s="602"/>
      <c r="Q65" s="602"/>
      <c r="R65" s="455" t="str" cm="1">
        <f t="array" ref="R65">angleDecimal2Txt(AD66)</f>
        <v>+43°45.78 (+43.7631) [+43°45'47.39]</v>
      </c>
      <c r="S65" s="456"/>
      <c r="T65" s="456"/>
      <c r="U65" s="456"/>
      <c r="V65" s="456"/>
      <c r="W65" s="457"/>
      <c r="AB65" s="61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6" customFormat="1" ht="17.25" customHeight="1" thickBot="1">
      <c r="B68" s="25" t="s">
        <v>44</v>
      </c>
      <c r="C68" s="26"/>
      <c r="D68" s="4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6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>
      <c r="C70" s="14"/>
      <c r="D70" s="14"/>
      <c r="E70" s="571" t="s">
        <v>92</v>
      </c>
      <c r="F70" s="572"/>
      <c r="G70" s="572"/>
      <c r="H70" s="573"/>
      <c r="I70" s="436">
        <f>astroCalculZ(Q71,Q70,Q72)</f>
        <v>89.965116490788859</v>
      </c>
      <c r="J70" s="421"/>
      <c r="K70" s="421"/>
      <c r="L70" s="421"/>
      <c r="M70" s="422"/>
      <c r="O70" s="565" t="s">
        <v>84</v>
      </c>
      <c r="P70" s="565"/>
      <c r="Q70" s="565">
        <f>F22</f>
        <v>19.190000000000001</v>
      </c>
      <c r="R70" s="565"/>
      <c r="S70" s="565"/>
      <c r="T70" s="411" t="s">
        <v>54</v>
      </c>
      <c r="U70"/>
      <c r="V70"/>
      <c r="W70"/>
      <c r="X70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C71" s="14"/>
      <c r="D71" s="14"/>
      <c r="E71" s="574"/>
      <c r="F71" s="575"/>
      <c r="G71" s="575"/>
      <c r="H71" s="576"/>
      <c r="I71" s="468"/>
      <c r="J71" s="469"/>
      <c r="K71" s="469"/>
      <c r="L71" s="469"/>
      <c r="M71" s="470"/>
      <c r="N71" s="48" t="s">
        <v>116</v>
      </c>
      <c r="O71" s="565" t="s">
        <v>85</v>
      </c>
      <c r="P71" s="565"/>
      <c r="Q71" s="565">
        <f>G16</f>
        <v>25.7</v>
      </c>
      <c r="R71" s="565"/>
      <c r="S71" s="565"/>
      <c r="T71" s="411"/>
      <c r="U71"/>
      <c r="V71"/>
      <c r="W71"/>
      <c r="X71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7.25" customHeight="1" thickTop="1" thickBot="1">
      <c r="C72" s="14"/>
      <c r="D72" s="14"/>
      <c r="E72" s="577"/>
      <c r="F72" s="578"/>
      <c r="G72" s="578"/>
      <c r="H72" s="579"/>
      <c r="I72" s="465" t="str" cm="1">
        <f t="array" ref="I72">angleDecimal2Txt(I70)</f>
        <v>+89°57.90 (+89.9651) [+89°57'54.41]</v>
      </c>
      <c r="J72" s="466"/>
      <c r="K72" s="466"/>
      <c r="L72" s="466"/>
      <c r="M72" s="467"/>
      <c r="O72" s="565" t="s">
        <v>43</v>
      </c>
      <c r="P72" s="565"/>
      <c r="Q72" s="565">
        <f>F64</f>
        <v>43.763166666666621</v>
      </c>
      <c r="R72" s="565"/>
      <c r="S72" s="565"/>
      <c r="T72" s="411"/>
      <c r="U72"/>
      <c r="V72"/>
      <c r="W72"/>
      <c r="X7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7.25" customHeight="1" thickTop="1">
      <c r="C73" s="14"/>
      <c r="D73" s="14"/>
      <c r="E73"/>
      <c r="F73"/>
      <c r="G73"/>
      <c r="H73"/>
      <c r="I73"/>
      <c r="J73"/>
      <c r="K73"/>
      <c r="L73"/>
      <c r="M7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ht="17.25" customHeight="1">
      <c r="I74" s="568" t="s">
        <v>143</v>
      </c>
      <c r="J74" s="569"/>
      <c r="K74" s="569"/>
      <c r="L74" s="569"/>
      <c r="M74" s="569"/>
      <c r="N74" s="570"/>
      <c r="O74" s="568" t="s">
        <v>144</v>
      </c>
      <c r="P74" s="569"/>
      <c r="Q74" s="569"/>
      <c r="R74" s="569"/>
      <c r="S74" s="569"/>
      <c r="T74" s="570"/>
    </row>
    <row r="75" spans="2:66" ht="17.25" customHeight="1">
      <c r="I75" s="450"/>
      <c r="J75" s="691" t="s">
        <v>117</v>
      </c>
      <c r="K75" s="692"/>
      <c r="L75" s="693"/>
      <c r="M75" s="697" t="s">
        <v>118</v>
      </c>
      <c r="N75" s="698"/>
      <c r="O75" s="450"/>
      <c r="P75" s="691" t="s">
        <v>117</v>
      </c>
      <c r="Q75" s="692"/>
      <c r="R75" s="693"/>
      <c r="S75" s="697" t="s">
        <v>119</v>
      </c>
      <c r="T75" s="698"/>
    </row>
    <row r="76" spans="2:66" ht="17.25" customHeight="1">
      <c r="I76" s="451"/>
      <c r="J76" s="694" t="s">
        <v>87</v>
      </c>
      <c r="K76" s="695"/>
      <c r="L76" s="696"/>
      <c r="M76" s="699" t="s">
        <v>88</v>
      </c>
      <c r="N76" s="700"/>
      <c r="O76" s="451"/>
      <c r="P76" s="694" t="s">
        <v>87</v>
      </c>
      <c r="Q76" s="695"/>
      <c r="R76" s="696"/>
      <c r="S76" s="699" t="s">
        <v>89</v>
      </c>
      <c r="T76" s="700"/>
    </row>
    <row r="77" spans="2:66" ht="17.25" customHeight="1"/>
    <row r="78" spans="2:66" ht="17.25" customHeight="1">
      <c r="I78" s="565" t="s">
        <v>85</v>
      </c>
      <c r="J78" s="565"/>
      <c r="K78" s="57">
        <f>Q71</f>
        <v>25.7</v>
      </c>
      <c r="L78" s="567" t="str">
        <f>CONCATENATE("Sens: ",IF(Q83&gt;0,"Nord","Sud"))</f>
        <v>Sens: Sud</v>
      </c>
      <c r="M78" s="555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</row>
    <row r="79" spans="2:66" s="16" customFormat="1" ht="17.25" customHeight="1" thickBot="1">
      <c r="C79" s="59"/>
      <c r="D79" s="59"/>
      <c r="I79" s="565" t="s">
        <v>43</v>
      </c>
      <c r="J79" s="565"/>
      <c r="K79" s="57">
        <f>Q72</f>
        <v>43.763166666666621</v>
      </c>
      <c r="L79" s="567" t="str">
        <f>CONCATENATE("Is &gt; 180? ", IF(Q93&gt;180,"Y", "N"))</f>
        <v>Is &gt; 180? N</v>
      </c>
      <c r="M79" s="555"/>
      <c r="O79" s="735" t="s">
        <v>93</v>
      </c>
      <c r="P79" s="736"/>
      <c r="Q79" s="736"/>
      <c r="R79" s="736"/>
      <c r="S79" s="736"/>
      <c r="T79" s="823">
        <f>astroCalculZ2Zn(Q71,I70,Q72)</f>
        <v>270.03488350921111</v>
      </c>
      <c r="U79" s="824"/>
      <c r="V79" s="50" t="s">
        <v>28</v>
      </c>
      <c r="W79" s="14"/>
      <c r="Z79"/>
      <c r="AA79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7.25" customHeight="1" thickTop="1" thickBot="1">
      <c r="C80" s="59"/>
      <c r="D80" s="59"/>
      <c r="F80" s="59"/>
      <c r="G80" s="59"/>
      <c r="I80" s="731" t="s">
        <v>120</v>
      </c>
      <c r="J80" s="732"/>
      <c r="K80" s="774"/>
      <c r="L80" s="567" t="str">
        <f>IF(K78&gt;0,IF(K79&gt;180,M75,M76),IF(K79&gt;180,S75,S76))</f>
        <v>Zn = 360 - Z</v>
      </c>
      <c r="M80" s="555"/>
      <c r="T80" s="557" t="str" cm="1">
        <f t="array" ref="T80">angleDecimal2Txt(T79)</f>
        <v>+270°02.09 (+270.0348) [+270°02'05.58]</v>
      </c>
      <c r="U80" s="557"/>
      <c r="V80" s="557"/>
      <c r="W80" s="557"/>
      <c r="X80" s="557"/>
      <c r="Y80" s="557"/>
      <c r="Z80"/>
      <c r="AA80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1:66" s="16" customFormat="1" ht="17.25" customHeight="1" thickTop="1">
      <c r="C81" s="59"/>
      <c r="D81" s="59"/>
      <c r="O81"/>
      <c r="P81"/>
      <c r="Q81"/>
      <c r="R81"/>
      <c r="S81"/>
      <c r="T81"/>
      <c r="U81"/>
      <c r="V81"/>
      <c r="W81"/>
      <c r="X81"/>
      <c r="Y81"/>
      <c r="Z81"/>
      <c r="AA81"/>
      <c r="AB81" s="6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1:66" s="16" customFormat="1" ht="17.25" customHeight="1">
      <c r="A82" s="14"/>
      <c r="B82" s="14"/>
      <c r="C82" s="14"/>
      <c r="D82" s="14"/>
      <c r="O82"/>
      <c r="P82"/>
      <c r="Q82"/>
      <c r="R82"/>
      <c r="S82"/>
      <c r="T82"/>
      <c r="U82"/>
      <c r="V82"/>
      <c r="W82"/>
      <c r="X82"/>
      <c r="Y82"/>
      <c r="Z82"/>
      <c r="AA82"/>
      <c r="AB82" s="6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1:66" s="399" customFormat="1">
      <c r="A83" s="399" t="s">
        <v>822</v>
      </c>
    </row>
    <row r="84" spans="1:66">
      <c r="B84" t="s">
        <v>824</v>
      </c>
      <c r="C84" t="s">
        <v>825</v>
      </c>
    </row>
    <row r="85" spans="1:66" ht="15.75">
      <c r="D85" s="400" t="s">
        <v>826</v>
      </c>
    </row>
    <row r="86" spans="1:66" ht="15.75">
      <c r="D86" s="401" t="s">
        <v>827</v>
      </c>
    </row>
    <row r="87" spans="1:66">
      <c r="D87" t="s">
        <v>828</v>
      </c>
    </row>
    <row r="88" spans="1:66">
      <c r="B88" t="s">
        <v>829</v>
      </c>
    </row>
    <row r="89" spans="1:66">
      <c r="C89" t="s">
        <v>833</v>
      </c>
    </row>
    <row r="90" spans="1:66">
      <c r="C90" t="s">
        <v>832</v>
      </c>
      <c r="I90" s="11" t="s">
        <v>831</v>
      </c>
    </row>
    <row r="91" spans="1:66">
      <c r="D91" t="s">
        <v>830</v>
      </c>
    </row>
    <row r="92" spans="1:66" ht="15.75" thickBot="1"/>
    <row r="93" spans="1:66" s="16" customFormat="1" ht="17.25" customHeight="1" thickBot="1">
      <c r="B93" s="25" t="s">
        <v>841</v>
      </c>
      <c r="C93" s="26"/>
      <c r="D93" s="26"/>
      <c r="E93" s="94" t="str" cm="1">
        <f t="array" ref="E93">dateDecimale2txt(dateConvert2Decimal(M94),0)</f>
        <v>2025/08/28</v>
      </c>
      <c r="F93" s="94"/>
      <c r="G93" s="95"/>
      <c r="H93" s="96"/>
      <c r="I93" s="94" t="e" cm="1">
        <f t="array" ref="I93">heureDecimal2Txt(#REF!)</f>
        <v>#VALUE!</v>
      </c>
      <c r="J93" s="94"/>
      <c r="K93" s="94"/>
      <c r="L93" s="26"/>
      <c r="M93" s="26"/>
      <c r="N93" s="26" t="s">
        <v>316</v>
      </c>
      <c r="O93" s="26"/>
      <c r="P93" s="26"/>
      <c r="Q93" s="26"/>
      <c r="R93" s="26"/>
      <c r="S93" s="26" t="s">
        <v>317</v>
      </c>
      <c r="T93" s="807">
        <f>dateConvert2Decimal(M94)</f>
        <v>1756339200</v>
      </c>
      <c r="U93" s="807"/>
      <c r="V93" s="807"/>
      <c r="W93" s="26" t="s">
        <v>318</v>
      </c>
      <c r="X93" s="783">
        <f>(T93/86400)+DATE(1970,1,1)</f>
        <v>45897</v>
      </c>
      <c r="Y93" s="783"/>
      <c r="Z93" s="26" t="s">
        <v>319</v>
      </c>
      <c r="AA93" s="247">
        <f>INT(MONTH(X93))</f>
        <v>8</v>
      </c>
      <c r="AB93" s="62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1:66" s="16" customFormat="1" ht="17.25" customHeight="1">
      <c r="C94" s="1464" t="s">
        <v>1</v>
      </c>
      <c r="D94" s="1465"/>
      <c r="E94" s="1465"/>
      <c r="F94" s="1465"/>
      <c r="G94" s="1465"/>
      <c r="H94" s="1465"/>
      <c r="I94" s="1465"/>
      <c r="J94" s="402"/>
      <c r="K94" s="402"/>
      <c r="L94" s="402"/>
      <c r="M94" s="780" t="s">
        <v>834</v>
      </c>
      <c r="N94" s="781"/>
      <c r="O94" s="781"/>
      <c r="P94" s="402"/>
      <c r="AB94" s="61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1:66" s="16" customFormat="1" ht="17.25" customHeight="1">
      <c r="C95" s="1463" t="s">
        <v>56</v>
      </c>
      <c r="D95" s="1463"/>
      <c r="E95" s="1463"/>
      <c r="F95" s="1463"/>
      <c r="G95" s="1463"/>
      <c r="H95" s="1463"/>
      <c r="I95" s="1463"/>
      <c r="J95" s="592" t="str">
        <f>M95</f>
        <v>BordSup</v>
      </c>
      <c r="K95" s="592"/>
      <c r="L95" s="592"/>
      <c r="M95" s="673" t="s">
        <v>188</v>
      </c>
      <c r="N95" s="673"/>
      <c r="O95" s="673"/>
      <c r="AB95" s="61"/>
      <c r="AC95" s="69" t="s">
        <v>98</v>
      </c>
      <c r="AD95" s="70" t="s">
        <v>57</v>
      </c>
      <c r="AE95" s="70" t="s">
        <v>188</v>
      </c>
      <c r="AF95" s="70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1:66" s="16" customFormat="1" ht="17.25" customHeight="1" thickBot="1">
      <c r="C96" s="15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1"/>
      <c r="AC96" s="405" t="s">
        <v>847</v>
      </c>
      <c r="AD96" s="405">
        <v>-0.5</v>
      </c>
      <c r="AE96" s="405">
        <v>-1</v>
      </c>
      <c r="AF96" s="405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thickBot="1">
      <c r="B97" s="25" t="s">
        <v>198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62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 thickBot="1">
      <c r="C98" s="714" t="s">
        <v>7</v>
      </c>
      <c r="D98" s="714"/>
      <c r="E98" s="714"/>
      <c r="F98" s="714"/>
      <c r="G98" s="561">
        <f>AD99</f>
        <v>27.583333333333332</v>
      </c>
      <c r="H98" s="562"/>
      <c r="I98" s="562"/>
      <c r="J98" s="620" t="s">
        <v>3</v>
      </c>
      <c r="K98" s="717" t="s">
        <v>789</v>
      </c>
      <c r="L98" s="620"/>
      <c r="M98" s="620"/>
      <c r="N98" s="620"/>
      <c r="O98" s="620"/>
      <c r="P98" s="722" t="str" cm="1">
        <f t="array" ref="P98">latitudeDecimal2Txt(G98)</f>
        <v>N 27°35.00 (N 27.5833) [N 27°35'00.00]</v>
      </c>
      <c r="Q98" s="722"/>
      <c r="R98" s="722"/>
      <c r="S98" s="722"/>
      <c r="T98" s="722"/>
      <c r="U98" s="722"/>
      <c r="V98" s="722"/>
      <c r="W98" s="722"/>
      <c r="X98" s="722"/>
      <c r="Y98" s="722"/>
      <c r="AB98" s="61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A99" s="407" t="s">
        <v>129</v>
      </c>
      <c r="B99" s="311" t="s">
        <v>130</v>
      </c>
      <c r="C99" s="714"/>
      <c r="D99" s="714"/>
      <c r="E99" s="714"/>
      <c r="F99" s="714"/>
      <c r="G99" s="562"/>
      <c r="H99" s="562"/>
      <c r="I99" s="562"/>
      <c r="J99" s="620"/>
      <c r="K99" s="620"/>
      <c r="L99" s="620"/>
      <c r="M99" s="620"/>
      <c r="N99" s="620"/>
      <c r="O99" s="620"/>
      <c r="P99" s="722"/>
      <c r="Q99" s="722"/>
      <c r="R99" s="722"/>
      <c r="S99" s="722"/>
      <c r="T99" s="722"/>
      <c r="U99" s="722"/>
      <c r="V99" s="722"/>
      <c r="W99" s="722"/>
      <c r="X99" s="722"/>
      <c r="Y99" s="722"/>
      <c r="AB99" s="61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A100" s="407"/>
      <c r="B100" s="311" t="s">
        <v>138</v>
      </c>
      <c r="C100" s="563" t="s">
        <v>8</v>
      </c>
      <c r="D100" s="563"/>
      <c r="E100" s="563"/>
      <c r="F100" s="563"/>
      <c r="G100" s="561">
        <f>AD101</f>
        <v>-151.69999999999999</v>
      </c>
      <c r="H100" s="562"/>
      <c r="I100" s="562"/>
      <c r="J100" s="620" t="s">
        <v>6</v>
      </c>
      <c r="K100" s="717" t="s">
        <v>835</v>
      </c>
      <c r="L100" s="620"/>
      <c r="M100" s="620"/>
      <c r="N100" s="620"/>
      <c r="O100" s="620"/>
      <c r="P100" s="722" t="str" cm="1">
        <f t="array" ref="P100">longitudeDecimal2Txt(G100)</f>
        <v>W 151°42.00 (W 151.6999) [W 151°42'00.00]</v>
      </c>
      <c r="Q100" s="722"/>
      <c r="R100" s="722"/>
      <c r="S100" s="722"/>
      <c r="T100" s="722"/>
      <c r="U100" s="722"/>
      <c r="V100" s="722"/>
      <c r="W100" s="722"/>
      <c r="X100" s="722"/>
      <c r="Y100" s="722"/>
      <c r="Z100" s="14"/>
      <c r="AB100" s="61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31"/>
    </row>
    <row r="101" spans="1:66" s="16" customFormat="1" ht="17.25" customHeight="1" thickTop="1" thickBot="1">
      <c r="C101" s="563"/>
      <c r="D101" s="563"/>
      <c r="E101" s="563"/>
      <c r="F101" s="563"/>
      <c r="G101" s="562"/>
      <c r="H101" s="562"/>
      <c r="I101" s="562"/>
      <c r="J101" s="620"/>
      <c r="K101" s="620"/>
      <c r="L101" s="620"/>
      <c r="M101" s="620"/>
      <c r="N101" s="620"/>
      <c r="O101" s="620"/>
      <c r="P101" s="722"/>
      <c r="Q101" s="722"/>
      <c r="R101" s="722"/>
      <c r="S101" s="722"/>
      <c r="T101" s="722"/>
      <c r="U101" s="722"/>
      <c r="V101" s="722"/>
      <c r="W101" s="722"/>
      <c r="X101" s="722"/>
      <c r="Y101" s="722"/>
      <c r="Z101" s="14"/>
      <c r="AB101" s="61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31"/>
    </row>
    <row r="102" spans="1:66" s="16" customFormat="1" ht="17.25" customHeight="1" thickTop="1" thickBot="1">
      <c r="B102" s="14"/>
      <c r="D102" s="14"/>
      <c r="E102" s="14"/>
      <c r="F102" s="14"/>
      <c r="G102" s="14"/>
      <c r="H102" s="14"/>
      <c r="AB102" s="61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31"/>
    </row>
    <row r="103" spans="1:66" s="16" customFormat="1" ht="17.25" customHeight="1" thickBot="1">
      <c r="B103" s="404" t="s">
        <v>842</v>
      </c>
      <c r="C103" s="60"/>
      <c r="D103" s="60"/>
      <c r="E103" s="60"/>
      <c r="F103" s="60"/>
      <c r="G103" s="60"/>
      <c r="H103" s="60"/>
      <c r="I103" s="647">
        <f>IF(G104=AD104,D107,IF(G104=AD103,D114,#REF!))</f>
        <v>18.430416666666666</v>
      </c>
      <c r="J103" s="647"/>
      <c r="K103" s="647"/>
      <c r="L103" s="26" t="str">
        <f>heureDecimal2Txt(I103)</f>
        <v>18:25:49.50(18.4304)</v>
      </c>
      <c r="M103" s="26"/>
      <c r="N103" s="26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26"/>
      <c r="Z103" s="26"/>
      <c r="AA103" s="26"/>
      <c r="AB103" s="64"/>
      <c r="AC103"/>
      <c r="AD103" s="68" t="s">
        <v>555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33" customFormat="1" ht="17.25" customHeight="1">
      <c r="C104" s="1462" t="s">
        <v>35</v>
      </c>
      <c r="D104" s="1462"/>
      <c r="E104" s="1462"/>
      <c r="F104" s="1462"/>
      <c r="G104" s="753" t="s">
        <v>10</v>
      </c>
      <c r="H104" s="513"/>
      <c r="I104" s="754"/>
      <c r="AB104" s="65"/>
      <c r="AC104" s="510" t="s">
        <v>36</v>
      </c>
      <c r="AD104" s="68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6" customFormat="1" ht="17.25" customHeight="1" outlineLevel="1">
      <c r="C105" s="408" t="s">
        <v>10</v>
      </c>
      <c r="D105" s="419" t="s">
        <v>837</v>
      </c>
      <c r="E105" s="420"/>
      <c r="F105" s="420"/>
      <c r="G105" s="420"/>
      <c r="H105" s="420"/>
      <c r="I105" s="415" t="s">
        <v>836</v>
      </c>
      <c r="J105" s="416"/>
      <c r="K105" s="415" t="s">
        <v>838</v>
      </c>
      <c r="L105" s="432"/>
      <c r="M105" s="612"/>
      <c r="N105" s="430" t="s">
        <v>839</v>
      </c>
      <c r="O105" s="430"/>
      <c r="P105" s="430"/>
      <c r="Q105" s="430"/>
      <c r="R105" s="430"/>
      <c r="S105" s="14"/>
      <c r="AB105" s="61"/>
      <c r="AC105" s="510"/>
      <c r="AD105" s="68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outlineLevel="1" thickBot="1">
      <c r="C106" s="408"/>
      <c r="D106" s="419"/>
      <c r="E106" s="420"/>
      <c r="F106" s="420"/>
      <c r="G106" s="420"/>
      <c r="H106" s="420"/>
      <c r="I106" s="417"/>
      <c r="J106" s="418"/>
      <c r="K106" s="613"/>
      <c r="L106" s="614"/>
      <c r="M106" s="615"/>
      <c r="N106" s="430"/>
      <c r="O106" s="430"/>
      <c r="P106" s="430"/>
      <c r="Q106" s="430"/>
      <c r="R106" s="430"/>
      <c r="S106" s="14"/>
      <c r="AB106" s="61"/>
      <c r="AC106"/>
      <c r="AD106" s="71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outlineLevel="1" thickTop="1" thickBot="1">
      <c r="C107" s="408"/>
      <c r="D107" s="421">
        <f>IF(G104=AD104,AD112,"---")</f>
        <v>18.430416666666666</v>
      </c>
      <c r="E107" s="421"/>
      <c r="F107" s="421"/>
      <c r="G107" s="421"/>
      <c r="H107" s="422"/>
      <c r="I107" s="409">
        <f>G98</f>
        <v>27.583333333333332</v>
      </c>
      <c r="J107" s="410"/>
      <c r="K107" s="787">
        <v>20</v>
      </c>
      <c r="L107" s="616"/>
      <c r="M107" s="788"/>
      <c r="N107" s="1473" t="s">
        <v>793</v>
      </c>
      <c r="O107" s="635"/>
      <c r="P107" s="635"/>
      <c r="Q107" s="635"/>
      <c r="R107" s="636"/>
      <c r="S107" s="722" t="str">
        <f>heureDecimal2Txt((AE107))</f>
        <v>18:19:00.00(18.3166)</v>
      </c>
      <c r="T107" s="729"/>
      <c r="U107" s="729"/>
      <c r="V107" s="729"/>
      <c r="W107" s="729"/>
      <c r="AB107" s="61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outlineLevel="1" thickTop="1" thickBot="1">
      <c r="C108" s="408"/>
      <c r="D108" s="423"/>
      <c r="E108" s="423"/>
      <c r="F108" s="423"/>
      <c r="G108" s="423"/>
      <c r="H108" s="424"/>
      <c r="I108" s="411"/>
      <c r="J108" s="412"/>
      <c r="K108" s="767"/>
      <c r="L108" s="768"/>
      <c r="M108" s="769"/>
      <c r="N108" s="1474"/>
      <c r="O108" s="637"/>
      <c r="P108" s="637"/>
      <c r="Q108" s="637"/>
      <c r="R108" s="638"/>
      <c r="S108" s="729"/>
      <c r="T108" s="729"/>
      <c r="U108" s="729"/>
      <c r="V108" s="729"/>
      <c r="W108" s="729"/>
      <c r="AB108" s="61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 outlineLevel="1" thickTop="1" thickBot="1">
      <c r="C109" s="408"/>
      <c r="D109" s="423"/>
      <c r="E109" s="423"/>
      <c r="F109" s="423"/>
      <c r="G109" s="423"/>
      <c r="H109" s="424"/>
      <c r="I109" s="411"/>
      <c r="J109" s="412"/>
      <c r="K109" s="764">
        <v>30</v>
      </c>
      <c r="L109" s="765"/>
      <c r="M109" s="766"/>
      <c r="N109" s="1475" t="s">
        <v>792</v>
      </c>
      <c r="O109" s="739"/>
      <c r="P109" s="739"/>
      <c r="Q109" s="739"/>
      <c r="R109" s="740"/>
      <c r="S109" s="722" t="str">
        <f>heureDecimal2Txt((AE108))</f>
        <v>18:28:00.00(18.4666)</v>
      </c>
      <c r="T109" s="729"/>
      <c r="U109" s="729"/>
      <c r="V109" s="729"/>
      <c r="W109" s="729"/>
      <c r="AB109" s="61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outlineLevel="1" thickTop="1" thickBot="1">
      <c r="C110" s="408"/>
      <c r="D110" s="425" t="str">
        <f>heureDecimal2Txt(D107)</f>
        <v>18:25:49.50(18.4304)</v>
      </c>
      <c r="E110" s="426"/>
      <c r="F110" s="426"/>
      <c r="G110" s="426"/>
      <c r="H110" s="426"/>
      <c r="I110" s="413"/>
      <c r="J110" s="414"/>
      <c r="K110" s="767"/>
      <c r="L110" s="768"/>
      <c r="M110" s="769"/>
      <c r="N110" s="1474"/>
      <c r="O110" s="637"/>
      <c r="P110" s="637"/>
      <c r="Q110" s="637"/>
      <c r="R110" s="638"/>
      <c r="S110" s="729"/>
      <c r="T110" s="729"/>
      <c r="U110" s="729"/>
      <c r="V110" s="729"/>
      <c r="W110" s="729"/>
      <c r="AB110" s="61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Top="1">
      <c r="C111" s="59"/>
      <c r="D111" s="59"/>
      <c r="E111" s="59"/>
      <c r="AB111" s="61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 outlineLevel="1">
      <c r="C112" s="427" t="s">
        <v>620</v>
      </c>
      <c r="D112" s="419" t="s">
        <v>837</v>
      </c>
      <c r="E112" s="420"/>
      <c r="F112" s="420"/>
      <c r="G112" s="420"/>
      <c r="H112" s="420"/>
      <c r="I112" s="430" t="s">
        <v>839</v>
      </c>
      <c r="J112" s="430"/>
      <c r="K112" s="430"/>
      <c r="L112" s="430"/>
      <c r="M112" s="430"/>
      <c r="AB112" s="61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outlineLevel="1">
      <c r="C113" s="427"/>
      <c r="D113" s="419"/>
      <c r="E113" s="420"/>
      <c r="F113" s="420"/>
      <c r="G113" s="420"/>
      <c r="H113" s="420"/>
      <c r="I113" s="430"/>
      <c r="J113" s="430"/>
      <c r="K113" s="430"/>
      <c r="L113" s="430"/>
      <c r="M113" s="430"/>
      <c r="S113"/>
      <c r="T113"/>
      <c r="U113"/>
      <c r="V113"/>
      <c r="W113"/>
      <c r="X113"/>
      <c r="Y113"/>
      <c r="AB113" s="61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 outlineLevel="1">
      <c r="C114" s="427"/>
      <c r="D114" s="437" t="str">
        <f>IF(G104=AD103,AD115,"---")</f>
        <v>---</v>
      </c>
      <c r="E114" s="423"/>
      <c r="F114" s="423"/>
      <c r="G114" s="423"/>
      <c r="H114" s="423"/>
      <c r="I114" s="787" t="s">
        <v>840</v>
      </c>
      <c r="J114" s="608"/>
      <c r="K114" s="608"/>
      <c r="L114" s="608"/>
      <c r="M114" s="790"/>
      <c r="U114"/>
      <c r="V114"/>
      <c r="W114"/>
      <c r="X114"/>
      <c r="Y114"/>
      <c r="AB114" s="61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 outlineLevel="1" thickBot="1">
      <c r="C115" s="427"/>
      <c r="D115" s="468"/>
      <c r="E115" s="469"/>
      <c r="F115" s="469"/>
      <c r="G115" s="469"/>
      <c r="H115" s="469"/>
      <c r="I115" s="1194"/>
      <c r="J115" s="1195"/>
      <c r="K115" s="1195"/>
      <c r="L115" s="1195"/>
      <c r="M115" s="1196"/>
      <c r="U115"/>
      <c r="V115"/>
      <c r="W115"/>
      <c r="X115"/>
      <c r="Y115"/>
      <c r="AB115" s="61"/>
      <c r="AC115" s="3" t="s">
        <v>176</v>
      </c>
      <c r="AD115" s="3">
        <f>heureConvert2Decimal(I114)*AD114</f>
        <v>5.75</v>
      </c>
      <c r="AE115"/>
      <c r="AF115"/>
      <c r="AG115" s="39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outlineLevel="1" thickTop="1" thickBot="1">
      <c r="C116" s="427"/>
      <c r="D116" s="426" t="str">
        <f>heureDecimal2Txt(AD115)</f>
        <v>05:45:00.00(05.7500)</v>
      </c>
      <c r="E116" s="426"/>
      <c r="F116" s="426"/>
      <c r="G116" s="426"/>
      <c r="H116" s="426"/>
      <c r="I116"/>
      <c r="J116"/>
      <c r="K116"/>
      <c r="L116"/>
      <c r="N116"/>
      <c r="O116"/>
      <c r="U116"/>
      <c r="V116"/>
      <c r="W116"/>
      <c r="X116"/>
      <c r="Y116"/>
      <c r="AB116" s="61"/>
      <c r="AC116"/>
      <c r="AD116"/>
      <c r="AE116"/>
      <c r="AF116" s="215"/>
      <c r="AG116" s="215"/>
      <c r="AH116" s="394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Bot="1">
      <c r="B118" s="25" t="s">
        <v>846</v>
      </c>
      <c r="C118" s="26"/>
      <c r="D118" s="26"/>
      <c r="E118" s="26"/>
      <c r="F118" s="647">
        <f>I120</f>
        <v>4.5424017353241766</v>
      </c>
      <c r="G118" s="647"/>
      <c r="H118" s="647"/>
      <c r="I118" s="1466" t="str">
        <f>G120</f>
        <v>Jour suivant</v>
      </c>
      <c r="J118" s="582"/>
      <c r="K118" s="582"/>
      <c r="L118" s="582"/>
      <c r="M118" s="582"/>
      <c r="N118" s="26"/>
      <c r="O118" s="26"/>
      <c r="P118" s="26"/>
      <c r="Q118" s="26"/>
      <c r="R118" s="26" t="str">
        <f>heureDecimal2Txt(F118)</f>
        <v>04:32:32.64(04.5424)</v>
      </c>
      <c r="S118" s="26"/>
      <c r="T118" s="26"/>
      <c r="U118" s="26"/>
      <c r="V118" s="26"/>
      <c r="W118" s="26"/>
      <c r="X118" s="26"/>
      <c r="Y118" s="26"/>
      <c r="Z118" s="26"/>
      <c r="AA118" s="26"/>
      <c r="AB118" s="64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Bot="1">
      <c r="B119"/>
      <c r="C119"/>
      <c r="D119" s="16" t="s">
        <v>845</v>
      </c>
      <c r="I119" s="1469">
        <f>(-1)*G100/15.002</f>
        <v>10.111985068657511</v>
      </c>
      <c r="J119" s="1469"/>
      <c r="O119"/>
      <c r="V119"/>
      <c r="W119"/>
      <c r="X119"/>
      <c r="Y119"/>
      <c r="Z119"/>
      <c r="AA119"/>
      <c r="AB119" s="403"/>
      <c r="AC119" s="253" t="s">
        <v>844</v>
      </c>
      <c r="AD119" s="266">
        <f>I119+I103</f>
        <v>28.542401735324177</v>
      </c>
      <c r="AE119" s="253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B120"/>
      <c r="C120"/>
      <c r="D120" s="83" t="s">
        <v>843</v>
      </c>
      <c r="E120" s="83"/>
      <c r="F120" s="83"/>
      <c r="G120" s="1476" t="str">
        <f>AE120</f>
        <v>Jour suivant</v>
      </c>
      <c r="H120" s="1476"/>
      <c r="I120" s="1467">
        <f>-24*AD120+AD119</f>
        <v>4.5424017353241766</v>
      </c>
      <c r="J120" s="1468"/>
      <c r="K120" s="1470" t="str">
        <f>heureDecimal2Txt(I120)</f>
        <v>04:32:32.64(04.5424)</v>
      </c>
      <c r="L120" s="1471"/>
      <c r="M120" s="1471"/>
      <c r="N120" s="1472"/>
      <c r="O120"/>
      <c r="V120"/>
      <c r="W120"/>
      <c r="X120"/>
      <c r="Y120"/>
      <c r="Z120"/>
      <c r="AA120"/>
      <c r="AB120" s="403"/>
      <c r="AD120" s="253">
        <f>IF(AD119&lt;0,-1,IF(AD119&gt;24,1, 0))</f>
        <v>1</v>
      </c>
      <c r="AE120" s="253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ht="17.25" customHeight="1" thickTop="1" thickBot="1"/>
    <row r="122" spans="2:66" s="16" customFormat="1" ht="17.25" customHeight="1" thickBot="1">
      <c r="B122" s="25" t="s">
        <v>9</v>
      </c>
      <c r="C122" s="75"/>
      <c r="D122" s="75"/>
      <c r="E122" s="75"/>
      <c r="F122" s="751">
        <f>IF(G123=AD123,D126,IF(G123=AD122,D139,D133))</f>
        <v>10.229434643529011</v>
      </c>
      <c r="G122" s="647"/>
      <c r="H122" s="647"/>
      <c r="I122" s="26"/>
      <c r="J122" s="26"/>
      <c r="K122" s="26" t="str" cm="1">
        <f t="array" ref="K122">latitudeDecimal2Txt(F122)</f>
        <v>N 10°13.76 (N 10.2294) [N 10°13'45.96]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64"/>
      <c r="AC122"/>
      <c r="AD122" s="68" t="s">
        <v>555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33" customFormat="1" ht="17.25" customHeight="1">
      <c r="C123" s="634" t="s">
        <v>35</v>
      </c>
      <c r="D123" s="634"/>
      <c r="E123" s="634"/>
      <c r="F123" s="634"/>
      <c r="G123" s="753" t="s">
        <v>10</v>
      </c>
      <c r="H123" s="513"/>
      <c r="I123" s="754"/>
      <c r="AB123" s="65"/>
      <c r="AC123" s="510" t="s">
        <v>36</v>
      </c>
      <c r="AD123" s="68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6" customFormat="1" ht="17.25" customHeight="1" outlineLevel="1">
      <c r="C124" s="408" t="s">
        <v>10</v>
      </c>
      <c r="D124" s="419" t="s">
        <v>9</v>
      </c>
      <c r="E124" s="420"/>
      <c r="F124" s="420"/>
      <c r="G124" s="420"/>
      <c r="H124" s="420"/>
      <c r="I124" s="415" t="s">
        <v>619</v>
      </c>
      <c r="J124" s="416"/>
      <c r="K124" s="415" t="s">
        <v>13</v>
      </c>
      <c r="L124" s="432"/>
      <c r="M124" s="612"/>
      <c r="N124" s="430" t="s">
        <v>15</v>
      </c>
      <c r="O124" s="430"/>
      <c r="P124" s="430"/>
      <c r="Q124" s="430"/>
      <c r="R124" s="430"/>
      <c r="S124" s="14"/>
      <c r="AB124" s="61"/>
      <c r="AC124" s="510"/>
      <c r="AD124" s="68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 outlineLevel="1" thickBot="1">
      <c r="C125" s="408"/>
      <c r="D125" s="419"/>
      <c r="E125" s="420"/>
      <c r="F125" s="420"/>
      <c r="G125" s="420"/>
      <c r="H125" s="420"/>
      <c r="I125" s="417"/>
      <c r="J125" s="418"/>
      <c r="K125" s="613"/>
      <c r="L125" s="614"/>
      <c r="M125" s="615"/>
      <c r="N125" s="430"/>
      <c r="O125" s="430"/>
      <c r="P125" s="430"/>
      <c r="Q125" s="430"/>
      <c r="R125" s="430"/>
      <c r="S125" s="14"/>
      <c r="AB125" s="61"/>
      <c r="AC125"/>
      <c r="AD125" s="71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 outlineLevel="1" thickTop="1" thickBot="1">
      <c r="C126" s="408"/>
      <c r="D126" s="421">
        <f>IF(G123=AD123,AD131,"---")</f>
        <v>10.229434643529011</v>
      </c>
      <c r="E126" s="421"/>
      <c r="F126" s="421"/>
      <c r="G126" s="421"/>
      <c r="H126" s="422"/>
      <c r="I126" s="409">
        <f>F118</f>
        <v>4.5424017353241766</v>
      </c>
      <c r="J126" s="410"/>
      <c r="K126" s="787">
        <v>4</v>
      </c>
      <c r="L126" s="616"/>
      <c r="M126" s="788"/>
      <c r="N126" s="620" t="s">
        <v>3</v>
      </c>
      <c r="O126" s="680" t="s">
        <v>848</v>
      </c>
      <c r="P126" s="815"/>
      <c r="Q126" s="815"/>
      <c r="R126" s="815"/>
      <c r="S126" s="722" t="str" cm="1">
        <f t="array" ref="S126">angleDecimal2Txt(AE126)</f>
        <v>+10°14.19 (+10.2366) [+10°14'12.00]</v>
      </c>
      <c r="T126" s="729"/>
      <c r="U126" s="729"/>
      <c r="V126" s="729"/>
      <c r="W126" s="729"/>
      <c r="AB126" s="6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outlineLevel="1" thickTop="1" thickBot="1">
      <c r="C127" s="408"/>
      <c r="D127" s="423"/>
      <c r="E127" s="423"/>
      <c r="F127" s="423"/>
      <c r="G127" s="423"/>
      <c r="H127" s="424"/>
      <c r="I127" s="411"/>
      <c r="J127" s="412"/>
      <c r="K127" s="767"/>
      <c r="L127" s="768"/>
      <c r="M127" s="769"/>
      <c r="N127" s="620"/>
      <c r="O127" s="793"/>
      <c r="P127" s="793"/>
      <c r="Q127" s="793"/>
      <c r="R127" s="793"/>
      <c r="S127" s="729"/>
      <c r="T127" s="729"/>
      <c r="U127" s="729"/>
      <c r="V127" s="729"/>
      <c r="W127" s="729"/>
      <c r="AB127" s="6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outlineLevel="1" thickTop="1" thickBot="1">
      <c r="C128" s="408"/>
      <c r="D128" s="423"/>
      <c r="E128" s="423"/>
      <c r="F128" s="423"/>
      <c r="G128" s="423"/>
      <c r="H128" s="424"/>
      <c r="I128" s="411"/>
      <c r="J128" s="412"/>
      <c r="K128" s="764">
        <v>5</v>
      </c>
      <c r="L128" s="765"/>
      <c r="M128" s="766"/>
      <c r="N128" s="620" t="s">
        <v>3</v>
      </c>
      <c r="O128" s="792" t="s">
        <v>849</v>
      </c>
      <c r="P128" s="793"/>
      <c r="Q128" s="793"/>
      <c r="R128" s="793"/>
      <c r="S128" s="722" t="str" cm="1">
        <f t="array" ref="S128">angleDecimal2Txt((AE127))</f>
        <v>+10°13.40 (+10.2233) [+10°13'24.00]</v>
      </c>
      <c r="T128" s="729"/>
      <c r="U128" s="729"/>
      <c r="V128" s="729"/>
      <c r="W128" s="729"/>
      <c r="AB128" s="61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outlineLevel="1" thickTop="1" thickBot="1">
      <c r="C129" s="408"/>
      <c r="D129" s="425" t="str" cm="1">
        <f t="array" ref="D129">latitudeDecimal2Txt(D126)</f>
        <v>N 10°13.76 (N 10.2294) [N 10°13'45.96]</v>
      </c>
      <c r="E129" s="426"/>
      <c r="F129" s="426"/>
      <c r="G129" s="426"/>
      <c r="H129" s="426"/>
      <c r="I129" s="413"/>
      <c r="J129" s="414"/>
      <c r="K129" s="767"/>
      <c r="L129" s="768"/>
      <c r="M129" s="769"/>
      <c r="N129" s="620"/>
      <c r="O129" s="793"/>
      <c r="P129" s="793"/>
      <c r="Q129" s="793"/>
      <c r="R129" s="793"/>
      <c r="S129" s="729"/>
      <c r="T129" s="729"/>
      <c r="U129" s="729"/>
      <c r="V129" s="729"/>
      <c r="W129" s="729"/>
      <c r="AB129" s="61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 thickTop="1">
      <c r="C130" s="59"/>
      <c r="D130" s="59"/>
      <c r="E130" s="59"/>
      <c r="AB130" s="61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hidden="1" customHeight="1" outlineLevel="1">
      <c r="C131" s="427" t="s">
        <v>14</v>
      </c>
      <c r="D131" s="420" t="s">
        <v>9</v>
      </c>
      <c r="E131" s="420"/>
      <c r="F131" s="420"/>
      <c r="G131" s="420"/>
      <c r="H131" s="420"/>
      <c r="I131" s="415" t="s">
        <v>619</v>
      </c>
      <c r="J131" s="416"/>
      <c r="K131" s="415" t="s">
        <v>611</v>
      </c>
      <c r="L131" s="432"/>
      <c r="M131" s="612"/>
      <c r="N131" s="430" t="s">
        <v>16</v>
      </c>
      <c r="O131" s="430"/>
      <c r="P131" s="430"/>
      <c r="Q131" s="430"/>
      <c r="R131" s="430"/>
      <c r="S131" s="430" t="s">
        <v>131</v>
      </c>
      <c r="T131" s="430"/>
      <c r="U131" s="430"/>
      <c r="V131" s="430"/>
      <c r="W131" s="430"/>
      <c r="AA131" s="14"/>
      <c r="AB131" s="61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hidden="1" customHeight="1" outlineLevel="1">
      <c r="C132" s="427"/>
      <c r="D132" s="420"/>
      <c r="E132" s="420"/>
      <c r="F132" s="420"/>
      <c r="G132" s="420"/>
      <c r="H132" s="420"/>
      <c r="I132" s="417"/>
      <c r="J132" s="418"/>
      <c r="K132" s="613"/>
      <c r="L132" s="614"/>
      <c r="M132" s="615"/>
      <c r="N132" s="430"/>
      <c r="O132" s="430"/>
      <c r="P132" s="430"/>
      <c r="Q132" s="430"/>
      <c r="R132" s="430"/>
      <c r="S132" s="430"/>
      <c r="T132" s="430"/>
      <c r="U132" s="430"/>
      <c r="V132" s="430"/>
      <c r="W132" s="430"/>
      <c r="AA132" s="14"/>
      <c r="AB132" s="61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hidden="1" customHeight="1" outlineLevel="1">
      <c r="C133" s="427"/>
      <c r="D133" s="421" t="str">
        <f>IF(G123=AD124,AD137,"---")</f>
        <v>---</v>
      </c>
      <c r="E133" s="421"/>
      <c r="F133" s="421"/>
      <c r="G133" s="421"/>
      <c r="H133" s="421"/>
      <c r="I133" s="429" t="e">
        <f>#REF!</f>
        <v>#REF!</v>
      </c>
      <c r="J133" s="429"/>
      <c r="K133" s="608">
        <v>0</v>
      </c>
      <c r="L133" s="608"/>
      <c r="M133" s="609"/>
      <c r="N133" s="620" t="s">
        <v>3</v>
      </c>
      <c r="O133" s="618" t="s">
        <v>610</v>
      </c>
      <c r="P133" s="619"/>
      <c r="Q133" s="619"/>
      <c r="R133" s="619"/>
      <c r="S133" s="620" t="s">
        <v>3</v>
      </c>
      <c r="T133" s="618">
        <f>0.2/60</f>
        <v>3.3333333333333335E-3</v>
      </c>
      <c r="U133" s="619"/>
      <c r="V133" s="619"/>
      <c r="W133" s="619"/>
      <c r="AA133" s="14"/>
      <c r="AB133" s="61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hidden="1" customHeight="1" outlineLevel="1" thickBot="1">
      <c r="C134" s="427"/>
      <c r="D134" s="423"/>
      <c r="E134" s="423"/>
      <c r="F134" s="423"/>
      <c r="G134" s="423"/>
      <c r="H134" s="423"/>
      <c r="I134" s="429"/>
      <c r="J134" s="429"/>
      <c r="K134" s="610"/>
      <c r="L134" s="610"/>
      <c r="M134" s="611"/>
      <c r="N134" s="620"/>
      <c r="O134" s="620"/>
      <c r="P134" s="620"/>
      <c r="Q134" s="620"/>
      <c r="R134" s="620"/>
      <c r="S134" s="620"/>
      <c r="T134" s="620"/>
      <c r="U134" s="620"/>
      <c r="V134" s="620"/>
      <c r="W134" s="620"/>
      <c r="Z134" s="14"/>
      <c r="AA134" s="14"/>
      <c r="AB134" s="61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hidden="1" customHeight="1" outlineLevel="1" thickTop="1" thickBot="1">
      <c r="C135" s="427"/>
      <c r="D135" s="425" t="e" cm="1">
        <f t="array" ref="D135">latitudeDecimal2Txt(D133)</f>
        <v>#VALUE!</v>
      </c>
      <c r="E135" s="426"/>
      <c r="F135" s="426"/>
      <c r="G135" s="426"/>
      <c r="H135" s="640"/>
      <c r="I135" s="429"/>
      <c r="J135" s="429"/>
      <c r="K135" s="440" t="str" cm="1">
        <f t="array" ref="K135">heureDecimal2Txt(K133)</f>
        <v>00:00:00.00(00.0000)</v>
      </c>
      <c r="L135" s="440"/>
      <c r="M135" s="425"/>
      <c r="N135" s="557" t="str" cm="1">
        <f t="array" ref="N135">angleDecimal2Txt(AD134)</f>
        <v>+23°10.59 (+23.1766) [+23°10'36.00]</v>
      </c>
      <c r="O135" s="557"/>
      <c r="P135" s="557"/>
      <c r="Q135" s="557"/>
      <c r="R135" s="557"/>
      <c r="S135" s="557" t="str" cm="1">
        <f t="array" ref="S135">angleDecimal2Txt(AD136)</f>
        <v>+00°00.19 (+00.0033) [+00°00'11.99]</v>
      </c>
      <c r="T135" s="621"/>
      <c r="U135" s="621"/>
      <c r="V135" s="621"/>
      <c r="W135" s="621"/>
      <c r="Z135" s="14"/>
      <c r="AB135" s="61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collapsed="1">
      <c r="A136" s="34" t="s">
        <v>537</v>
      </c>
      <c r="C136" s="59"/>
      <c r="D136" s="59"/>
      <c r="E136" s="59"/>
      <c r="I136"/>
      <c r="Z136" s="14"/>
      <c r="AB136" s="61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hidden="1" customHeight="1" outlineLevel="1">
      <c r="C137" s="427" t="s">
        <v>620</v>
      </c>
      <c r="D137" s="420" t="s">
        <v>9</v>
      </c>
      <c r="E137" s="420"/>
      <c r="F137" s="420"/>
      <c r="G137" s="420"/>
      <c r="H137" s="420"/>
      <c r="I137" s="522" t="s">
        <v>556</v>
      </c>
      <c r="J137" s="523"/>
      <c r="K137" s="523"/>
      <c r="L137" s="523"/>
      <c r="M137" s="524"/>
      <c r="AB137" s="61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hidden="1" customHeight="1" outlineLevel="1">
      <c r="C138" s="427"/>
      <c r="D138" s="420"/>
      <c r="E138" s="420"/>
      <c r="F138" s="420"/>
      <c r="G138" s="420"/>
      <c r="H138" s="420"/>
      <c r="I138" s="782"/>
      <c r="J138" s="526"/>
      <c r="K138" s="526"/>
      <c r="L138" s="526"/>
      <c r="M138" s="527"/>
      <c r="S138"/>
      <c r="T138"/>
      <c r="U138"/>
      <c r="V138"/>
      <c r="W138"/>
      <c r="X138"/>
      <c r="Y138"/>
      <c r="AB138" s="61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hidden="1" customHeight="1" outlineLevel="1">
      <c r="C139" s="427"/>
      <c r="D139" s="437" t="str">
        <f>IF(G123=AD122,AD140,"---")</f>
        <v>---</v>
      </c>
      <c r="E139" s="423"/>
      <c r="F139" s="423"/>
      <c r="G139" s="423"/>
      <c r="H139" s="423"/>
      <c r="I139" s="791" t="s">
        <v>3</v>
      </c>
      <c r="J139" s="431" t="s">
        <v>618</v>
      </c>
      <c r="K139" s="431"/>
      <c r="L139" s="431"/>
      <c r="M139" s="431"/>
      <c r="U139"/>
      <c r="V139"/>
      <c r="W139"/>
      <c r="X139"/>
      <c r="Y139"/>
      <c r="AB139" s="61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hidden="1" customHeight="1" outlineLevel="1" thickBot="1">
      <c r="C140" s="427"/>
      <c r="D140" s="468"/>
      <c r="E140" s="469"/>
      <c r="F140" s="469"/>
      <c r="G140" s="469"/>
      <c r="H140" s="469"/>
      <c r="I140" s="791"/>
      <c r="J140" s="431"/>
      <c r="K140" s="431"/>
      <c r="L140" s="431"/>
      <c r="M140" s="431"/>
      <c r="U140"/>
      <c r="V140"/>
      <c r="W140"/>
      <c r="X140"/>
      <c r="Y140"/>
      <c r="AB140" s="61"/>
      <c r="AC140" s="3" t="s">
        <v>176</v>
      </c>
      <c r="AD140" s="3" cm="1">
        <f t="array" ref="AD140">angleConvert2Decimal(J139)*AD139</f>
        <v>14.728333333333333</v>
      </c>
      <c r="AE140"/>
      <c r="AF140"/>
      <c r="AG140" s="395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hidden="1" customHeight="1" outlineLevel="1" thickTop="1" thickBot="1">
      <c r="C141" s="427"/>
      <c r="D141" s="426" t="str" cm="1">
        <f t="array" ref="D141">latitudeDecimal2Txt(AD140)</f>
        <v>N 14°43.70 (N 14.7283) [N 14°43'42.00]</v>
      </c>
      <c r="E141" s="426"/>
      <c r="F141" s="426"/>
      <c r="G141" s="426"/>
      <c r="H141" s="426"/>
      <c r="I141"/>
      <c r="J141"/>
      <c r="K141"/>
      <c r="L141"/>
      <c r="N141"/>
      <c r="O141"/>
      <c r="U141"/>
      <c r="V141"/>
      <c r="W141"/>
      <c r="X141"/>
      <c r="Y141"/>
      <c r="AB141" s="61"/>
      <c r="AC141">
        <f>YEAR($X$7)</f>
        <v>1900</v>
      </c>
      <c r="AD141">
        <f>MONTH($X$7)</f>
        <v>1</v>
      </c>
      <c r="AE141">
        <f>DAY($X$7)</f>
        <v>0</v>
      </c>
      <c r="AF141" s="215" t="e">
        <f>INT(#REF!)</f>
        <v>#REF!</v>
      </c>
      <c r="AG141" s="215" t="e">
        <f>INT(((3600*#REF!-3600*AF141)/60)+0.000001)</f>
        <v>#REF!</v>
      </c>
      <c r="AH141" s="394" t="e">
        <f>((#REF!*3600 - AG141*60 -AF141*3600))</f>
        <v>#REF!</v>
      </c>
      <c r="AI141" t="s">
        <v>802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61"/>
      <c r="AC142"/>
      <c r="AD142" s="68" t="s">
        <v>817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A143" s="33"/>
      <c r="B143" s="25" t="s">
        <v>134</v>
      </c>
      <c r="C143" s="75"/>
      <c r="D143" s="75"/>
      <c r="E143" s="75"/>
      <c r="F143" s="751">
        <f>IF(G144=AD144,D147,IF(G144=AD143,D160,D154))</f>
        <v>247.70783403564707</v>
      </c>
      <c r="G143" s="647"/>
      <c r="H143" s="647"/>
      <c r="I143" s="26"/>
      <c r="J143" s="26"/>
      <c r="K143" s="26"/>
      <c r="L143" s="750">
        <f>F143-360</f>
        <v>-112.29216596435293</v>
      </c>
      <c r="M143" s="750"/>
      <c r="N143" s="26" t="s">
        <v>28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64"/>
      <c r="AC143"/>
      <c r="AD143" s="68" t="s">
        <v>554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B144" s="33"/>
      <c r="C144" s="634" t="s">
        <v>35</v>
      </c>
      <c r="D144" s="634"/>
      <c r="E144" s="634"/>
      <c r="F144" s="634"/>
      <c r="G144" s="712" t="s">
        <v>10</v>
      </c>
      <c r="H144" s="712"/>
      <c r="I144" s="71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65"/>
      <c r="AC144" s="510" t="s">
        <v>36</v>
      </c>
      <c r="AD144" s="68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6" s="16" customFormat="1" ht="17.25" customHeight="1" outlineLevel="1">
      <c r="C145" s="408" t="s">
        <v>10</v>
      </c>
      <c r="D145" s="434" t="s">
        <v>415</v>
      </c>
      <c r="E145" s="435"/>
      <c r="F145" s="435"/>
      <c r="G145" s="435"/>
      <c r="H145" s="435"/>
      <c r="I145" s="432" t="s">
        <v>619</v>
      </c>
      <c r="J145" s="416"/>
      <c r="K145" s="415" t="s">
        <v>13</v>
      </c>
      <c r="L145" s="432"/>
      <c r="M145" s="612"/>
      <c r="N145" s="522" t="s">
        <v>15</v>
      </c>
      <c r="O145" s="523"/>
      <c r="P145" s="523"/>
      <c r="Q145" s="523"/>
      <c r="R145" s="524"/>
      <c r="S145" s="14"/>
      <c r="AB145" s="61"/>
      <c r="AC145" s="510"/>
      <c r="AD145" s="68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6" s="16" customFormat="1" ht="17.25" customHeight="1" outlineLevel="1" thickBot="1">
      <c r="C146" s="408"/>
      <c r="D146" s="417"/>
      <c r="E146" s="433"/>
      <c r="F146" s="433"/>
      <c r="G146" s="433"/>
      <c r="H146" s="433"/>
      <c r="I146" s="433"/>
      <c r="J146" s="418"/>
      <c r="K146" s="613"/>
      <c r="L146" s="614"/>
      <c r="M146" s="615"/>
      <c r="N146" s="525"/>
      <c r="O146" s="526"/>
      <c r="P146" s="526"/>
      <c r="Q146" s="526"/>
      <c r="R146" s="527"/>
      <c r="S146" s="14"/>
      <c r="AB146" s="61"/>
      <c r="AC146"/>
      <c r="AD146" s="71" t="s">
        <v>73</v>
      </c>
      <c r="AE146" s="3" t="s">
        <v>622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6" s="16" customFormat="1" ht="17.25" customHeight="1" outlineLevel="1" thickTop="1" thickBot="1">
      <c r="C147" s="408"/>
      <c r="D147" s="436">
        <f>IF(G144=AD144,AF152,"---")</f>
        <v>247.70783403564707</v>
      </c>
      <c r="E147" s="421"/>
      <c r="F147" s="421"/>
      <c r="G147" s="421"/>
      <c r="H147" s="422"/>
      <c r="I147" s="409">
        <f>F118</f>
        <v>4.5424017353241766</v>
      </c>
      <c r="J147" s="410"/>
      <c r="K147" s="789">
        <v>4</v>
      </c>
      <c r="L147" s="608"/>
      <c r="M147" s="790"/>
      <c r="N147" s="429" t="s">
        <v>5</v>
      </c>
      <c r="O147" s="635" t="s">
        <v>850</v>
      </c>
      <c r="P147" s="635"/>
      <c r="Q147" s="635"/>
      <c r="R147" s="636"/>
      <c r="S147" s="738" t="str" cm="1">
        <f t="array" ref="S147">angleDecimal2Txt(AF147)</f>
        <v>+239°34.20 (+239.5699) [+239°34'12.00]</v>
      </c>
      <c r="T147" s="738"/>
      <c r="U147" s="738"/>
      <c r="V147" s="738"/>
      <c r="W147" s="738"/>
      <c r="X147" s="738"/>
      <c r="Z147"/>
      <c r="AB147" s="61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6" s="16" customFormat="1" ht="17.25" customHeight="1" outlineLevel="1" thickTop="1" thickBot="1">
      <c r="C148" s="408"/>
      <c r="D148" s="437"/>
      <c r="E148" s="423"/>
      <c r="F148" s="423"/>
      <c r="G148" s="423"/>
      <c r="H148" s="424"/>
      <c r="I148" s="411"/>
      <c r="J148" s="412"/>
      <c r="K148" s="632"/>
      <c r="L148" s="610"/>
      <c r="M148" s="633"/>
      <c r="N148" s="429"/>
      <c r="O148" s="637"/>
      <c r="P148" s="637"/>
      <c r="Q148" s="637"/>
      <c r="R148" s="638"/>
      <c r="S148" s="738"/>
      <c r="T148" s="738"/>
      <c r="U148" s="738"/>
      <c r="V148" s="738"/>
      <c r="W148" s="738"/>
      <c r="X148" s="738"/>
      <c r="Z148"/>
      <c r="AB148" s="61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6" s="16" customFormat="1" ht="17.25" customHeight="1" outlineLevel="1" thickTop="1" thickBot="1">
      <c r="C149" s="408"/>
      <c r="D149" s="437"/>
      <c r="E149" s="423"/>
      <c r="F149" s="423"/>
      <c r="G149" s="423"/>
      <c r="H149" s="424"/>
      <c r="I149" s="411"/>
      <c r="J149" s="412"/>
      <c r="K149" s="629">
        <v>5</v>
      </c>
      <c r="L149" s="630"/>
      <c r="M149" s="631"/>
      <c r="N149" s="429" t="s">
        <v>5</v>
      </c>
      <c r="O149" s="739" t="s">
        <v>851</v>
      </c>
      <c r="P149" s="739"/>
      <c r="Q149" s="739"/>
      <c r="R149" s="740"/>
      <c r="S149" s="738" t="str" cm="1">
        <f t="array" ref="S149">angleDecimal2Txt((AF148))</f>
        <v>+254°34.39 (+254.5733) [+254°34'24.00]</v>
      </c>
      <c r="T149" s="738"/>
      <c r="U149" s="738"/>
      <c r="V149" s="738"/>
      <c r="W149" s="738"/>
      <c r="X149" s="738"/>
      <c r="Z149"/>
      <c r="AB149" s="61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6" s="16" customFormat="1" ht="17.25" customHeight="1" outlineLevel="1" thickTop="1" thickBot="1">
      <c r="C150" s="408"/>
      <c r="D150" s="426" t="str" cm="1">
        <f t="array" ref="D150">angleDecimal2Txt(D147)</f>
        <v>+247°42.47 (+247.7078) [+247°42'28.20]</v>
      </c>
      <c r="E150" s="426"/>
      <c r="F150" s="426"/>
      <c r="G150" s="426"/>
      <c r="H150" s="426"/>
      <c r="I150" s="413"/>
      <c r="J150" s="414"/>
      <c r="K150" s="632"/>
      <c r="L150" s="610"/>
      <c r="M150" s="633"/>
      <c r="N150" s="429"/>
      <c r="O150" s="637"/>
      <c r="P150" s="637"/>
      <c r="Q150" s="637"/>
      <c r="R150" s="638"/>
      <c r="S150" s="738"/>
      <c r="T150" s="738"/>
      <c r="U150" s="738"/>
      <c r="V150" s="738"/>
      <c r="W150" s="738"/>
      <c r="X150" s="738"/>
      <c r="Z150"/>
      <c r="AB150" s="61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6" s="16" customFormat="1" ht="17.25" customHeight="1" thickTop="1">
      <c r="C151" s="59"/>
      <c r="D151" s="59"/>
      <c r="E151" s="59"/>
      <c r="Z151"/>
      <c r="AB151" s="61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6" s="16" customFormat="1" ht="17.25" hidden="1" customHeight="1" outlineLevel="1">
      <c r="C152" s="438" t="s">
        <v>14</v>
      </c>
      <c r="D152" s="420" t="s">
        <v>415</v>
      </c>
      <c r="E152" s="420"/>
      <c r="F152" s="420"/>
      <c r="G152" s="420"/>
      <c r="H152" s="420"/>
      <c r="I152" s="439" t="s">
        <v>619</v>
      </c>
      <c r="J152" s="420"/>
      <c r="K152" s="432" t="s">
        <v>611</v>
      </c>
      <c r="L152" s="432"/>
      <c r="M152" s="612"/>
      <c r="N152" s="522" t="s">
        <v>16</v>
      </c>
      <c r="O152" s="523"/>
      <c r="P152" s="523"/>
      <c r="Q152" s="523"/>
      <c r="R152" s="524"/>
      <c r="S152" s="522" t="s">
        <v>94</v>
      </c>
      <c r="T152" s="523"/>
      <c r="U152" s="523"/>
      <c r="V152" s="523"/>
      <c r="W152" s="524"/>
      <c r="Z152"/>
      <c r="AA152" s="14"/>
      <c r="AB152" s="61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1:66" s="16" customFormat="1" ht="17.25" hidden="1" customHeight="1" outlineLevel="1">
      <c r="C153" s="438"/>
      <c r="D153" s="420"/>
      <c r="E153" s="420"/>
      <c r="F153" s="420"/>
      <c r="G153" s="420"/>
      <c r="H153" s="420"/>
      <c r="I153" s="420"/>
      <c r="J153" s="420"/>
      <c r="K153" s="614"/>
      <c r="L153" s="614"/>
      <c r="M153" s="615"/>
      <c r="N153" s="525"/>
      <c r="O153" s="526"/>
      <c r="P153" s="526"/>
      <c r="Q153" s="526"/>
      <c r="R153" s="527"/>
      <c r="S153" s="525"/>
      <c r="T153" s="528"/>
      <c r="U153" s="528"/>
      <c r="V153" s="528"/>
      <c r="W153" s="529"/>
      <c r="Z153"/>
      <c r="AA153" s="1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1:66" s="16" customFormat="1" ht="17.25" hidden="1" customHeight="1" outlineLevel="1">
      <c r="C154" s="438"/>
      <c r="D154" s="428" t="str">
        <f>IF(G144=AD145,AF158,"---")</f>
        <v>---</v>
      </c>
      <c r="E154" s="428"/>
      <c r="F154" s="428"/>
      <c r="G154" s="428"/>
      <c r="H154" s="428"/>
      <c r="I154" s="429" t="e">
        <f>#REF!</f>
        <v>#REF!</v>
      </c>
      <c r="J154" s="429"/>
      <c r="K154" s="608">
        <v>0</v>
      </c>
      <c r="L154" s="608"/>
      <c r="M154" s="790"/>
      <c r="N154" s="429" t="s">
        <v>5</v>
      </c>
      <c r="O154" s="616" t="s">
        <v>612</v>
      </c>
      <c r="P154" s="616"/>
      <c r="Q154" s="616"/>
      <c r="R154" s="616"/>
      <c r="S154" s="429" t="s">
        <v>5</v>
      </c>
      <c r="T154" s="560">
        <v>14.997999999999999</v>
      </c>
      <c r="U154" s="429"/>
      <c r="V154" s="429"/>
      <c r="W154" s="429"/>
      <c r="AA154" s="14"/>
      <c r="AB154" s="61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1:66" s="16" customFormat="1" ht="17.25" hidden="1" customHeight="1" outlineLevel="1" collapsed="1">
      <c r="C155" s="438"/>
      <c r="D155" s="428"/>
      <c r="E155" s="428"/>
      <c r="F155" s="428"/>
      <c r="G155" s="428"/>
      <c r="H155" s="428"/>
      <c r="I155" s="429"/>
      <c r="J155" s="429"/>
      <c r="K155" s="610"/>
      <c r="L155" s="610"/>
      <c r="M155" s="633"/>
      <c r="N155" s="429"/>
      <c r="O155" s="617"/>
      <c r="P155" s="617"/>
      <c r="Q155" s="617"/>
      <c r="R155" s="617"/>
      <c r="S155" s="429"/>
      <c r="T155" s="429"/>
      <c r="U155" s="429"/>
      <c r="V155" s="429"/>
      <c r="W155" s="429"/>
      <c r="Z155" s="14"/>
      <c r="AA155" s="14"/>
      <c r="AB155" s="61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1:66" s="16" customFormat="1" ht="17.25" hidden="1" customHeight="1" outlineLevel="1">
      <c r="C156" s="438"/>
      <c r="D156" s="426" t="e" cm="1">
        <f t="array" ref="D156">angleDecimal2Txt(D154)</f>
        <v>#VALUE!</v>
      </c>
      <c r="E156" s="426"/>
      <c r="F156" s="426"/>
      <c r="G156" s="426"/>
      <c r="H156" s="426"/>
      <c r="I156" s="429"/>
      <c r="J156" s="429"/>
      <c r="K156" s="440" t="str" cm="1">
        <f t="array" ref="K156">heureDecimal2Txt(K154)</f>
        <v>00:00:00.00(00.0000)</v>
      </c>
      <c r="L156" s="440"/>
      <c r="M156" s="425"/>
      <c r="N156" s="622" t="str" cm="1">
        <f t="array" ref="N156">angleDecimal2Txt(AD155)</f>
        <v>+180°02.00 (+180.0333) [+180°02'00.00]</v>
      </c>
      <c r="O156" s="557"/>
      <c r="P156" s="557"/>
      <c r="Q156" s="557"/>
      <c r="R156" s="557"/>
      <c r="S156" s="622" t="str" cm="1">
        <f t="array" ref="S156">angleDecimal2Txt(AD157)</f>
        <v>+14°59.87 (+14.9979) [+14°59'52.79]</v>
      </c>
      <c r="T156" s="623"/>
      <c r="U156" s="623"/>
      <c r="V156" s="623"/>
      <c r="W156" s="623"/>
      <c r="Z156" s="14"/>
      <c r="AB156" s="61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1:66" s="16" customFormat="1" ht="17.25" customHeight="1" collapsed="1">
      <c r="A157" s="34" t="s">
        <v>537</v>
      </c>
      <c r="C157" s="59"/>
      <c r="D157" s="59"/>
      <c r="E157" s="59"/>
      <c r="Z157" s="14"/>
      <c r="AB157" s="61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1:66" s="16" customFormat="1" ht="17.25" hidden="1" customHeight="1" outlineLevel="1">
      <c r="C158" s="427" t="s">
        <v>620</v>
      </c>
      <c r="D158" s="420" t="s">
        <v>415</v>
      </c>
      <c r="E158" s="420"/>
      <c r="F158" s="420"/>
      <c r="G158" s="420"/>
      <c r="H158" s="420"/>
      <c r="I158" s="430" t="s">
        <v>556</v>
      </c>
      <c r="J158" s="430"/>
      <c r="K158" s="430"/>
      <c r="L158" s="430"/>
      <c r="M158" s="430"/>
      <c r="AB158" s="61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1:66" s="16" customFormat="1" ht="17.25" hidden="1" customHeight="1" outlineLevel="1">
      <c r="C159" s="427"/>
      <c r="D159" s="420"/>
      <c r="E159" s="420"/>
      <c r="F159" s="420"/>
      <c r="G159" s="420"/>
      <c r="H159" s="420"/>
      <c r="I159" s="430"/>
      <c r="J159" s="430"/>
      <c r="K159" s="430"/>
      <c r="L159" s="430"/>
      <c r="M159" s="430"/>
      <c r="O159" s="16" t="s">
        <v>821</v>
      </c>
      <c r="Q159" s="16" t="s">
        <v>819</v>
      </c>
      <c r="W159" s="14"/>
      <c r="X159" s="14"/>
      <c r="AB159" s="61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1:66" s="16" customFormat="1" ht="17.25" hidden="1" customHeight="1" outlineLevel="1">
      <c r="C160" s="427"/>
      <c r="D160" s="428" t="str">
        <f>IF(G144=AD143,AD161,"---")</f>
        <v>---</v>
      </c>
      <c r="E160" s="428"/>
      <c r="F160" s="428"/>
      <c r="G160" s="428"/>
      <c r="H160" s="428"/>
      <c r="I160" s="429" t="s">
        <v>5</v>
      </c>
      <c r="J160" s="431" t="str">
        <f>angleDecimal2Txt(T160,0)</f>
        <v>+267°24.79</v>
      </c>
      <c r="K160" s="431"/>
      <c r="L160" s="431"/>
      <c r="M160" s="431"/>
      <c r="O160" s="40" t="s">
        <v>818</v>
      </c>
      <c r="P160" s="16">
        <f>angleConvert2Decimal(O160)</f>
        <v>121.31833333333333</v>
      </c>
      <c r="Q160" s="40" t="s">
        <v>820</v>
      </c>
      <c r="R160" s="16">
        <f>angleConvert2Decimal(Q160)</f>
        <v>146.095</v>
      </c>
      <c r="S160" s="16">
        <f>R160+P160</f>
        <v>267.4133333333333</v>
      </c>
      <c r="T160" s="16">
        <f>MOD(360+S160,360)</f>
        <v>267.4133333333333</v>
      </c>
      <c r="W160" s="14"/>
      <c r="X160" s="14"/>
      <c r="AB160" s="61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6" s="16" customFormat="1" ht="17.25" hidden="1" customHeight="1" outlineLevel="1" thickBot="1">
      <c r="C161" s="427"/>
      <c r="D161" s="428"/>
      <c r="E161" s="428"/>
      <c r="F161" s="428"/>
      <c r="G161" s="428"/>
      <c r="H161" s="428"/>
      <c r="I161" s="429"/>
      <c r="J161" s="431"/>
      <c r="K161" s="431"/>
      <c r="L161" s="431"/>
      <c r="M161" s="431"/>
      <c r="S161" s="14"/>
      <c r="T161" s="14"/>
      <c r="U161" s="14"/>
      <c r="V161" s="14"/>
      <c r="W161" s="14"/>
      <c r="X161" s="14"/>
      <c r="AB161" s="61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6" s="16" customFormat="1" ht="17.25" hidden="1" customHeight="1" outlineLevel="1" thickTop="1" thickBot="1">
      <c r="C162" s="427"/>
      <c r="D162" s="426" t="str" cm="1">
        <f t="array" ref="D162">angleDecimal2Txt(AD161)</f>
        <v>+267°24.78 (+267.4131) [+267°24'47.39]</v>
      </c>
      <c r="E162" s="426"/>
      <c r="F162" s="426"/>
      <c r="G162" s="426"/>
      <c r="H162" s="426"/>
      <c r="I162"/>
      <c r="J162"/>
      <c r="K162"/>
      <c r="L162"/>
      <c r="M162"/>
      <c r="S162" s="14"/>
      <c r="T162" s="14"/>
      <c r="U162" s="14"/>
      <c r="V162" s="14"/>
      <c r="W162" s="14"/>
      <c r="X162" s="14"/>
      <c r="AB162" s="61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6" s="16" customFormat="1" ht="17.25" customHeight="1" collapsed="1" thickBot="1">
      <c r="C163"/>
      <c r="D163"/>
      <c r="E163"/>
      <c r="I163"/>
      <c r="J163"/>
      <c r="K163"/>
      <c r="L163"/>
      <c r="M163"/>
      <c r="S163" s="14"/>
      <c r="T163" s="14"/>
      <c r="U163" s="14"/>
      <c r="V163" s="14"/>
      <c r="W163" s="14"/>
      <c r="X163" s="14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6" s="14" customFormat="1" ht="17.25" customHeight="1" thickBot="1">
      <c r="A164" s="16"/>
      <c r="B164" s="25" t="s">
        <v>43</v>
      </c>
      <c r="C164" s="75"/>
      <c r="D164" s="75"/>
      <c r="E164" s="75"/>
      <c r="F164" s="751">
        <f>I165</f>
        <v>96.007834035647079</v>
      </c>
      <c r="G164" s="751"/>
      <c r="H164" s="751"/>
      <c r="I164" s="26"/>
      <c r="J164" s="1460"/>
      <c r="K164" s="1460"/>
      <c r="L164" s="1460"/>
      <c r="M164" s="1461"/>
      <c r="N164" s="1461"/>
      <c r="O164" s="1461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31"/>
    </row>
    <row r="165" spans="1:66" s="16" customFormat="1" ht="17.25" customHeight="1" thickTop="1" thickBot="1">
      <c r="C165" s="607" t="s">
        <v>21</v>
      </c>
      <c r="D165" s="607"/>
      <c r="E165" s="607"/>
      <c r="F165" s="607"/>
      <c r="G165" s="607"/>
      <c r="H165" s="607"/>
      <c r="I165" s="461">
        <f>AD166</f>
        <v>96.007834035647079</v>
      </c>
      <c r="J165" s="461"/>
      <c r="K165" s="461"/>
      <c r="L165" s="462"/>
      <c r="M165" s="36" t="s">
        <v>45</v>
      </c>
      <c r="N165" s="602">
        <f>AD165</f>
        <v>96.007834035647079</v>
      </c>
      <c r="O165" s="602"/>
      <c r="P165" s="602"/>
      <c r="Q165" s="602"/>
      <c r="R165" s="455" t="str" cm="1">
        <f t="array" ref="R165">angleDecimal2Txt(AD166)</f>
        <v>+96°00.47 (+96.0078) [+96°00'28.20]</v>
      </c>
      <c r="S165" s="456"/>
      <c r="T165" s="456"/>
      <c r="U165" s="456"/>
      <c r="V165" s="456"/>
      <c r="W165" s="457"/>
      <c r="AB165" s="61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6" customFormat="1" ht="17.25" customHeight="1" thickBot="1">
      <c r="B168" s="25" t="s">
        <v>44</v>
      </c>
      <c r="C168" s="26"/>
      <c r="D168" s="4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62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6" ht="17.25" customHeight="1">
      <c r="H169" s="381" t="s">
        <v>70</v>
      </c>
      <c r="I169" s="1477" t="str">
        <f>J95</f>
        <v>BordSup</v>
      </c>
      <c r="J169" s="1446"/>
      <c r="K169" s="1446"/>
      <c r="L169" s="1446"/>
      <c r="M169" s="1446"/>
      <c r="N169" s="16"/>
    </row>
    <row r="170" spans="1:66" ht="17.25" customHeight="1">
      <c r="E170" s="593" t="s">
        <v>25</v>
      </c>
      <c r="F170" s="594"/>
      <c r="G170" s="594"/>
      <c r="H170" s="594"/>
      <c r="I170" s="436">
        <f>IF(I169=AE95,AE96,AD96)</f>
        <v>-1</v>
      </c>
      <c r="J170" s="421"/>
      <c r="K170" s="421"/>
      <c r="L170" s="421"/>
      <c r="M170" s="422"/>
      <c r="N170" s="16"/>
    </row>
    <row r="171" spans="1:66" ht="17.25" customHeight="1" thickBot="1">
      <c r="E171" s="595"/>
      <c r="F171" s="596"/>
      <c r="G171" s="596"/>
      <c r="H171" s="596"/>
      <c r="I171" s="468"/>
      <c r="J171" s="469"/>
      <c r="K171" s="469"/>
      <c r="L171" s="469"/>
      <c r="M171" s="470"/>
      <c r="N171" s="16"/>
    </row>
    <row r="172" spans="1:66" ht="17.25" customHeight="1" thickTop="1" thickBot="1">
      <c r="E172" s="597"/>
      <c r="F172" s="598"/>
      <c r="G172" s="598"/>
      <c r="H172" s="598"/>
      <c r="I172" s="455" t="str" cm="1">
        <f t="array" ref="I172">angleDecimal2Txt(I170)</f>
        <v>-01°00.00 (-01.0000) [-01°00'00.00]</v>
      </c>
      <c r="J172" s="471"/>
      <c r="K172" s="471"/>
      <c r="L172" s="471"/>
      <c r="M172" s="472"/>
      <c r="N172" s="16"/>
      <c r="O172" s="16"/>
      <c r="P172" s="16"/>
      <c r="Q172" s="16"/>
      <c r="R172" s="16"/>
      <c r="S172" s="16"/>
      <c r="T172" s="14"/>
      <c r="U172" s="14"/>
      <c r="V172" s="14"/>
      <c r="W172" s="14"/>
      <c r="X172" s="14"/>
      <c r="Y172" s="14"/>
      <c r="Z172" s="16"/>
      <c r="AA172" s="16"/>
      <c r="AB172" s="61"/>
    </row>
    <row r="173" spans="1:66" s="16" customFormat="1" ht="17.25" customHeight="1" thickTop="1">
      <c r="C173" s="59"/>
      <c r="D173" s="59"/>
      <c r="T173" s="14"/>
      <c r="U173" s="14"/>
      <c r="V173" s="14"/>
      <c r="W173" s="14"/>
      <c r="X173" s="14"/>
      <c r="Y173" s="14"/>
      <c r="AB173" s="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6" s="16" customFormat="1" ht="17.25" customHeight="1">
      <c r="C174" s="59"/>
      <c r="D174" s="59"/>
      <c r="O174" s="701" t="s">
        <v>86</v>
      </c>
      <c r="P174" s="702"/>
      <c r="Q174" s="702"/>
      <c r="R174" s="702"/>
      <c r="S174" s="702"/>
      <c r="T174" s="702"/>
      <c r="U174" s="702"/>
      <c r="V174" s="702"/>
      <c r="W174" s="702"/>
      <c r="X174" s="702"/>
      <c r="Y174" s="702"/>
      <c r="Z174" s="702"/>
      <c r="AA174" s="702"/>
      <c r="AB174" s="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6" s="16" customFormat="1" ht="17.25" customHeight="1">
      <c r="C175" s="59"/>
      <c r="D175" s="59"/>
      <c r="O175" s="565" t="s">
        <v>222</v>
      </c>
      <c r="P175" s="565"/>
      <c r="Q175" s="565">
        <f>I170</f>
        <v>-1</v>
      </c>
      <c r="R175" s="565"/>
      <c r="S175" s="565"/>
      <c r="T175" s="816" t="s">
        <v>54</v>
      </c>
      <c r="U175" s="565">
        <f>Q175*Outils!$F$4</f>
        <v>-1.7453292519943295E-2</v>
      </c>
      <c r="V175" s="565"/>
      <c r="W175" s="565"/>
      <c r="X175" s="411" t="s">
        <v>64</v>
      </c>
      <c r="AB175" s="61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4"/>
    </row>
    <row r="176" spans="1:66">
      <c r="E176" s="571" t="s">
        <v>92</v>
      </c>
      <c r="F176" s="572"/>
      <c r="G176" s="572"/>
      <c r="H176" s="573"/>
      <c r="I176" s="436" cm="1">
        <f t="array" ref="I176">astroCalculZ(Q177,Q176,Q178)</f>
        <v>78.164247773463131</v>
      </c>
      <c r="J176" s="421"/>
      <c r="K176" s="421"/>
      <c r="L176" s="421"/>
      <c r="M176" s="422"/>
      <c r="N176" s="16"/>
      <c r="O176" s="565" t="s">
        <v>84</v>
      </c>
      <c r="P176" s="565"/>
      <c r="Q176" s="565">
        <f>F122</f>
        <v>10.229434643529011</v>
      </c>
      <c r="R176" s="565"/>
      <c r="S176" s="565"/>
      <c r="T176" s="816"/>
      <c r="U176" s="565">
        <f>Q176*Outils!$F$4</f>
        <v>0.17853731514715371</v>
      </c>
      <c r="V176" s="565"/>
      <c r="W176" s="565"/>
      <c r="X176" s="411"/>
      <c r="Y176" s="16"/>
      <c r="Z176" s="16"/>
      <c r="AA176" s="16"/>
      <c r="AB176" s="61"/>
    </row>
    <row r="177" spans="5:29" ht="15.75" thickBot="1">
      <c r="E177" s="574"/>
      <c r="F177" s="575"/>
      <c r="G177" s="575"/>
      <c r="H177" s="576"/>
      <c r="I177" s="468"/>
      <c r="J177" s="469"/>
      <c r="K177" s="469"/>
      <c r="L177" s="469"/>
      <c r="M177" s="470"/>
      <c r="N177" s="48" t="s">
        <v>116</v>
      </c>
      <c r="O177" s="565" t="s">
        <v>85</v>
      </c>
      <c r="P177" s="565"/>
      <c r="Q177" s="565">
        <f>G98</f>
        <v>27.583333333333332</v>
      </c>
      <c r="R177" s="565"/>
      <c r="S177" s="565"/>
      <c r="T177" s="816"/>
      <c r="U177" s="565">
        <f>Q177*Outils!$F$4</f>
        <v>0.48141998534176922</v>
      </c>
      <c r="V177" s="565"/>
      <c r="W177" s="565"/>
      <c r="X177" s="411"/>
      <c r="Y177" s="16"/>
      <c r="Z177" s="16"/>
      <c r="AA177" s="16"/>
      <c r="AB177" s="61"/>
    </row>
    <row r="178" spans="5:29" ht="16.5" thickTop="1" thickBot="1">
      <c r="E178" s="577"/>
      <c r="F178" s="578"/>
      <c r="G178" s="578"/>
      <c r="H178" s="579"/>
      <c r="I178" s="465" t="str" cm="1">
        <f t="array" ref="I178">angleDecimal2Txt(I176)</f>
        <v>+78°09.85 (+78.1642) [+78°09'51.29]</v>
      </c>
      <c r="J178" s="466"/>
      <c r="K178" s="466"/>
      <c r="L178" s="466"/>
      <c r="M178" s="467"/>
      <c r="N178" s="16"/>
      <c r="O178" s="565" t="s">
        <v>43</v>
      </c>
      <c r="P178" s="565"/>
      <c r="Q178" s="565">
        <f>F164</f>
        <v>96.007834035647079</v>
      </c>
      <c r="R178" s="565"/>
      <c r="S178" s="565"/>
      <c r="T178" s="816"/>
      <c r="U178" s="565">
        <f>Q178*Outils!$F$4</f>
        <v>1.6756528116303164</v>
      </c>
      <c r="V178" s="565"/>
      <c r="W178" s="565"/>
      <c r="X178" s="411"/>
      <c r="Y178" s="16"/>
      <c r="Z178" s="16"/>
      <c r="AA178" s="16"/>
      <c r="AB178" s="61"/>
    </row>
    <row r="179" spans="5:29" ht="15.75" thickTop="1"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61"/>
    </row>
    <row r="180" spans="5:29">
      <c r="E180" s="59"/>
      <c r="F180" s="16"/>
      <c r="G180" s="16"/>
      <c r="H180" s="16"/>
      <c r="I180" s="568" t="s">
        <v>143</v>
      </c>
      <c r="J180" s="569"/>
      <c r="K180" s="569"/>
      <c r="L180" s="569"/>
      <c r="M180" s="569"/>
      <c r="N180" s="570"/>
      <c r="O180" s="568" t="s">
        <v>144</v>
      </c>
      <c r="P180" s="569"/>
      <c r="Q180" s="569"/>
      <c r="R180" s="569"/>
      <c r="S180" s="569"/>
      <c r="T180" s="570"/>
      <c r="U180" s="16"/>
      <c r="V180" s="16"/>
      <c r="W180" s="16"/>
      <c r="X180" s="16"/>
      <c r="Y180" s="16"/>
      <c r="Z180" s="16"/>
      <c r="AA180" s="16"/>
      <c r="AB180" s="61"/>
    </row>
    <row r="181" spans="5:29">
      <c r="E181" s="59"/>
      <c r="F181" s="16"/>
      <c r="G181" s="16"/>
      <c r="H181" s="16"/>
      <c r="I181" s="450"/>
      <c r="J181" s="691" t="s">
        <v>117</v>
      </c>
      <c r="K181" s="692"/>
      <c r="L181" s="693"/>
      <c r="M181" s="697" t="s">
        <v>118</v>
      </c>
      <c r="N181" s="698"/>
      <c r="O181" s="450"/>
      <c r="P181" s="691" t="s">
        <v>117</v>
      </c>
      <c r="Q181" s="692"/>
      <c r="R181" s="693"/>
      <c r="S181" s="697" t="s">
        <v>119</v>
      </c>
      <c r="T181" s="698"/>
      <c r="U181" s="16"/>
      <c r="V181" s="16"/>
      <c r="W181" s="16"/>
      <c r="X181" s="16"/>
      <c r="Y181" s="16"/>
      <c r="Z181" s="16"/>
      <c r="AA181" s="16"/>
      <c r="AB181" s="61"/>
    </row>
    <row r="182" spans="5:29">
      <c r="E182" s="59"/>
      <c r="F182" s="16"/>
      <c r="G182" s="16"/>
      <c r="H182" s="16"/>
      <c r="I182" s="451"/>
      <c r="J182" s="694" t="s">
        <v>87</v>
      </c>
      <c r="K182" s="695"/>
      <c r="L182" s="696"/>
      <c r="M182" s="699" t="s">
        <v>88</v>
      </c>
      <c r="N182" s="700"/>
      <c r="O182" s="451"/>
      <c r="P182" s="694" t="s">
        <v>87</v>
      </c>
      <c r="Q182" s="695"/>
      <c r="R182" s="696"/>
      <c r="S182" s="699" t="s">
        <v>89</v>
      </c>
      <c r="T182" s="700"/>
      <c r="U182" s="16"/>
      <c r="V182" s="16"/>
      <c r="W182" s="16"/>
      <c r="X182" s="16"/>
      <c r="Y182" s="16"/>
      <c r="Z182" s="16"/>
      <c r="AA182" s="16"/>
      <c r="AB182" s="61"/>
    </row>
    <row r="183" spans="5:29">
      <c r="E183" s="59"/>
      <c r="F183" s="14"/>
      <c r="G183" s="14"/>
      <c r="H183" s="14"/>
      <c r="I183" s="14"/>
      <c r="J183" s="14"/>
      <c r="K183" s="14"/>
      <c r="L183" s="16"/>
      <c r="M183" s="16"/>
      <c r="N183" s="16"/>
      <c r="O183" s="16"/>
      <c r="P183" s="16"/>
      <c r="Q183" s="14"/>
      <c r="R183" s="14"/>
      <c r="S183" s="14"/>
      <c r="T183" s="690"/>
      <c r="U183" s="690"/>
      <c r="V183" s="690"/>
      <c r="W183" s="14"/>
      <c r="X183" s="690"/>
      <c r="Y183" s="690"/>
      <c r="Z183" s="690"/>
      <c r="AA183" s="16"/>
      <c r="AB183" s="61"/>
    </row>
    <row r="184" spans="5:29">
      <c r="E184" s="59"/>
      <c r="F184" s="14"/>
      <c r="G184" s="59"/>
      <c r="H184" s="16"/>
      <c r="I184" s="16"/>
      <c r="J184" s="16"/>
      <c r="K184" s="16"/>
      <c r="L184" s="16"/>
      <c r="M184" s="16"/>
      <c r="N184" s="566"/>
      <c r="O184" s="566"/>
      <c r="P184" s="16"/>
      <c r="Q184" s="690"/>
      <c r="R184" s="690"/>
      <c r="S184" s="690"/>
      <c r="T184" s="690"/>
      <c r="U184" s="690"/>
      <c r="V184" s="690"/>
      <c r="W184" s="14"/>
      <c r="X184" s="690"/>
      <c r="Y184" s="690"/>
      <c r="Z184" s="690"/>
      <c r="AA184" s="16"/>
      <c r="AB184" s="61"/>
      <c r="AC184" t="s">
        <v>557</v>
      </c>
    </row>
    <row r="185" spans="5:29">
      <c r="E185" s="59"/>
      <c r="F185" s="59"/>
      <c r="G185" s="59"/>
      <c r="H185" s="16"/>
      <c r="I185" s="565" t="s">
        <v>85</v>
      </c>
      <c r="J185" s="565"/>
      <c r="K185" s="57">
        <f>G76</f>
        <v>0</v>
      </c>
      <c r="L185" s="567" t="str">
        <f>CONCATENATE("Sens: ",IF(Q177&gt;0,"Nord","Sud"))</f>
        <v>Sens: Nord</v>
      </c>
      <c r="M185" s="555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61"/>
      <c r="AC185" t="s">
        <v>558</v>
      </c>
    </row>
    <row r="186" spans="5:29" ht="15.75" thickBot="1">
      <c r="E186" s="59"/>
      <c r="F186" s="59"/>
      <c r="G186" s="59"/>
      <c r="H186" s="16"/>
      <c r="I186" s="565" t="s">
        <v>43</v>
      </c>
      <c r="J186" s="565"/>
      <c r="K186" s="57">
        <f>Q178</f>
        <v>96.007834035647079</v>
      </c>
      <c r="L186" s="567" t="str">
        <f>CONCATENATE("Is &gt; 180? ", IF(Q178&gt;180,"Y", "N"))</f>
        <v>Is &gt; 180? N</v>
      </c>
      <c r="M186" s="555"/>
      <c r="N186" s="16"/>
      <c r="O186" s="735" t="s">
        <v>93</v>
      </c>
      <c r="P186" s="736"/>
      <c r="Q186" s="736"/>
      <c r="R186" s="736"/>
      <c r="S186" s="736"/>
      <c r="T186" s="823" cm="1">
        <f t="array" ref="T186">astroCalculZ2Zn(Q177,I176,Q178)</f>
        <v>281.8357522265369</v>
      </c>
      <c r="U186" s="824"/>
      <c r="V186" s="50" t="s">
        <v>28</v>
      </c>
      <c r="W186" s="14"/>
      <c r="X186" s="16"/>
      <c r="Y186" s="16"/>
      <c r="Z186" s="16"/>
      <c r="AA186" s="16"/>
      <c r="AB186" s="61"/>
    </row>
    <row r="187" spans="5:29" ht="16.5" thickTop="1" thickBot="1">
      <c r="E187" s="59"/>
      <c r="F187" s="59"/>
      <c r="G187" s="59"/>
      <c r="H187" s="16"/>
      <c r="I187" s="731" t="s">
        <v>120</v>
      </c>
      <c r="J187" s="732"/>
      <c r="K187" s="774"/>
      <c r="L187" s="567" t="str">
        <f>IF(K185&gt;0,IF(K186&gt;180,M181,M182),IF(K186&gt;180,S181,S182))</f>
        <v>Zn = 180 +  Z</v>
      </c>
      <c r="M187" s="555"/>
      <c r="N187" s="16"/>
      <c r="O187" s="16"/>
      <c r="P187" s="16"/>
      <c r="Q187" s="16"/>
      <c r="R187" s="16"/>
      <c r="S187" s="16"/>
      <c r="T187" s="557" t="str" cm="1">
        <f t="array" ref="T187">angleDecimal2Txt(T186)</f>
        <v>+281°50.14 (+281.8357) [+281°50'08.70]</v>
      </c>
      <c r="U187" s="557"/>
      <c r="V187" s="557"/>
      <c r="W187" s="557"/>
      <c r="X187" s="557"/>
      <c r="Y187" s="557"/>
      <c r="Z187" s="16"/>
      <c r="AA187" s="16"/>
      <c r="AB187" s="61"/>
    </row>
    <row r="188" spans="5:29" ht="15.75" thickTop="1"/>
  </sheetData>
  <protectedRanges>
    <protectedRange sqref="I12:Y12" name="Heure visee" securityDescriptor="O:WDG:WDD:(A;;CC;;;WD)"/>
  </protectedRanges>
  <mergeCells count="350"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D156:H156"/>
    <mergeCell ref="K156:M156"/>
    <mergeCell ref="D152:H153"/>
    <mergeCell ref="I152:J153"/>
    <mergeCell ref="K152:M153"/>
    <mergeCell ref="N152:R153"/>
    <mergeCell ref="N156:R156"/>
    <mergeCell ref="C131:C135"/>
    <mergeCell ref="D147:H149"/>
    <mergeCell ref="I147:J150"/>
    <mergeCell ref="K147:M148"/>
    <mergeCell ref="N147:N148"/>
    <mergeCell ref="O147:R148"/>
    <mergeCell ref="C137:C141"/>
    <mergeCell ref="D137:H138"/>
    <mergeCell ref="I137:M138"/>
    <mergeCell ref="D139:H140"/>
    <mergeCell ref="I139:I140"/>
    <mergeCell ref="J139:M140"/>
    <mergeCell ref="D141:H141"/>
    <mergeCell ref="F143:H143"/>
    <mergeCell ref="L143:M143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S147:X148"/>
    <mergeCell ref="C144:F144"/>
    <mergeCell ref="G144:I144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K56:M56"/>
    <mergeCell ref="D52:H53"/>
    <mergeCell ref="I52:J53"/>
    <mergeCell ref="K52:M53"/>
    <mergeCell ref="N52:R53"/>
    <mergeCell ref="N56:R56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D47:H49"/>
    <mergeCell ref="I47:J50"/>
    <mergeCell ref="K47:M48"/>
    <mergeCell ref="N47:N48"/>
    <mergeCell ref="O47:R48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1:C35"/>
    <mergeCell ref="S26:W2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</mergeCells>
  <conditionalFormatting sqref="I118:M118 G120:H120">
    <cfRule type="expression" dxfId="1" priority="1">
      <formula>($AD$120&lt;&gt;0)</formula>
    </cfRule>
    <cfRule type="expression" dxfId="0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workbookViewId="0">
      <selection activeCell="A16" sqref="A16"/>
    </sheetView>
  </sheetViews>
  <sheetFormatPr baseColWidth="10" defaultColWidth="11.42578125" defaultRowHeight="15"/>
  <cols>
    <col min="6" max="6" width="13.42578125" customWidth="1"/>
  </cols>
  <sheetData>
    <row r="2" spans="2:66" ht="15.75" thickBot="1">
      <c r="K2" s="1488" t="s">
        <v>721</v>
      </c>
      <c r="L2" s="1488"/>
      <c r="M2" s="1488"/>
      <c r="N2" s="1488"/>
      <c r="O2" s="1488"/>
      <c r="P2" s="1488"/>
      <c r="Q2" s="1488"/>
      <c r="R2" s="1488"/>
      <c r="S2" s="1488"/>
      <c r="T2" s="1488"/>
      <c r="U2" s="1488"/>
      <c r="V2" s="1488"/>
      <c r="W2" s="1488"/>
      <c r="X2" s="1488"/>
      <c r="Y2" s="1488"/>
      <c r="Z2" s="1488"/>
    </row>
    <row r="3" spans="2:66">
      <c r="C3" s="1478" t="s">
        <v>102</v>
      </c>
      <c r="D3" s="1479"/>
      <c r="E3" s="1479"/>
      <c r="F3" s="1480"/>
      <c r="J3" s="1284" t="s">
        <v>722</v>
      </c>
      <c r="K3" s="91" t="s">
        <v>313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84"/>
      <c r="K4" s="91" t="s">
        <v>723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89" t="s">
        <v>727</v>
      </c>
      <c r="K5" s="1490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141" t="s">
        <v>728</v>
      </c>
      <c r="K6" s="1141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81" t="s">
        <v>34</v>
      </c>
      <c r="D7" s="1482"/>
      <c r="E7" s="1483"/>
    </row>
    <row r="8" spans="2:66">
      <c r="C8" s="17" t="s">
        <v>41</v>
      </c>
      <c r="D8" s="32" t="s">
        <v>42</v>
      </c>
      <c r="E8" s="18"/>
      <c r="J8" s="1141" t="s">
        <v>724</v>
      </c>
      <c r="K8" s="1141"/>
      <c r="L8" s="371" t="s">
        <v>725</v>
      </c>
      <c r="M8" s="371">
        <f>J9</f>
        <v>9.2788461923076944E-3</v>
      </c>
      <c r="N8" s="378" t="s">
        <v>726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 ht="15.75" thickBot="1">
      <c r="C12" s="1478" t="s">
        <v>593</v>
      </c>
      <c r="D12" s="1479"/>
      <c r="E12" s="1479"/>
      <c r="F12" s="1480"/>
      <c r="I12" s="1481" t="s">
        <v>804</v>
      </c>
      <c r="J12" s="1482"/>
      <c r="K12" s="1482"/>
      <c r="L12" s="1483"/>
    </row>
    <row r="13" spans="2:66">
      <c r="B13" s="362"/>
      <c r="C13" s="52" t="s">
        <v>560</v>
      </c>
      <c r="D13" s="53" t="s">
        <v>90</v>
      </c>
      <c r="E13" s="54" t="s">
        <v>561</v>
      </c>
      <c r="F13" s="245">
        <f>1/0.3048</f>
        <v>3.280839895013123</v>
      </c>
      <c r="G13" s="251"/>
      <c r="I13" s="1484" t="s">
        <v>233</v>
      </c>
      <c r="J13" s="1485"/>
      <c r="K13" s="396" t="s">
        <v>41</v>
      </c>
      <c r="L13" s="398" t="s">
        <v>466</v>
      </c>
      <c r="M13" t="str">
        <f>latitudeDecimal2Txt(angleConvert2Decimal(L13))</f>
        <v>N 00°00.00 (N 00.0000) [N 00°00'00.00]</v>
      </c>
    </row>
    <row r="14" spans="2:66" ht="15.75" thickBot="1">
      <c r="B14" s="362">
        <v>15</v>
      </c>
      <c r="C14" s="19" t="s">
        <v>563</v>
      </c>
      <c r="D14" s="55" t="s">
        <v>90</v>
      </c>
      <c r="E14" s="56" t="s">
        <v>562</v>
      </c>
      <c r="F14" s="246">
        <f>0.3048</f>
        <v>0.30480000000000002</v>
      </c>
      <c r="G14" s="251">
        <f>B14*F14</f>
        <v>4.5720000000000001</v>
      </c>
      <c r="I14" s="1486"/>
      <c r="J14" s="1487"/>
      <c r="K14" s="54" t="s">
        <v>42</v>
      </c>
      <c r="L14" s="397" t="s">
        <v>790</v>
      </c>
      <c r="M14" t="str">
        <f>longitudeDecimal2Txt(angleConvert2Decimal(L14))</f>
        <v>E 136°21.00 (E 136.3499) [E 136°21'00.00]</v>
      </c>
    </row>
    <row r="15" spans="2:66" s="16" customFormat="1" ht="17.25" customHeight="1" thickBot="1">
      <c r="B15" s="363"/>
      <c r="C15"/>
      <c r="D15"/>
      <c r="E15"/>
      <c r="G15" s="77"/>
      <c r="H15" s="40" t="s">
        <v>807</v>
      </c>
      <c r="I15" s="52" t="s">
        <v>805</v>
      </c>
      <c r="J15" s="53" t="s">
        <v>90</v>
      </c>
      <c r="K15" s="54" t="s">
        <v>806</v>
      </c>
      <c r="L15" s="245" t="str">
        <f>IF(O15&lt;0,CONCATENATE("+ ",TEXT(Q15,"00"),"h"),CONCATENATE("- ",TEXT(Q15,"00"),"h"))</f>
        <v>- 09h</v>
      </c>
      <c r="M15" s="16" t="str">
        <f>heureDecimal2Txt( heureConvert2Decimal(H15) + (-1)*O15*Q15)</f>
        <v>06:35:00.00(06.5833)</v>
      </c>
      <c r="N15" s="253">
        <f>angleConvert2Decimal(L14)</f>
        <v>136.35</v>
      </c>
      <c r="O15" s="253">
        <f>SIGN(N15)</f>
        <v>1</v>
      </c>
      <c r="P15" s="253">
        <f>ABS(12 * N15/180)</f>
        <v>9.09</v>
      </c>
      <c r="Q15" s="253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 thickBot="1">
      <c r="B16" s="363"/>
      <c r="C16" s="1478" t="s">
        <v>594</v>
      </c>
      <c r="D16" s="1479"/>
      <c r="E16" s="1479"/>
      <c r="F16" s="1480"/>
      <c r="G16" s="77"/>
      <c r="H16" s="40" t="s">
        <v>788</v>
      </c>
      <c r="I16" s="19" t="s">
        <v>806</v>
      </c>
      <c r="J16" s="55" t="s">
        <v>90</v>
      </c>
      <c r="K16" s="56" t="s">
        <v>805</v>
      </c>
      <c r="L16" s="245" t="str">
        <f>IF(O16&lt;0,CONCATENATE("+ ",TEXT(Q16,"00"),"h"),CONCATENATE("- ",TEXT(Q16,"00"),"h"))</f>
        <v>+ 09h</v>
      </c>
      <c r="M16" s="16" t="str">
        <f>heureDecimal2Txt( heureConvert2Decimal(H16) + (-1)*O16*Q16)</f>
        <v>28:35:00.00(28.5833)</v>
      </c>
      <c r="N16" s="266">
        <f>N15</f>
        <v>136.35</v>
      </c>
      <c r="O16" s="266">
        <f>O15*(-1)</f>
        <v>-1</v>
      </c>
      <c r="P16" s="266">
        <f>P15</f>
        <v>9.09</v>
      </c>
      <c r="Q16" s="26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595</v>
      </c>
      <c r="D17" s="53" t="s">
        <v>90</v>
      </c>
      <c r="E17" s="54" t="s">
        <v>598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596</v>
      </c>
      <c r="D18" s="55" t="s">
        <v>90</v>
      </c>
      <c r="E18" s="56" t="s">
        <v>597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81" t="s">
        <v>658</v>
      </c>
      <c r="D20" s="1482"/>
      <c r="E20" s="1482"/>
      <c r="F20" s="1483"/>
      <c r="G20" s="251"/>
    </row>
    <row r="21" spans="1:66">
      <c r="B21" s="362">
        <v>7</v>
      </c>
      <c r="C21" s="17" t="s">
        <v>659</v>
      </c>
      <c r="D21" s="359" t="s">
        <v>90</v>
      </c>
      <c r="E21" s="360" t="s">
        <v>660</v>
      </c>
      <c r="F21" s="361" t="s">
        <v>661</v>
      </c>
      <c r="G21" s="251">
        <f>B21*(9/5)+32</f>
        <v>44.6</v>
      </c>
    </row>
    <row r="22" spans="1:66" ht="15.75" thickBot="1">
      <c r="B22" s="362">
        <v>44</v>
      </c>
      <c r="C22" s="19" t="s">
        <v>660</v>
      </c>
      <c r="D22" s="55" t="s">
        <v>90</v>
      </c>
      <c r="E22" s="56" t="s">
        <v>659</v>
      </c>
      <c r="F22" s="358" t="s">
        <v>662</v>
      </c>
      <c r="G22" s="251">
        <f>(B22-32)*(5/9)</f>
        <v>6.666666666666667</v>
      </c>
    </row>
    <row r="27" spans="1:66">
      <c r="A27" t="s">
        <v>800</v>
      </c>
      <c r="C27" t="s">
        <v>858</v>
      </c>
    </row>
    <row r="28" spans="1:66">
      <c r="A28" t="s">
        <v>801</v>
      </c>
      <c r="C28" t="s">
        <v>859</v>
      </c>
    </row>
  </sheetData>
  <sheetProtection selectLockedCells="1" selectUnlockedCells="1"/>
  <mergeCells count="12">
    <mergeCell ref="I12:L12"/>
    <mergeCell ref="I13:J14"/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J13"/>
  <sheetViews>
    <sheetView tabSelected="1" workbookViewId="0">
      <selection activeCell="K22" sqref="K22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7" width="13.42578125" customWidth="1"/>
    <col min="8" max="8" width="15.5703125" customWidth="1"/>
    <col min="9" max="9" width="15.28515625" customWidth="1"/>
    <col min="10" max="10" width="21.7109375" customWidth="1"/>
  </cols>
  <sheetData>
    <row r="1" spans="2:10">
      <c r="D1" t="s">
        <v>391</v>
      </c>
      <c r="E1" s="218">
        <v>31557600</v>
      </c>
      <c r="H1" s="219" t="s">
        <v>396</v>
      </c>
      <c r="I1" s="219"/>
    </row>
    <row r="3" spans="2:10">
      <c r="B3" s="10" t="s">
        <v>384</v>
      </c>
      <c r="C3" s="10" t="s">
        <v>385</v>
      </c>
      <c r="D3" s="194" t="s">
        <v>390</v>
      </c>
      <c r="E3" s="220" t="s">
        <v>392</v>
      </c>
      <c r="F3" s="194" t="s">
        <v>389</v>
      </c>
      <c r="G3" s="1491" t="s">
        <v>862</v>
      </c>
      <c r="H3" s="222" t="s">
        <v>394</v>
      </c>
      <c r="I3" s="194" t="s">
        <v>395</v>
      </c>
      <c r="J3" s="221" t="s">
        <v>397</v>
      </c>
    </row>
    <row r="4" spans="2:10">
      <c r="B4" s="223" t="s">
        <v>386</v>
      </c>
      <c r="C4" s="10">
        <v>0</v>
      </c>
      <c r="D4" s="194">
        <f>dateConvert2Decimal(B4)</f>
        <v>1696118400</v>
      </c>
      <c r="E4" s="194"/>
      <c r="F4" s="194"/>
      <c r="G4" s="1491"/>
      <c r="H4" s="222"/>
      <c r="I4" s="194"/>
      <c r="J4" s="222"/>
    </row>
    <row r="5" spans="2:10">
      <c r="B5" s="172" t="s">
        <v>387</v>
      </c>
      <c r="C5" s="10">
        <f>1*60+2</f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1491" t="str">
        <f>CONCATENATE(INT(F5/60)," mn ",INT( 60*(F5/60 - INT(F5/60)))," s")</f>
        <v>1 mn 46 s</v>
      </c>
      <c r="H5" s="222">
        <f>30*I5</f>
        <v>8.7323943661971821</v>
      </c>
      <c r="I5" s="194">
        <f>F5/365.25</f>
        <v>0.29107981220657275</v>
      </c>
      <c r="J5" s="222">
        <v>10</v>
      </c>
    </row>
    <row r="6" spans="2:10">
      <c r="B6" s="172" t="s">
        <v>388</v>
      </c>
      <c r="C6" s="10">
        <f>1*60+13</f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1491" t="str">
        <f>CONCATENATE(INT(F6/60)," mn ",INT( 60*(F6/60 - INT(F6/60)))," s")</f>
        <v>1 mn 30 s</v>
      </c>
      <c r="H6" s="222">
        <f>30*I6</f>
        <v>7.4237288135593218</v>
      </c>
      <c r="I6" s="194">
        <f>F6/365.25</f>
        <v>0.24745762711864405</v>
      </c>
      <c r="J6" s="222">
        <v>12</v>
      </c>
    </row>
    <row r="7" spans="2:10">
      <c r="B7" s="223" t="s">
        <v>393</v>
      </c>
      <c r="C7" s="10">
        <f>1*60+26</f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1491" t="str">
        <f>CONCATENATE(INT(F7/60)," mn ",INT( 60*(F7/60 - INT(F7/60)))," s")</f>
        <v>1 mn 41 s</v>
      </c>
      <c r="H7" s="222">
        <f>30*I7</f>
        <v>8.3495145631067977</v>
      </c>
      <c r="I7" s="194">
        <f>F7/365.25</f>
        <v>0.27831715210355989</v>
      </c>
      <c r="J7" s="222">
        <v>14</v>
      </c>
    </row>
    <row r="8" spans="2:10">
      <c r="B8" s="11" t="s">
        <v>729</v>
      </c>
      <c r="C8" s="380">
        <f>2*60+32</f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1491" t="str">
        <f>CONCATENATE(INT(F8/60)," mn ",INT( 60*(F8/60 - INT(F8/60)))," s")</f>
        <v>1 mn 41 s</v>
      </c>
      <c r="H8" s="222">
        <f>30*I8</f>
        <v>8.3516483516483522</v>
      </c>
      <c r="I8" s="194">
        <f>F8/365.25</f>
        <v>0.2783882783882784</v>
      </c>
      <c r="J8" s="222">
        <v>14</v>
      </c>
    </row>
    <row r="9" spans="2:10">
      <c r="B9" s="11" t="s">
        <v>861</v>
      </c>
      <c r="C9" s="379">
        <f>3*60+24</f>
        <v>204</v>
      </c>
      <c r="D9" s="194">
        <f>dateConvert2Decimal(B9)</f>
        <v>1758758400</v>
      </c>
      <c r="E9" s="194">
        <f>D9-$D$4</f>
        <v>62640000</v>
      </c>
      <c r="F9" s="194">
        <f>$E$1*C9/E9</f>
        <v>102.77379310344827</v>
      </c>
      <c r="G9" s="1491" t="str">
        <f>CONCATENATE(INT(F9/60)," mn ",INT( 60*(F9/60 - INT(F9/60)))," s")</f>
        <v>1 mn 42 s</v>
      </c>
      <c r="H9" s="222">
        <f>30*I9</f>
        <v>8.4413793103448267</v>
      </c>
      <c r="I9" s="194">
        <f>F9/365.25</f>
        <v>0.28137931034482755</v>
      </c>
      <c r="J9" s="222">
        <v>14</v>
      </c>
    </row>
    <row r="13" spans="2:10">
      <c r="F13" s="381" t="s">
        <v>730</v>
      </c>
      <c r="G13" s="381"/>
      <c r="H13" s="381">
        <f>AVERAGE(H5:H12)</f>
        <v>8.2597330809712979</v>
      </c>
      <c r="I13" s="381" t="s">
        <v>731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baseColWidth="10" defaultColWidth="9.140625" defaultRowHeight="15"/>
  <sheetData>
    <row r="5" spans="5:9">
      <c r="E5" s="11" t="s">
        <v>482</v>
      </c>
      <c r="F5" cm="1">
        <f t="array" ref="F5">heureConvert2Decimal(E5)</f>
        <v>12.336944444444445</v>
      </c>
    </row>
    <row r="6" spans="5:9">
      <c r="E6" s="11" t="s">
        <v>480</v>
      </c>
      <c r="F6" cm="1">
        <f t="array" ref="F6">heureConvert2Decimal(E6)</f>
        <v>8.5013888888888882</v>
      </c>
    </row>
    <row r="7" spans="5:9">
      <c r="E7" s="11" t="s">
        <v>481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hauteur-etoileplanete'!Zone_d_impression</vt:lpstr>
      <vt:lpstr>'Droite de hauteur-lune'!Zone_d_impression</vt:lpstr>
      <vt:lpstr>'Droite de hauteur-soleil'!Zone_d_impression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2025-06-18T07:54:23Z</cp:lastPrinted>
  <dcterms:created xsi:type="dcterms:W3CDTF">2023-12-16T12:20:09Z</dcterms:created>
  <dcterms:modified xsi:type="dcterms:W3CDTF">2025-09-25T14:17:32Z</dcterms:modified>
</cp:coreProperties>
</file>