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37E9136A-EC8A-4A73-85CB-BAA30B4842C0}" xr6:coauthVersionLast="47" xr6:coauthVersionMax="47" xr10:uidLastSave="{00000000-0000-0000-0000-000000000000}"/>
  <bookViews>
    <workbookView xWindow="1560" yWindow="570" windowWidth="25575" windowHeight="14295" tabRatio="872" activeTab="4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Outils" sheetId="15" r:id="rId7"/>
    <sheet name="Montre" sheetId="18" r:id="rId8"/>
  </sheets>
  <functionGroups builtInGroupCount="19"/>
  <definedNames>
    <definedName name="_xlnm.Print_Area" localSheetId="4">'Droite de hauteur-etoileplanete'!$B$54:$Z$104</definedName>
    <definedName name="_xlnm.Print_Area" localSheetId="3">'Droite de hauteur-lune'!$B$184:$Q$232</definedName>
    <definedName name="_xlnm.Print_Area" localSheetId="0">'Droite de hauteur-soleil'!$B$182:$Q$231</definedName>
    <definedName name="_xlnm.Print_Area" localSheetId="5">'Latitude Polaire'!$B$132:$Q$164</definedName>
    <definedName name="_xlnm.Print_Area" localSheetId="1">Meridienne!$B$212:$Q$246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97" i="17" l="1"/>
  <c r="S97" i="17"/>
  <c r="O97" i="17"/>
  <c r="K97" i="17"/>
  <c r="G97" i="17"/>
  <c r="W103" i="17"/>
  <c r="W102" i="17"/>
  <c r="S103" i="17"/>
  <c r="S102" i="17"/>
  <c r="O103" i="17"/>
  <c r="O102" i="17"/>
  <c r="K103" i="17"/>
  <c r="K102" i="17"/>
  <c r="W93" i="17"/>
  <c r="S93" i="17"/>
  <c r="O93" i="17"/>
  <c r="K93" i="17"/>
  <c r="W92" i="17"/>
  <c r="S92" i="17"/>
  <c r="O92" i="17"/>
  <c r="K92" i="17"/>
  <c r="W89" i="17"/>
  <c r="S89" i="17"/>
  <c r="O89" i="17"/>
  <c r="K89" i="17"/>
  <c r="W87" i="17"/>
  <c r="S87" i="17"/>
  <c r="O87" i="17"/>
  <c r="K87" i="17"/>
  <c r="G87" i="17"/>
  <c r="W86" i="17"/>
  <c r="S86" i="17"/>
  <c r="O86" i="17"/>
  <c r="K86" i="17"/>
  <c r="X86" i="17"/>
  <c r="T86" i="17"/>
  <c r="P86" i="17"/>
  <c r="L86" i="17"/>
  <c r="H86" i="17"/>
  <c r="X85" i="17"/>
  <c r="T85" i="17"/>
  <c r="P85" i="17"/>
  <c r="L85" i="17"/>
  <c r="H85" i="17"/>
  <c r="W85" i="17"/>
  <c r="S85" i="17"/>
  <c r="O85" i="17"/>
  <c r="K85" i="17"/>
  <c r="G85" i="17"/>
  <c r="W77" i="17"/>
  <c r="S77" i="17"/>
  <c r="S78" i="17" s="1"/>
  <c r="O77" i="17"/>
  <c r="W78" i="17"/>
  <c r="O78" i="17"/>
  <c r="K77" i="17"/>
  <c r="K78" i="17"/>
  <c r="G86" i="17"/>
  <c r="W64" i="17"/>
  <c r="S64" i="17"/>
  <c r="O64" i="17"/>
  <c r="K64" i="17"/>
  <c r="F77" i="17"/>
  <c r="K19" i="17"/>
  <c r="D58" i="17"/>
  <c r="G64" i="17"/>
  <c r="F212" i="11"/>
  <c r="F208" i="11"/>
  <c r="M15" i="10"/>
  <c r="M59" i="10"/>
  <c r="H151" i="10"/>
  <c r="G151" i="10"/>
  <c r="E138" i="10"/>
  <c r="H208" i="11"/>
  <c r="E189" i="11"/>
  <c r="H208" i="1"/>
  <c r="H212" i="11"/>
  <c r="E191" i="11"/>
  <c r="H234" i="16"/>
  <c r="E219" i="16"/>
  <c r="F234" i="16"/>
  <c r="E191" i="1"/>
  <c r="H211" i="1"/>
  <c r="F211" i="1"/>
  <c r="H207" i="1"/>
  <c r="F207" i="1"/>
  <c r="E35" i="17"/>
  <c r="AC47" i="17"/>
  <c r="AC43" i="17"/>
  <c r="L46" i="17"/>
  <c r="L43" i="17"/>
  <c r="D31" i="17"/>
  <c r="O42" i="17"/>
  <c r="P42" i="17" s="1"/>
  <c r="Q42" i="17" s="1"/>
  <c r="R42" i="17" s="1"/>
  <c r="S42" i="17" s="1"/>
  <c r="T42" i="17" s="1"/>
  <c r="U42" i="17" s="1"/>
  <c r="V42" i="17" s="1"/>
  <c r="W42" i="17" s="1"/>
  <c r="X42" i="17" s="1"/>
  <c r="Y42" i="17" s="1"/>
  <c r="D27" i="17"/>
  <c r="D39" i="17"/>
  <c r="C39" i="17"/>
  <c r="D38" i="17"/>
  <c r="C38" i="17"/>
  <c r="D37" i="17"/>
  <c r="C37" i="17"/>
  <c r="D36" i="17"/>
  <c r="C36" i="17"/>
  <c r="D35" i="17"/>
  <c r="C35" i="17"/>
  <c r="E39" i="17"/>
  <c r="E38" i="17"/>
  <c r="E37" i="17"/>
  <c r="E36" i="17"/>
  <c r="D30" i="17"/>
  <c r="D29" i="17"/>
  <c r="D28" i="17"/>
  <c r="H35" i="17"/>
  <c r="AD16" i="17"/>
  <c r="AD12" i="17"/>
  <c r="AG176" i="11"/>
  <c r="AD176" i="11"/>
  <c r="AD175" i="11"/>
  <c r="AD174" i="11"/>
  <c r="AE168" i="11"/>
  <c r="J118" i="11"/>
  <c r="O102" i="1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J23" i="11"/>
  <c r="O106" i="11" s="1"/>
  <c r="AD107" i="11" s="1"/>
  <c r="AD108" i="11" s="1"/>
  <c r="J22" i="11"/>
  <c r="M82" i="11" s="1"/>
  <c r="J19" i="11"/>
  <c r="AD91" i="11" s="1"/>
  <c r="AD92" i="11" s="1"/>
  <c r="O91" i="11" s="1"/>
  <c r="AD10" i="11"/>
  <c r="AD9" i="11"/>
  <c r="E105" i="13"/>
  <c r="E104" i="13"/>
  <c r="G104" i="13" s="1"/>
  <c r="AD104" i="13" s="1"/>
  <c r="E103" i="13"/>
  <c r="E102" i="13"/>
  <c r="E101" i="13"/>
  <c r="AG96" i="13"/>
  <c r="AF96" i="13"/>
  <c r="AG95" i="13"/>
  <c r="AF95" i="13"/>
  <c r="AG94" i="13"/>
  <c r="AF94" i="13"/>
  <c r="AG93" i="13"/>
  <c r="AF93" i="13"/>
  <c r="AG92" i="13"/>
  <c r="AF92" i="13"/>
  <c r="E96" i="13"/>
  <c r="E95" i="13"/>
  <c r="E94" i="13"/>
  <c r="E93" i="13"/>
  <c r="E92" i="13"/>
  <c r="AF87" i="13"/>
  <c r="AE87" i="13"/>
  <c r="AF86" i="13"/>
  <c r="AE86" i="13"/>
  <c r="AF85" i="13"/>
  <c r="AE85" i="13"/>
  <c r="AF84" i="13"/>
  <c r="AE84" i="13"/>
  <c r="AF83" i="13"/>
  <c r="AE83" i="13"/>
  <c r="AD237" i="13"/>
  <c r="AD235" i="13"/>
  <c r="E235" i="13"/>
  <c r="AD236" i="13" s="1"/>
  <c r="R229" i="13"/>
  <c r="I226" i="13"/>
  <c r="J196" i="13"/>
  <c r="O180" i="13"/>
  <c r="O179" i="13"/>
  <c r="AD159" i="13"/>
  <c r="F159" i="13"/>
  <c r="AD157" i="13"/>
  <c r="AD153" i="13"/>
  <c r="AD151" i="13"/>
  <c r="AD150" i="13"/>
  <c r="P136" i="13"/>
  <c r="M134" i="13" s="1"/>
  <c r="P132" i="13"/>
  <c r="M130" i="13" s="1"/>
  <c r="J129" i="13"/>
  <c r="O184" i="13" s="1"/>
  <c r="AD185" i="13" s="1"/>
  <c r="AD186" i="13" s="1"/>
  <c r="J128" i="13"/>
  <c r="AD184" i="13" s="1"/>
  <c r="AD187" i="13" s="1"/>
  <c r="J125" i="13"/>
  <c r="AD169" i="13" s="1"/>
  <c r="AD170" i="13" s="1"/>
  <c r="O169" i="13" s="1"/>
  <c r="C56" i="13"/>
  <c r="J36" i="13"/>
  <c r="I36" i="13"/>
  <c r="AD36" i="13" s="1"/>
  <c r="F32" i="13"/>
  <c r="E51" i="13" s="1"/>
  <c r="AD16" i="13"/>
  <c r="AD11" i="13"/>
  <c r="E202" i="16"/>
  <c r="AD204" i="16"/>
  <c r="AD202" i="16"/>
  <c r="AG175" i="1"/>
  <c r="AD175" i="1"/>
  <c r="AD174" i="1"/>
  <c r="AD173" i="1"/>
  <c r="AE167" i="1"/>
  <c r="AD126" i="16"/>
  <c r="AD124" i="16"/>
  <c r="AD118" i="16"/>
  <c r="AD117" i="16"/>
  <c r="AD40" i="1"/>
  <c r="W104" i="17" a="1"/>
  <c r="S104" i="17" a="1"/>
  <c r="O104" i="17" a="1"/>
  <c r="K104" i="17" a="1"/>
  <c r="W98" i="17" a="1"/>
  <c r="S98" i="17" a="1"/>
  <c r="O98" i="17" a="1"/>
  <c r="K98" i="17" a="1"/>
  <c r="G98" i="17" a="1"/>
  <c r="W95" i="17" a="1"/>
  <c r="S95" i="17" a="1"/>
  <c r="O95" i="17" a="1"/>
  <c r="K95" i="17" a="1"/>
  <c r="G95" i="17" a="1"/>
  <c r="W94" i="17" a="1"/>
  <c r="S94" i="17" a="1"/>
  <c r="O94" i="17" a="1"/>
  <c r="K94" i="17" a="1"/>
  <c r="W91" i="17" a="1"/>
  <c r="S91" i="17" a="1"/>
  <c r="O91" i="17" a="1"/>
  <c r="K91" i="17" a="1"/>
  <c r="G91" i="17" a="1"/>
  <c r="W90" i="17" a="1"/>
  <c r="S90" i="17" a="1"/>
  <c r="O90" i="17" a="1"/>
  <c r="K90" i="17" a="1"/>
  <c r="G90" i="17" a="1"/>
  <c r="S83" i="17" a="1"/>
  <c r="O83" i="17" a="1"/>
  <c r="G83" i="17" a="1"/>
  <c r="S82" i="17" a="1"/>
  <c r="O82" i="17" a="1"/>
  <c r="G82" i="17" a="1"/>
  <c r="W81" i="17" a="1"/>
  <c r="S81" i="17" a="1"/>
  <c r="O81" i="17" a="1"/>
  <c r="S80" i="17" a="1"/>
  <c r="O80" i="17" a="1"/>
  <c r="G80" i="17" a="1"/>
  <c r="O79" i="17" a="1"/>
  <c r="W79" i="17" a="1"/>
  <c r="S79" i="17" a="1"/>
  <c r="W80" i="17" a="1"/>
  <c r="W82" i="17" a="1"/>
  <c r="W83" i="17" a="1"/>
  <c r="W84" i="17" a="1"/>
  <c r="S84" i="17" a="1"/>
  <c r="O84" i="17" a="1"/>
  <c r="K84" i="17" a="1"/>
  <c r="K83" i="17" a="1"/>
  <c r="K82" i="17" a="1"/>
  <c r="K81" i="17" a="1"/>
  <c r="K80" i="17" a="1"/>
  <c r="K79" i="17" a="1"/>
  <c r="G79" i="17" a="1"/>
  <c r="I78" i="17" a="1"/>
  <c r="I77" i="17" a="1"/>
  <c r="Y78" i="17" a="1"/>
  <c r="U77" i="17" a="1"/>
  <c r="U78" i="17" a="1"/>
  <c r="Q77" i="17" a="1"/>
  <c r="Q78" i="17" a="1"/>
  <c r="M78" i="17" a="1"/>
  <c r="M77" i="17" a="1"/>
  <c r="W72" i="17" a="1"/>
  <c r="W71" i="17" a="1"/>
  <c r="S72" i="17" a="1"/>
  <c r="S71" i="17" a="1"/>
  <c r="O72" i="17" a="1"/>
  <c r="O71" i="17" a="1"/>
  <c r="K72" i="17" a="1"/>
  <c r="K71" i="17" a="1"/>
  <c r="K70" i="17" a="1"/>
  <c r="W70" i="17" a="1"/>
  <c r="S70" i="17" a="1"/>
  <c r="O70" i="17" a="1"/>
  <c r="G70" i="17" a="1"/>
  <c r="G71" i="17" a="1"/>
  <c r="G67" i="17" a="1"/>
  <c r="W69" i="17" a="1"/>
  <c r="S69" i="17" a="1"/>
  <c r="O69" i="17" a="1"/>
  <c r="K69" i="17" a="1"/>
  <c r="K38" i="17"/>
  <c r="K37" i="17"/>
  <c r="K36" i="17"/>
  <c r="K35" i="17"/>
  <c r="W68" i="17" a="1"/>
  <c r="S68" i="17" a="1"/>
  <c r="O68" i="17" a="1"/>
  <c r="K68" i="17" a="1"/>
  <c r="G68" i="17" a="1"/>
  <c r="W66" i="17" a="1"/>
  <c r="S66" i="17" a="1"/>
  <c r="O66" i="17" a="1"/>
  <c r="K66" i="17" a="1"/>
  <c r="W65" i="17" a="1"/>
  <c r="S65" i="17" a="1"/>
  <c r="O65" i="17" a="1"/>
  <c r="K65" i="17" a="1"/>
  <c r="AB39" i="17" a="1"/>
  <c r="AB38" i="17" a="1"/>
  <c r="AB37" i="17" a="1"/>
  <c r="AB36" i="17" a="1"/>
  <c r="AB35" i="17" a="1"/>
  <c r="V137" i="11" a="1"/>
  <c r="D57" i="17" a="1"/>
  <c r="G65" i="17" a="1"/>
  <c r="E6" i="17"/>
  <c r="H152" i="10" a="1"/>
  <c r="E137" i="10" a="1"/>
  <c r="E136" i="10" a="1"/>
  <c r="K207" i="1" a="1"/>
  <c r="H193" i="11" a="1"/>
  <c r="E190" i="11" a="1"/>
  <c r="E188" i="11" a="1"/>
  <c r="E7" i="11" a="1"/>
  <c r="E218" i="16" a="1"/>
  <c r="E216" i="16" a="1"/>
  <c r="N7" i="16"/>
  <c r="H193" i="1" a="1"/>
  <c r="H194" i="1" a="1"/>
  <c r="K208" i="1" a="1"/>
  <c r="E7" i="1" a="1"/>
  <c r="AG85" i="13"/>
  <c r="I28" i="17"/>
  <c r="J134" i="13" a="1"/>
  <c r="AE49" i="11" a="1"/>
  <c r="AJ32" i="11"/>
  <c r="AE93" i="13"/>
  <c r="AD59" i="11" a="1"/>
  <c r="AN32" i="11"/>
  <c r="T28" i="17"/>
  <c r="J20" i="17" a="1"/>
  <c r="AD83" i="13"/>
  <c r="M28" i="17"/>
  <c r="AD75" i="11" a="1"/>
  <c r="AE95" i="13"/>
  <c r="AH94" i="13"/>
  <c r="AE50" i="11" a="1"/>
  <c r="AK32" i="11"/>
  <c r="AD12" i="13" a="1"/>
  <c r="J130" i="13" a="1"/>
  <c r="G169" i="11" a="1"/>
  <c r="R202" i="13" a="1"/>
  <c r="AI32" i="11"/>
  <c r="O32" i="13" a="1"/>
  <c r="M31" i="17"/>
  <c r="F21" i="13"/>
  <c r="AD37" i="11" a="1"/>
  <c r="AD57" i="11" a="1"/>
  <c r="F39" i="17"/>
  <c r="AE67" i="11" a="1"/>
  <c r="O30" i="17"/>
  <c r="AC32" i="11"/>
  <c r="AG32" i="11"/>
  <c r="I27" i="17"/>
  <c r="J20" i="11" a="1"/>
  <c r="AE187" i="13" a="1"/>
  <c r="G27" i="17"/>
  <c r="AD87" i="13"/>
  <c r="AG84" i="13"/>
  <c r="O124" i="11" a="1"/>
  <c r="T29" i="17"/>
  <c r="AG87" i="13"/>
  <c r="AG86" i="13"/>
  <c r="AE92" i="13"/>
  <c r="F28" i="13"/>
  <c r="U91" i="11" a="1"/>
  <c r="T27" i="17"/>
  <c r="I31" i="17"/>
  <c r="AD85" i="13"/>
  <c r="G31" i="17"/>
  <c r="S136" i="13" a="1"/>
  <c r="AH95" i="13"/>
  <c r="M27" i="17"/>
  <c r="G81" i="17" s="1" a="1"/>
  <c r="AG83" i="13"/>
  <c r="AD11" i="11" a="1"/>
  <c r="I29" i="17"/>
  <c r="AH93" i="13"/>
  <c r="AE32" i="11"/>
  <c r="J16" i="11" a="1"/>
  <c r="D5" i="18"/>
  <c r="AE151" i="13" a="1"/>
  <c r="J127" i="13" a="1"/>
  <c r="J126" i="13" a="1"/>
  <c r="AD158" i="13" a="1"/>
  <c r="J17" i="11" a="1"/>
  <c r="O29" i="17"/>
  <c r="AD86" i="13"/>
  <c r="I104" i="13"/>
  <c r="D6" i="18"/>
  <c r="O202" i="13" a="1"/>
  <c r="G30" i="17"/>
  <c r="K44" i="17"/>
  <c r="J123" i="13" a="1"/>
  <c r="O28" i="17"/>
  <c r="G236" i="13" a="1"/>
  <c r="AD37" i="13" a="1"/>
  <c r="M29" i="17"/>
  <c r="AF32" i="11"/>
  <c r="AM32" i="11"/>
  <c r="T6" i="17"/>
  <c r="AE94" i="13"/>
  <c r="AD160" i="13" a="1"/>
  <c r="G28" i="17"/>
  <c r="AH32" i="11"/>
  <c r="U169" i="13" a="1"/>
  <c r="N7" i="13"/>
  <c r="M30" i="17"/>
  <c r="AE96" i="13"/>
  <c r="I30" i="17"/>
  <c r="AD77" i="11" a="1"/>
  <c r="AD17" i="13" a="1"/>
  <c r="J122" i="13" a="1"/>
  <c r="K43" i="17"/>
  <c r="O27" i="17"/>
  <c r="G235" i="13" a="1"/>
  <c r="F38" i="17"/>
  <c r="J24" i="11" a="1"/>
  <c r="F43" i="13"/>
  <c r="O43" i="13" s="1"/>
  <c r="F12" i="17"/>
  <c r="R124" i="11" a="1"/>
  <c r="F161" i="13" a="1"/>
  <c r="AD84" i="13"/>
  <c r="S132" i="13" a="1"/>
  <c r="G170" i="11" a="1"/>
  <c r="O31" i="17"/>
  <c r="AO32" i="11"/>
  <c r="G202" i="16" a="1"/>
  <c r="AL32" i="11"/>
  <c r="AD8" i="11" a="1"/>
  <c r="F36" i="17"/>
  <c r="J89" i="16" a="1"/>
  <c r="J21" i="11" a="1"/>
  <c r="D4" i="18"/>
  <c r="G203" i="16" a="1"/>
  <c r="D7" i="18"/>
  <c r="AH92" i="13"/>
  <c r="F37" i="17"/>
  <c r="F16" i="17"/>
  <c r="AD42" i="11" a="1"/>
  <c r="AD32" i="11"/>
  <c r="G29" i="17"/>
  <c r="AH96" i="13"/>
  <c r="AE68" i="11" a="1"/>
  <c r="AE150" i="13" a="1"/>
  <c r="AN31" i="1"/>
  <c r="AM31" i="1"/>
  <c r="AL31" i="1"/>
  <c r="AH31" i="1"/>
  <c r="AG31" i="1"/>
  <c r="AI31" i="1"/>
  <c r="J16" i="1" a="1"/>
  <c r="AE31" i="1"/>
  <c r="T7" i="1"/>
  <c r="AC31" i="1"/>
  <c r="AF31" i="1"/>
  <c r="AK31" i="1"/>
  <c r="AJ31" i="1"/>
  <c r="AD31" i="1"/>
  <c r="E190" i="1" a="1"/>
  <c r="G84" i="17" a="1"/>
  <c r="D60" i="17" a="1"/>
  <c r="D61" i="17" a="1"/>
  <c r="G94" i="17" a="1"/>
  <c r="W104" i="17" l="1"/>
  <c r="S104" i="17"/>
  <c r="O104" i="17"/>
  <c r="K104" i="17"/>
  <c r="W98" i="17"/>
  <c r="S98" i="17"/>
  <c r="O98" i="17"/>
  <c r="K98" i="17"/>
  <c r="G98" i="17"/>
  <c r="W95" i="17"/>
  <c r="S95" i="17"/>
  <c r="O95" i="17"/>
  <c r="K95" i="17"/>
  <c r="G95" i="17"/>
  <c r="W94" i="17"/>
  <c r="S94" i="17"/>
  <c r="O94" i="17"/>
  <c r="K94" i="17"/>
  <c r="W91" i="17"/>
  <c r="S91" i="17"/>
  <c r="O91" i="17"/>
  <c r="K91" i="17"/>
  <c r="G91" i="17"/>
  <c r="W90" i="17"/>
  <c r="S90" i="17"/>
  <c r="O90" i="17"/>
  <c r="K90" i="17"/>
  <c r="G90" i="17"/>
  <c r="S83" i="17"/>
  <c r="O83" i="17"/>
  <c r="G83" i="17"/>
  <c r="S82" i="17"/>
  <c r="O82" i="17"/>
  <c r="G82" i="17"/>
  <c r="W81" i="17"/>
  <c r="S81" i="17"/>
  <c r="O81" i="17"/>
  <c r="S80" i="17"/>
  <c r="O80" i="17"/>
  <c r="G80" i="17"/>
  <c r="O79" i="17"/>
  <c r="W79" i="17"/>
  <c r="S79" i="17"/>
  <c r="W80" i="17"/>
  <c r="W82" i="17"/>
  <c r="W83" i="17"/>
  <c r="W84" i="17"/>
  <c r="S84" i="17"/>
  <c r="O84" i="17"/>
  <c r="K84" i="17"/>
  <c r="K83" i="17"/>
  <c r="K82" i="17"/>
  <c r="K81" i="17"/>
  <c r="K80" i="17"/>
  <c r="K79" i="17"/>
  <c r="G79" i="17"/>
  <c r="I78" i="17"/>
  <c r="I77" i="17"/>
  <c r="Y78" i="17"/>
  <c r="U78" i="17"/>
  <c r="U77" i="17"/>
  <c r="Q78" i="17"/>
  <c r="Q77" i="17"/>
  <c r="M78" i="17"/>
  <c r="M77" i="17"/>
  <c r="W72" i="17"/>
  <c r="W71" i="17"/>
  <c r="S72" i="17"/>
  <c r="S71" i="17"/>
  <c r="O72" i="17"/>
  <c r="O71" i="17"/>
  <c r="K72" i="17"/>
  <c r="K71" i="17"/>
  <c r="K70" i="17"/>
  <c r="W70" i="17"/>
  <c r="S70" i="17"/>
  <c r="O70" i="17"/>
  <c r="G70" i="17"/>
  <c r="G71" i="17"/>
  <c r="G67" i="17"/>
  <c r="W69" i="17"/>
  <c r="S69" i="17"/>
  <c r="O69" i="17"/>
  <c r="K69" i="17"/>
  <c r="W68" i="17"/>
  <c r="S68" i="17"/>
  <c r="O68" i="17"/>
  <c r="K68" i="17"/>
  <c r="G68" i="17"/>
  <c r="W66" i="17"/>
  <c r="S66" i="17"/>
  <c r="O66" i="17"/>
  <c r="K66" i="17"/>
  <c r="W65" i="17"/>
  <c r="S65" i="17"/>
  <c r="O65" i="17"/>
  <c r="K65" i="17"/>
  <c r="AB39" i="17"/>
  <c r="AB38" i="17"/>
  <c r="AB37" i="17"/>
  <c r="AB36" i="17"/>
  <c r="AB35" i="17"/>
  <c r="V137" i="11"/>
  <c r="G102" i="17"/>
  <c r="G94" i="17"/>
  <c r="G84" i="17"/>
  <c r="G81" i="17"/>
  <c r="D61" i="17"/>
  <c r="D60" i="17"/>
  <c r="D57" i="17"/>
  <c r="G65" i="17"/>
  <c r="D54" i="17"/>
  <c r="H152" i="10"/>
  <c r="E137" i="10"/>
  <c r="E136" i="10"/>
  <c r="K207" i="1"/>
  <c r="H193" i="11"/>
  <c r="E190" i="11"/>
  <c r="E188" i="11"/>
  <c r="E7" i="11"/>
  <c r="D184" i="11" s="1"/>
  <c r="E218" i="16"/>
  <c r="E216" i="16"/>
  <c r="H193" i="1"/>
  <c r="H194" i="1"/>
  <c r="K208" i="1"/>
  <c r="E7" i="1"/>
  <c r="AG46" i="17"/>
  <c r="AG44" i="17"/>
  <c r="AG48" i="17"/>
  <c r="E190" i="1"/>
  <c r="E5" i="18"/>
  <c r="F5" i="18" s="1"/>
  <c r="H5" i="18" s="1"/>
  <c r="G5" i="18" s="1"/>
  <c r="AI36" i="17"/>
  <c r="AI35" i="17"/>
  <c r="E6" i="18"/>
  <c r="F6" i="18" s="1"/>
  <c r="H6" i="18" s="1"/>
  <c r="G6" i="18" s="1"/>
  <c r="AI38" i="17"/>
  <c r="AI37" i="17"/>
  <c r="AI39" i="17"/>
  <c r="AH47" i="17"/>
  <c r="AH45" i="17"/>
  <c r="E7" i="18"/>
  <c r="F7" i="18" s="1"/>
  <c r="H7" i="18" s="1"/>
  <c r="G7" i="18" s="1"/>
  <c r="J16" i="1"/>
  <c r="AH46" i="17"/>
  <c r="AG45" i="17"/>
  <c r="AH44" i="17"/>
  <c r="X6" i="17"/>
  <c r="AA6" i="17" s="1"/>
  <c r="AE42" i="17" s="1"/>
  <c r="AL35" i="17"/>
  <c r="O35" i="17"/>
  <c r="O39" i="17"/>
  <c r="O38" i="17"/>
  <c r="O37" i="17"/>
  <c r="O36" i="17"/>
  <c r="J20" i="17"/>
  <c r="J27" i="17" s="1"/>
  <c r="X7" i="1"/>
  <c r="AA7" i="1" s="1"/>
  <c r="AF24" i="1" s="1"/>
  <c r="AD103" i="11"/>
  <c r="AE68" i="11"/>
  <c r="AE49" i="11"/>
  <c r="AE50" i="11"/>
  <c r="AE67" i="11"/>
  <c r="AD11" i="11"/>
  <c r="J17" i="11"/>
  <c r="AD37" i="11"/>
  <c r="F36" i="11" s="1"/>
  <c r="AD75" i="11"/>
  <c r="AD8" i="11"/>
  <c r="AD59" i="11"/>
  <c r="G170" i="11"/>
  <c r="J16" i="11"/>
  <c r="J24" i="11"/>
  <c r="AJ28" i="11" s="1"/>
  <c r="O124" i="11"/>
  <c r="J20" i="11"/>
  <c r="U91" i="11"/>
  <c r="G169" i="11"/>
  <c r="J21" i="11"/>
  <c r="AD42" i="11"/>
  <c r="F41" i="11" s="1"/>
  <c r="AD57" i="11"/>
  <c r="AD77" i="11"/>
  <c r="R124" i="11"/>
  <c r="AD106" i="11"/>
  <c r="AD96" i="13"/>
  <c r="AC83" i="13"/>
  <c r="AD95" i="13"/>
  <c r="AD94" i="13"/>
  <c r="G103" i="13" s="1"/>
  <c r="AD93" i="13"/>
  <c r="AD92" i="13"/>
  <c r="G105" i="13" s="1"/>
  <c r="AC87" i="13"/>
  <c r="AC86" i="13"/>
  <c r="AC85" i="13"/>
  <c r="AC84" i="13"/>
  <c r="AD181" i="13"/>
  <c r="AD238" i="13"/>
  <c r="AD239" i="13" s="1"/>
  <c r="AE151" i="13"/>
  <c r="AE150" i="13"/>
  <c r="O32" i="13"/>
  <c r="F161" i="13"/>
  <c r="AD158" i="13"/>
  <c r="E113" i="13"/>
  <c r="AD12" i="13"/>
  <c r="F11" i="13" s="1"/>
  <c r="J122" i="13"/>
  <c r="J130" i="13"/>
  <c r="J134" i="13"/>
  <c r="AD37" i="13"/>
  <c r="F36" i="13" s="1"/>
  <c r="AD17" i="13"/>
  <c r="F16" i="13" s="1"/>
  <c r="J126" i="13"/>
  <c r="E50" i="13"/>
  <c r="K50" i="13" s="1"/>
  <c r="J127" i="13"/>
  <c r="O202" i="13"/>
  <c r="G236" i="13"/>
  <c r="U169" i="13"/>
  <c r="J123" i="13"/>
  <c r="S132" i="13"/>
  <c r="S136" i="13"/>
  <c r="AD160" i="13"/>
  <c r="AE187" i="13"/>
  <c r="AD188" i="13" s="1"/>
  <c r="O185" i="13" s="1"/>
  <c r="R202" i="13"/>
  <c r="V202" i="13" s="1"/>
  <c r="G235" i="13"/>
  <c r="AD203" i="16"/>
  <c r="AD205" i="16" s="1"/>
  <c r="AD206" i="16" s="1"/>
  <c r="G203" i="16"/>
  <c r="G202" i="16"/>
  <c r="E80" i="16"/>
  <c r="D212" i="16" s="1"/>
  <c r="J89" i="16"/>
  <c r="Y77" i="17" a="1"/>
  <c r="E207" i="11" a="1"/>
  <c r="G66" i="17" a="1"/>
  <c r="H213" i="11" a="1"/>
  <c r="J213" i="11" a="1"/>
  <c r="J212" i="11" a="1"/>
  <c r="H209" i="11" a="1"/>
  <c r="K209" i="11" a="1"/>
  <c r="K208" i="11" a="1"/>
  <c r="W202" i="13" a="1"/>
  <c r="U68" i="11" a="1"/>
  <c r="U78" i="11" a="1"/>
  <c r="P60" i="11" a="1"/>
  <c r="U60" i="11" a="1"/>
  <c r="P89" i="16" a="1"/>
  <c r="J16" i="17"/>
  <c r="S36" i="17"/>
  <c r="P20" i="11" a="1"/>
  <c r="J12" i="17"/>
  <c r="O36" i="13" a="1"/>
  <c r="K27" i="17"/>
  <c r="S37" i="17"/>
  <c r="U161" i="13" a="1"/>
  <c r="F35" i="17"/>
  <c r="P16" i="11" a="1"/>
  <c r="J96" i="13"/>
  <c r="U151" i="13" a="1"/>
  <c r="G83" i="13"/>
  <c r="U153" i="13" a="1"/>
  <c r="P127" i="13" a="1"/>
  <c r="J93" i="13"/>
  <c r="I103" i="13"/>
  <c r="J94" i="13"/>
  <c r="P20" i="17" a="1"/>
  <c r="S38" i="17"/>
  <c r="S39" i="17"/>
  <c r="J92" i="13"/>
  <c r="J95" i="13"/>
  <c r="P122" i="13" a="1"/>
  <c r="P123" i="13" a="1"/>
  <c r="P137" i="13" a="1"/>
  <c r="AI46" i="17"/>
  <c r="O16" i="13" a="1"/>
  <c r="AI44" i="17"/>
  <c r="P27" i="11" a="1"/>
  <c r="P78" i="11" a="1"/>
  <c r="S35" i="17"/>
  <c r="O36" i="11" a="1"/>
  <c r="AI45" i="17"/>
  <c r="I105" i="13"/>
  <c r="G86" i="13"/>
  <c r="U70" i="11" a="1"/>
  <c r="U185" i="13" a="1"/>
  <c r="O28" i="13" a="1"/>
  <c r="O41" i="11" a="1"/>
  <c r="P133" i="13" a="1"/>
  <c r="G87" i="13"/>
  <c r="O11" i="13" a="1"/>
  <c r="U50" i="11" a="1"/>
  <c r="G85" i="13"/>
  <c r="P17" i="11" a="1"/>
  <c r="U52" i="11" a="1"/>
  <c r="P21" i="11" a="1"/>
  <c r="O21" i="13"/>
  <c r="P126" i="13" a="1"/>
  <c r="G84" i="13"/>
  <c r="P161" i="13" a="1"/>
  <c r="P16" i="1" a="1"/>
  <c r="E206" i="11" a="1"/>
  <c r="Y77" i="17" l="1"/>
  <c r="E206" i="11"/>
  <c r="E207" i="11"/>
  <c r="H230" i="11"/>
  <c r="G77" i="17"/>
  <c r="G78" i="17" s="1"/>
  <c r="G66" i="17"/>
  <c r="H213" i="11"/>
  <c r="J213" i="11"/>
  <c r="J212" i="11"/>
  <c r="H209" i="11"/>
  <c r="K209" i="11"/>
  <c r="K208" i="11"/>
  <c r="G101" i="13"/>
  <c r="P16" i="1"/>
  <c r="AD105" i="13"/>
  <c r="Q39" i="17"/>
  <c r="P39" i="17"/>
  <c r="Q38" i="17"/>
  <c r="P38" i="17"/>
  <c r="Q37" i="17"/>
  <c r="P37" i="17"/>
  <c r="Q36" i="17"/>
  <c r="P36" i="17"/>
  <c r="Q35" i="17"/>
  <c r="P35" i="17"/>
  <c r="AF44" i="17"/>
  <c r="AE44" i="17"/>
  <c r="AE43" i="17" s="1"/>
  <c r="AE50" i="17"/>
  <c r="AE49" i="17"/>
  <c r="AE46" i="17"/>
  <c r="AE45" i="17"/>
  <c r="AG47" i="17" s="1"/>
  <c r="AE48" i="17"/>
  <c r="AE47" i="17" s="1"/>
  <c r="J31" i="17"/>
  <c r="AF48" i="17" s="1"/>
  <c r="AH48" i="17" s="1"/>
  <c r="J28" i="17"/>
  <c r="J30" i="17"/>
  <c r="AF47" i="17" s="1"/>
  <c r="J29" i="17"/>
  <c r="P20" i="17"/>
  <c r="AL27" i="11"/>
  <c r="V124" i="11"/>
  <c r="P20" i="11"/>
  <c r="P78" i="11"/>
  <c r="U68" i="11"/>
  <c r="P21" i="11"/>
  <c r="P17" i="11"/>
  <c r="U60" i="11"/>
  <c r="U78" i="11"/>
  <c r="U52" i="11"/>
  <c r="P16" i="11"/>
  <c r="P60" i="11"/>
  <c r="O36" i="11"/>
  <c r="U50" i="11"/>
  <c r="O41" i="11"/>
  <c r="P27" i="11"/>
  <c r="U70" i="11"/>
  <c r="O90" i="11"/>
  <c r="O89" i="11"/>
  <c r="M18" i="11"/>
  <c r="AD51" i="11"/>
  <c r="E11" i="11"/>
  <c r="E159" i="11"/>
  <c r="Q143" i="11"/>
  <c r="K151" i="11"/>
  <c r="Q131" i="11"/>
  <c r="E160" i="11"/>
  <c r="O97" i="11"/>
  <c r="AD69" i="11"/>
  <c r="O28" i="13"/>
  <c r="AD103" i="13"/>
  <c r="G102" i="13"/>
  <c r="AD102" i="13" s="1"/>
  <c r="O11" i="13"/>
  <c r="P126" i="13"/>
  <c r="P123" i="13"/>
  <c r="O36" i="13"/>
  <c r="P137" i="13"/>
  <c r="O16" i="13"/>
  <c r="P133" i="13"/>
  <c r="U151" i="13"/>
  <c r="W202" i="13"/>
  <c r="P122" i="13"/>
  <c r="U153" i="13"/>
  <c r="U161" i="13"/>
  <c r="P161" i="13"/>
  <c r="U185" i="13"/>
  <c r="P127" i="13"/>
  <c r="O168" i="13"/>
  <c r="M124" i="13"/>
  <c r="E55" i="13"/>
  <c r="F142" i="13"/>
  <c r="S214" i="13" s="1"/>
  <c r="P55" i="13"/>
  <c r="O183" i="13"/>
  <c r="E60" i="13"/>
  <c r="O175" i="13"/>
  <c r="AD152" i="13"/>
  <c r="O192" i="13"/>
  <c r="O167" i="13"/>
  <c r="P89" i="16"/>
  <c r="H195" i="11" a="1"/>
  <c r="K31" i="17"/>
  <c r="U167" i="13" a="1"/>
  <c r="I102" i="13"/>
  <c r="K29" i="17"/>
  <c r="AI48" i="17"/>
  <c r="U90" i="11" a="1"/>
  <c r="U168" i="13" a="1"/>
  <c r="J18" i="11" a="1"/>
  <c r="J90" i="16" a="1"/>
  <c r="I7" i="11" a="1"/>
  <c r="L35" i="17"/>
  <c r="U175" i="13" a="1"/>
  <c r="K28" i="17"/>
  <c r="K60" i="13"/>
  <c r="I101" i="13"/>
  <c r="AI47" i="17"/>
  <c r="U89" i="11" a="1"/>
  <c r="K30" i="17"/>
  <c r="L36" i="17"/>
  <c r="E12" i="11" a="1"/>
  <c r="W124" i="11" a="1"/>
  <c r="J124" i="13" a="1"/>
  <c r="L37" i="17"/>
  <c r="U97" i="11" a="1"/>
  <c r="H195" i="11" l="1"/>
  <c r="R38" i="17"/>
  <c r="T38" i="17" s="1"/>
  <c r="V38" i="17" s="1"/>
  <c r="AF46" i="17"/>
  <c r="AF45" i="17"/>
  <c r="R35" i="17"/>
  <c r="T35" i="17" s="1"/>
  <c r="V35" i="17" s="1"/>
  <c r="R36" i="17"/>
  <c r="R37" i="17"/>
  <c r="T37" i="17" s="1"/>
  <c r="V37" i="17" s="1"/>
  <c r="R39" i="17"/>
  <c r="T39" i="17" s="1"/>
  <c r="V39" i="17" s="1"/>
  <c r="AN27" i="11"/>
  <c r="AM27" i="11"/>
  <c r="AQ28" i="11" s="1"/>
  <c r="AN28" i="11"/>
  <c r="AM28" i="11"/>
  <c r="O93" i="11"/>
  <c r="W124" i="11"/>
  <c r="U89" i="11"/>
  <c r="J18" i="11"/>
  <c r="U90" i="11"/>
  <c r="U97" i="11"/>
  <c r="E12" i="11"/>
  <c r="I7" i="11"/>
  <c r="I184" i="11" s="1"/>
  <c r="J123" i="11"/>
  <c r="M86" i="11"/>
  <c r="L151" i="11"/>
  <c r="AD90" i="11"/>
  <c r="L123" i="11"/>
  <c r="I76" i="11"/>
  <c r="AF78" i="11" s="1"/>
  <c r="I68" i="11"/>
  <c r="AD71" i="11" s="1"/>
  <c r="AF72" i="11" s="1"/>
  <c r="I58" i="11"/>
  <c r="AD60" i="11" s="1"/>
  <c r="F58" i="11" s="1"/>
  <c r="I50" i="11"/>
  <c r="AD53" i="11" s="1"/>
  <c r="AD54" i="11" s="1"/>
  <c r="F50" i="11" s="1"/>
  <c r="AD101" i="13"/>
  <c r="G107" i="13" s="1"/>
  <c r="U167" i="13"/>
  <c r="U168" i="13"/>
  <c r="U175" i="13"/>
  <c r="J124" i="13"/>
  <c r="M164" i="13"/>
  <c r="J201" i="13"/>
  <c r="O171" i="13"/>
  <c r="AD168" i="13"/>
  <c r="L201" i="13"/>
  <c r="J90" i="16"/>
  <c r="F60" i="11" a="1"/>
  <c r="E192" i="11" a="1"/>
  <c r="U171" i="13" a="1"/>
  <c r="L202" i="13" a="1"/>
  <c r="L38" i="17"/>
  <c r="U93" i="11" a="1"/>
  <c r="L124" i="11" a="1"/>
  <c r="F54" i="11" a="1"/>
  <c r="I107" i="13"/>
  <c r="P18" i="11" a="1"/>
  <c r="P90" i="16" a="1"/>
  <c r="L39" i="17"/>
  <c r="P124" i="13" a="1"/>
  <c r="F60" i="11" l="1"/>
  <c r="AD78" i="11"/>
  <c r="F76" i="11"/>
  <c r="E192" i="11"/>
  <c r="U38" i="17"/>
  <c r="W38" i="17" s="1"/>
  <c r="U35" i="17"/>
  <c r="AQ29" i="11"/>
  <c r="AQ30" i="11" s="1"/>
  <c r="AQ31" i="11" s="1"/>
  <c r="T36" i="17"/>
  <c r="V36" i="17" s="1"/>
  <c r="U36" i="17"/>
  <c r="U39" i="17"/>
  <c r="U37" i="17"/>
  <c r="L124" i="11"/>
  <c r="O126" i="11" s="1"/>
  <c r="U93" i="11"/>
  <c r="F54" i="11"/>
  <c r="P18" i="11"/>
  <c r="AD72" i="11"/>
  <c r="F68" i="11"/>
  <c r="F45" i="11"/>
  <c r="Q107" i="13"/>
  <c r="Q109" i="13" s="1"/>
  <c r="P124" i="13"/>
  <c r="L202" i="13"/>
  <c r="O204" i="13" s="1"/>
  <c r="U171" i="13"/>
  <c r="P90" i="16"/>
  <c r="M91" i="16"/>
  <c r="E214" i="11" a="1"/>
  <c r="F78" i="11" a="1"/>
  <c r="S107" i="13"/>
  <c r="K45" i="11" a="1"/>
  <c r="S109" i="13"/>
  <c r="U126" i="11" a="1"/>
  <c r="S30" i="11"/>
  <c r="U204" i="13" a="1"/>
  <c r="J91" i="16" a="1"/>
  <c r="E214" i="11" l="1"/>
  <c r="W35" i="17"/>
  <c r="G103" i="17" s="1"/>
  <c r="V136" i="11"/>
  <c r="F78" i="11"/>
  <c r="F63" i="11"/>
  <c r="W36" i="17"/>
  <c r="W37" i="17"/>
  <c r="W39" i="17"/>
  <c r="P30" i="11"/>
  <c r="M28" i="11" s="1"/>
  <c r="U126" i="11"/>
  <c r="K45" i="11"/>
  <c r="Q142" i="11"/>
  <c r="Q130" i="11"/>
  <c r="M220" i="13"/>
  <c r="U204" i="13"/>
  <c r="J91" i="16"/>
  <c r="J92" i="16"/>
  <c r="P222" i="11" a="1"/>
  <c r="X136" i="11"/>
  <c r="P91" i="16" a="1"/>
  <c r="J28" i="11" a="1"/>
  <c r="J93" i="16" a="1"/>
  <c r="P220" i="13"/>
  <c r="E210" i="11" a="1"/>
  <c r="E210" i="11" l="1"/>
  <c r="P222" i="11"/>
  <c r="G89" i="17"/>
  <c r="AD83" i="11"/>
  <c r="AD84" i="11" s="1"/>
  <c r="I83" i="11" s="1"/>
  <c r="F82" i="11" s="1"/>
  <c r="L63" i="11"/>
  <c r="J28" i="11"/>
  <c r="AD109" i="11" s="1"/>
  <c r="E227" i="13"/>
  <c r="P91" i="16"/>
  <c r="J93" i="16"/>
  <c r="X137" i="11"/>
  <c r="P223" i="11" a="1"/>
  <c r="Q63" i="11"/>
  <c r="P93" i="16" a="1"/>
  <c r="P31" i="11" a="1"/>
  <c r="AE109" i="11" a="1"/>
  <c r="E211" i="11" a="1"/>
  <c r="E211" i="11" l="1"/>
  <c r="P223" i="11"/>
  <c r="H231" i="11"/>
  <c r="N83" i="11"/>
  <c r="AE109" i="11"/>
  <c r="AD110" i="11" s="1"/>
  <c r="O107" i="11" s="1"/>
  <c r="P31" i="11"/>
  <c r="O105" i="11"/>
  <c r="Q144" i="11"/>
  <c r="Q132" i="11"/>
  <c r="P93" i="16"/>
  <c r="H198" i="11" a="1"/>
  <c r="H197" i="11" a="1"/>
  <c r="J94" i="16" a="1"/>
  <c r="U107" i="11" a="1"/>
  <c r="H197" i="11" l="1"/>
  <c r="H198" i="11"/>
  <c r="U107" i="11"/>
  <c r="O114" i="11"/>
  <c r="K152" i="11"/>
  <c r="L153" i="11" s="1"/>
  <c r="L152" i="11"/>
  <c r="J94" i="16"/>
  <c r="P94" i="16" a="1"/>
  <c r="P94" i="16" l="1"/>
  <c r="J95" i="16"/>
  <c r="J96" i="16"/>
  <c r="E217" i="16" s="1"/>
  <c r="P99" i="16"/>
  <c r="M97" i="16" s="1"/>
  <c r="J97" i="16" a="1"/>
  <c r="S99" i="16" a="1"/>
  <c r="J97" i="16" l="1"/>
  <c r="S99" i="16"/>
  <c r="P100" i="16" a="1"/>
  <c r="P100" i="16" l="1"/>
  <c r="P103" i="16"/>
  <c r="M101" i="16" s="1"/>
  <c r="S103" i="16" a="1"/>
  <c r="J101" i="16" a="1"/>
  <c r="J101" i="16" l="1"/>
  <c r="S103" i="16"/>
  <c r="P104" i="16" a="1"/>
  <c r="P104" i="16" l="1"/>
  <c r="AE117" i="16" a="1"/>
  <c r="AE117" i="16" l="1"/>
  <c r="AD120" i="16"/>
  <c r="J234" i="16" a="1"/>
  <c r="AD125" i="16" a="1"/>
  <c r="U118" i="16" a="1"/>
  <c r="AE118" i="16" a="1"/>
  <c r="J234" i="16" l="1"/>
  <c r="U118" i="16"/>
  <c r="AE118" i="16"/>
  <c r="AD125" i="16"/>
  <c r="J235" i="16" a="1"/>
  <c r="AD127" i="16" a="1"/>
  <c r="U120" i="16" a="1"/>
  <c r="J235" i="16" l="1"/>
  <c r="U120" i="16"/>
  <c r="AD119" i="16"/>
  <c r="AD127" i="16"/>
  <c r="O134" i="16"/>
  <c r="M131" i="16" s="1"/>
  <c r="O135" i="16"/>
  <c r="AD135" i="16" s="1"/>
  <c r="AD136" i="16"/>
  <c r="AD137" i="16" s="1"/>
  <c r="O136" i="16" s="1"/>
  <c r="H235" i="16" a="1"/>
  <c r="H221" i="16" a="1"/>
  <c r="U136" i="16" a="1"/>
  <c r="U128" i="16" a="1"/>
  <c r="P128" i="16" a="1"/>
  <c r="U135" i="16" a="1"/>
  <c r="U134" i="16" a="1"/>
  <c r="H235" i="16" l="1"/>
  <c r="H221" i="16"/>
  <c r="U134" i="16"/>
  <c r="P128" i="16"/>
  <c r="U135" i="16"/>
  <c r="U128" i="16"/>
  <c r="O138" i="16"/>
  <c r="U136" i="16"/>
  <c r="O142" i="16"/>
  <c r="O146" i="16"/>
  <c r="O147" i="16"/>
  <c r="AD148" i="16" s="1"/>
  <c r="O150" i="16"/>
  <c r="O151" i="16"/>
  <c r="AD151" i="16"/>
  <c r="E220" i="16" a="1"/>
  <c r="H224" i="16" a="1"/>
  <c r="U142" i="16" a="1"/>
  <c r="U138" i="16" a="1"/>
  <c r="H224" i="16" l="1"/>
  <c r="E220" i="16"/>
  <c r="U142" i="16"/>
  <c r="U138" i="16"/>
  <c r="AD152" i="16"/>
  <c r="AD153" i="16" s="1"/>
  <c r="AD154" i="16"/>
  <c r="AE154" i="16" a="1"/>
  <c r="AE154" i="16" l="1"/>
  <c r="AD155" i="16" s="1"/>
  <c r="O152" i="16" s="1"/>
  <c r="H225" i="16" a="1"/>
  <c r="U152" i="16" a="1"/>
  <c r="H225" i="16" l="1"/>
  <c r="U152" i="16"/>
  <c r="O159" i="16"/>
  <c r="J163" i="16"/>
  <c r="J168" i="16"/>
  <c r="L168" i="16"/>
  <c r="L169" i="16" a="1"/>
  <c r="L169" i="16" l="1"/>
  <c r="O169" i="16" a="1"/>
  <c r="R169" i="16" a="1"/>
  <c r="R169" i="16" l="1"/>
  <c r="O169" i="16"/>
  <c r="I193" i="16"/>
  <c r="O171" i="16" l="1"/>
  <c r="V169" i="16"/>
  <c r="R196" i="16"/>
  <c r="U171" i="16" a="1"/>
  <c r="W169" i="16" a="1"/>
  <c r="U171" i="16" l="1"/>
  <c r="W169" i="16"/>
  <c r="I36" i="16"/>
  <c r="AD36" i="16" s="1"/>
  <c r="J36" i="16"/>
  <c r="AD11" i="16"/>
  <c r="C56" i="16"/>
  <c r="F32" i="16"/>
  <c r="E51" i="16" s="1"/>
  <c r="AD16" i="16"/>
  <c r="P25" i="1"/>
  <c r="F5" i="15"/>
  <c r="F4" i="15"/>
  <c r="F21" i="16"/>
  <c r="AD12" i="16" a="1"/>
  <c r="O32" i="16" a="1"/>
  <c r="F28" i="16"/>
  <c r="AD37" i="16" a="1"/>
  <c r="F43" i="16"/>
  <c r="AD17" i="16" a="1"/>
  <c r="G168" i="1" a="1"/>
  <c r="G169" i="1" a="1"/>
  <c r="AE37" i="17" l="1"/>
  <c r="AD38" i="17"/>
  <c r="AD36" i="17"/>
  <c r="AE36" i="17"/>
  <c r="AD37" i="17"/>
  <c r="AD39" i="17"/>
  <c r="AE39" i="17"/>
  <c r="AD35" i="17"/>
  <c r="AD177" i="11"/>
  <c r="AD178" i="11" s="1"/>
  <c r="AE38" i="17"/>
  <c r="AE35" i="17"/>
  <c r="G35" i="17"/>
  <c r="I35" i="17"/>
  <c r="J35" i="17" s="1"/>
  <c r="G36" i="17"/>
  <c r="G39" i="17"/>
  <c r="I37" i="17"/>
  <c r="J37" i="17" s="1"/>
  <c r="U143" i="11"/>
  <c r="G38" i="17"/>
  <c r="I36" i="17"/>
  <c r="J36" i="17" s="1"/>
  <c r="I39" i="17"/>
  <c r="J39" i="17" s="1"/>
  <c r="I38" i="17"/>
  <c r="J38" i="17" s="1"/>
  <c r="G37" i="17"/>
  <c r="U131" i="11"/>
  <c r="R93" i="11"/>
  <c r="AD97" i="11" s="1"/>
  <c r="AD101" i="11"/>
  <c r="AD102" i="11" s="1"/>
  <c r="AD104" i="11" s="1"/>
  <c r="O103" i="11" s="1"/>
  <c r="AF38" i="17"/>
  <c r="AM38" i="17" s="1"/>
  <c r="AF35" i="17"/>
  <c r="AM35" i="17" s="1"/>
  <c r="U130" i="11"/>
  <c r="AF39" i="17"/>
  <c r="AM39" i="17" s="1"/>
  <c r="AF36" i="17"/>
  <c r="AM36" i="17" s="1"/>
  <c r="U142" i="11"/>
  <c r="AF37" i="17"/>
  <c r="AM37" i="17" s="1"/>
  <c r="U132" i="11"/>
  <c r="H217" i="11" s="1"/>
  <c r="U144" i="11"/>
  <c r="AD176" i="1"/>
  <c r="AD177" i="1" s="1"/>
  <c r="R171" i="13"/>
  <c r="AD175" i="13" s="1"/>
  <c r="O176" i="13" s="1"/>
  <c r="AD179" i="13"/>
  <c r="AD180" i="13" s="1"/>
  <c r="AD182" i="13" s="1"/>
  <c r="O181" i="13" s="1"/>
  <c r="R138" i="16"/>
  <c r="AD142" i="16" s="1"/>
  <c r="O143" i="16" s="1"/>
  <c r="AD146" i="16"/>
  <c r="AD147" i="16" s="1"/>
  <c r="AD149" i="16" s="1"/>
  <c r="O148" i="16" s="1"/>
  <c r="AD37" i="16"/>
  <c r="F36" i="16" s="1"/>
  <c r="O32" i="16"/>
  <c r="E50" i="16"/>
  <c r="P50" i="13" s="1"/>
  <c r="AD12" i="16"/>
  <c r="F11" i="16" s="1"/>
  <c r="AD17" i="16"/>
  <c r="F16" i="16" s="1"/>
  <c r="E60" i="16" s="1"/>
  <c r="G168" i="1"/>
  <c r="G169" i="1"/>
  <c r="D184" i="1"/>
  <c r="J18" i="1"/>
  <c r="K39" i="17"/>
  <c r="H194" i="11" a="1"/>
  <c r="G72" i="17" a="1"/>
  <c r="F227" i="16" a="1"/>
  <c r="H222" i="16" a="1"/>
  <c r="F229" i="16" a="1"/>
  <c r="F228" i="16" a="1"/>
  <c r="H223" i="16" a="1"/>
  <c r="U103" i="11" a="1"/>
  <c r="U176" i="13" a="1"/>
  <c r="O11" i="16" a="1"/>
  <c r="O16" i="16" a="1"/>
  <c r="O43" i="16"/>
  <c r="O28" i="16" a="1"/>
  <c r="U143" i="16" a="1"/>
  <c r="O36" i="16" a="1"/>
  <c r="U181" i="13" a="1"/>
  <c r="U148" i="16" a="1"/>
  <c r="K60" i="16"/>
  <c r="O21" i="16"/>
  <c r="H194" i="11" l="1"/>
  <c r="H216" i="11"/>
  <c r="H215" i="11"/>
  <c r="J216" i="11"/>
  <c r="J215" i="11"/>
  <c r="G72" i="17"/>
  <c r="F227" i="16"/>
  <c r="H223" i="16"/>
  <c r="F228" i="16"/>
  <c r="F229" i="16"/>
  <c r="H222" i="16"/>
  <c r="AG35" i="17"/>
  <c r="AH35" i="17" s="1"/>
  <c r="X35" i="17" s="1"/>
  <c r="U103" i="11"/>
  <c r="AG39" i="17"/>
  <c r="AH39" i="17" s="1"/>
  <c r="X39" i="17" s="1"/>
  <c r="AF97" i="11"/>
  <c r="O98" i="11" s="1"/>
  <c r="AG36" i="17"/>
  <c r="AD130" i="11"/>
  <c r="AG38" i="17"/>
  <c r="AH38" i="17" s="1"/>
  <c r="X38" i="17" s="1"/>
  <c r="AG37" i="17"/>
  <c r="AH37" i="17" s="1"/>
  <c r="X37" i="17" s="1"/>
  <c r="U148" i="16"/>
  <c r="U143" i="16"/>
  <c r="U181" i="13"/>
  <c r="U176" i="13"/>
  <c r="O161" i="16"/>
  <c r="S131" i="16"/>
  <c r="O155" i="16"/>
  <c r="O157" i="16"/>
  <c r="S164" i="13"/>
  <c r="O194" i="13"/>
  <c r="O188" i="13"/>
  <c r="O190" i="13"/>
  <c r="E56" i="13"/>
  <c r="L55" i="13"/>
  <c r="E55" i="16"/>
  <c r="F109" i="16"/>
  <c r="K50" i="16"/>
  <c r="P55" i="16" s="1"/>
  <c r="O28" i="16"/>
  <c r="O36" i="16"/>
  <c r="O16" i="16"/>
  <c r="O11" i="16"/>
  <c r="H196" i="11" a="1"/>
  <c r="E233" i="16" a="1"/>
  <c r="Y37" i="17"/>
  <c r="V164" i="13" a="1"/>
  <c r="Y35" i="17"/>
  <c r="M35" i="17"/>
  <c r="Y38" i="17"/>
  <c r="M36" i="17"/>
  <c r="M39" i="17"/>
  <c r="M37" i="17"/>
  <c r="U161" i="16" a="1"/>
  <c r="U194" i="13" a="1"/>
  <c r="M38" i="17"/>
  <c r="N38" i="17" s="1"/>
  <c r="Y39" i="17"/>
  <c r="V131" i="16" a="1"/>
  <c r="U98" i="11" a="1"/>
  <c r="G69" i="17" a="1"/>
  <c r="F201" i="11" a="1"/>
  <c r="F202" i="11" a="1"/>
  <c r="F200" i="11" a="1"/>
  <c r="F200" i="11" l="1"/>
  <c r="F202" i="11"/>
  <c r="F201" i="11"/>
  <c r="AD131" i="11"/>
  <c r="AD132" i="11" s="1"/>
  <c r="I130" i="11" s="1"/>
  <c r="H219" i="11"/>
  <c r="G69" i="17"/>
  <c r="AJ35" i="17"/>
  <c r="AK35" i="17" s="1"/>
  <c r="H196" i="11"/>
  <c r="E233" i="16"/>
  <c r="AJ38" i="17"/>
  <c r="AK38" i="17" s="1"/>
  <c r="AN38" i="17" s="1"/>
  <c r="AC38" i="17" s="1"/>
  <c r="Z38" i="17"/>
  <c r="AA38" i="17" s="1"/>
  <c r="U98" i="11"/>
  <c r="Z35" i="17"/>
  <c r="AJ37" i="17"/>
  <c r="AK37" i="17" s="1"/>
  <c r="AN37" i="17" s="1"/>
  <c r="AC37" i="17" s="1"/>
  <c r="O112" i="11"/>
  <c r="O110" i="11"/>
  <c r="O116" i="11"/>
  <c r="AJ39" i="17"/>
  <c r="AK39" i="17" s="1"/>
  <c r="AN39" i="17" s="1"/>
  <c r="AC39" i="17" s="1"/>
  <c r="Z37" i="17"/>
  <c r="AA37" i="17" s="1"/>
  <c r="S86" i="11"/>
  <c r="AJ36" i="17"/>
  <c r="AK36" i="17" s="1"/>
  <c r="AN36" i="17" s="1"/>
  <c r="AC36" i="17" s="1"/>
  <c r="AH36" i="17"/>
  <c r="X36" i="17" s="1"/>
  <c r="Z39" i="17"/>
  <c r="AA39" i="17" s="1"/>
  <c r="AD141" i="11"/>
  <c r="V131" i="16"/>
  <c r="U161" i="16"/>
  <c r="U194" i="13"/>
  <c r="V164" i="13"/>
  <c r="P50" i="16"/>
  <c r="L55" i="16" s="1"/>
  <c r="X55" i="16" s="1"/>
  <c r="F164" i="13"/>
  <c r="Q209" i="13" s="1"/>
  <c r="I208" i="13" s="1"/>
  <c r="J166" i="13"/>
  <c r="F131" i="16"/>
  <c r="J133" i="16"/>
  <c r="X55" i="13"/>
  <c r="V70" i="13"/>
  <c r="V72" i="13" s="1"/>
  <c r="S181" i="16"/>
  <c r="O84" i="10"/>
  <c r="O83" i="10"/>
  <c r="AD55" i="10"/>
  <c r="AD53" i="10"/>
  <c r="AD49" i="10"/>
  <c r="AD47" i="10"/>
  <c r="AD46" i="10"/>
  <c r="AD34" i="10"/>
  <c r="AD29" i="10"/>
  <c r="AD24" i="10"/>
  <c r="O88" i="10"/>
  <c r="AD89" i="10" s="1"/>
  <c r="J18" i="10"/>
  <c r="M38" i="10" s="1"/>
  <c r="J15" i="10"/>
  <c r="AD72" i="10" s="1"/>
  <c r="AD73" i="10" s="1"/>
  <c r="O73" i="10" s="1"/>
  <c r="AD10" i="10"/>
  <c r="AD9" i="10"/>
  <c r="E7" i="10"/>
  <c r="D132" i="10" s="1"/>
  <c r="I132" i="11" a="1"/>
  <c r="E220" i="11" a="1"/>
  <c r="H140" i="10" a="1"/>
  <c r="E226" i="16" a="1"/>
  <c r="N37" i="17"/>
  <c r="AD8" i="10" a="1"/>
  <c r="AD56" i="10" a="1"/>
  <c r="V86" i="11" a="1"/>
  <c r="AD30" i="10" a="1"/>
  <c r="AD54" i="10" a="1"/>
  <c r="N39" i="10" a="1"/>
  <c r="N39" i="17"/>
  <c r="I210" i="13" a="1"/>
  <c r="AD35" i="10" a="1"/>
  <c r="N36" i="17"/>
  <c r="J16" i="10" a="1"/>
  <c r="N35" i="17"/>
  <c r="N104" i="10" a="1"/>
  <c r="R104" i="10" a="1"/>
  <c r="X72" i="13"/>
  <c r="Y36" i="17"/>
  <c r="U116" i="11" a="1"/>
  <c r="AD11" i="10" a="1"/>
  <c r="AD25" i="10" a="1"/>
  <c r="U73" i="10" a="1"/>
  <c r="AE46" i="10" a="1"/>
  <c r="J17" i="10" a="1"/>
  <c r="AE47" i="10" a="1"/>
  <c r="E220" i="11" l="1"/>
  <c r="I132" i="11"/>
  <c r="AD142" i="11"/>
  <c r="AD143" i="11" s="1"/>
  <c r="I142" i="11" s="1"/>
  <c r="H225" i="11"/>
  <c r="AN35" i="17"/>
  <c r="AO35" i="17" s="1"/>
  <c r="AA35" i="17"/>
  <c r="G93" i="17" s="1"/>
  <c r="G92" i="17"/>
  <c r="H140" i="10"/>
  <c r="E226" i="16"/>
  <c r="Q176" i="16"/>
  <c r="V86" i="11"/>
  <c r="U116" i="11"/>
  <c r="Z36" i="17"/>
  <c r="AA36" i="17" s="1"/>
  <c r="T152" i="11"/>
  <c r="J88" i="11"/>
  <c r="F86" i="11"/>
  <c r="B88" i="13"/>
  <c r="I210" i="13"/>
  <c r="V70" i="16"/>
  <c r="V72" i="16" s="1"/>
  <c r="V74" i="16" s="1"/>
  <c r="V76" i="16" s="1"/>
  <c r="E56" i="16"/>
  <c r="V74" i="13"/>
  <c r="V76" i="13" s="1"/>
  <c r="E117" i="13"/>
  <c r="AH86" i="13"/>
  <c r="AH84" i="13"/>
  <c r="AH87" i="13"/>
  <c r="AH83" i="13"/>
  <c r="AH85" i="13"/>
  <c r="J17" i="10"/>
  <c r="AD85" i="10"/>
  <c r="R104" i="10"/>
  <c r="N104" i="10"/>
  <c r="U73" i="10"/>
  <c r="AD88" i="10"/>
  <c r="AE47" i="10"/>
  <c r="AD25" i="10"/>
  <c r="F24" i="10" s="1"/>
  <c r="AD56" i="10"/>
  <c r="AE46" i="10"/>
  <c r="AD11" i="10"/>
  <c r="J16" i="10"/>
  <c r="O72" i="10" s="1"/>
  <c r="N39" i="10"/>
  <c r="AD54" i="10"/>
  <c r="AD8" i="10"/>
  <c r="AD30" i="10"/>
  <c r="F29" i="10" s="1"/>
  <c r="AD35" i="10"/>
  <c r="N34" i="10" s="1"/>
  <c r="M64" i="10"/>
  <c r="J22" i="1"/>
  <c r="E189" i="1" s="1"/>
  <c r="M23" i="1"/>
  <c r="P29" i="1"/>
  <c r="AD75" i="1"/>
  <c r="AD73" i="1"/>
  <c r="AD67" i="1"/>
  <c r="AD66" i="1"/>
  <c r="AD69" i="1"/>
  <c r="AD49" i="1"/>
  <c r="AD48" i="1"/>
  <c r="AD57" i="1"/>
  <c r="AD55" i="1"/>
  <c r="AD51" i="1"/>
  <c r="AD35" i="1"/>
  <c r="E232" i="11" a="1"/>
  <c r="I144" i="11" a="1"/>
  <c r="H226" i="11" a="1"/>
  <c r="E199" i="11" a="1"/>
  <c r="E149" i="10" a="1"/>
  <c r="E150" i="10" a="1"/>
  <c r="K151" i="10" a="1"/>
  <c r="K152" i="10" a="1"/>
  <c r="H238" i="16" a="1"/>
  <c r="O24" i="10" a="1"/>
  <c r="O29" i="10" a="1"/>
  <c r="I86" i="11"/>
  <c r="U72" i="10" a="1"/>
  <c r="Q34" i="10" a="1"/>
  <c r="U79" i="10" a="1"/>
  <c r="T153" i="11" a="1"/>
  <c r="X86" i="13"/>
  <c r="X85" i="13"/>
  <c r="X87" i="13"/>
  <c r="U57" i="10" a="1"/>
  <c r="U49" i="10" a="1"/>
  <c r="X84" i="13"/>
  <c r="I117" i="13" a="1"/>
  <c r="P57" i="10" a="1"/>
  <c r="U47" i="10" a="1"/>
  <c r="P16" i="10" a="1"/>
  <c r="AE91" i="10" a="1"/>
  <c r="X83" i="13"/>
  <c r="Q39" i="10" a="1"/>
  <c r="X72" i="16"/>
  <c r="I113" i="13"/>
  <c r="AD36" i="1" a="1"/>
  <c r="AD41" i="1" a="1"/>
  <c r="AD56" i="1" a="1"/>
  <c r="AE66" i="1" a="1"/>
  <c r="S25" i="1" a="1"/>
  <c r="AD74" i="1" a="1"/>
  <c r="O123" i="1" a="1"/>
  <c r="S29" i="1" a="1"/>
  <c r="AE67" i="1" a="1"/>
  <c r="AD58" i="1" a="1"/>
  <c r="AD76" i="1" a="1"/>
  <c r="R123" i="1" a="1"/>
  <c r="AE48" i="1" a="1"/>
  <c r="AE49" i="1" a="1"/>
  <c r="E199" i="11" l="1"/>
  <c r="H226" i="11"/>
  <c r="I144" i="11"/>
  <c r="E232" i="11"/>
  <c r="AC35" i="17"/>
  <c r="K152" i="10"/>
  <c r="K151" i="10"/>
  <c r="E150" i="10"/>
  <c r="E149" i="10"/>
  <c r="H238" i="16"/>
  <c r="I175" i="16"/>
  <c r="T153" i="11"/>
  <c r="I134" i="11"/>
  <c r="M159" i="11"/>
  <c r="E84" i="16"/>
  <c r="I117" i="13"/>
  <c r="AC96" i="13"/>
  <c r="AC92" i="13"/>
  <c r="AC95" i="13"/>
  <c r="AC93" i="13"/>
  <c r="I151" i="13"/>
  <c r="AD154" i="13" s="1"/>
  <c r="AD155" i="13" s="1"/>
  <c r="F151" i="13" s="1"/>
  <c r="I159" i="13"/>
  <c r="AD161" i="13" s="1"/>
  <c r="AC94" i="13"/>
  <c r="E11" i="10"/>
  <c r="I47" i="10" s="1"/>
  <c r="AD50" i="10" s="1"/>
  <c r="O29" i="10"/>
  <c r="O24" i="10"/>
  <c r="U72" i="10"/>
  <c r="U79" i="10"/>
  <c r="AE91" i="10"/>
  <c r="AD92" i="10" s="1"/>
  <c r="O89" i="10" s="1"/>
  <c r="AD71" i="10"/>
  <c r="L103" i="10"/>
  <c r="V104" i="10"/>
  <c r="Q34" i="10"/>
  <c r="Q39" i="10"/>
  <c r="P16" i="10"/>
  <c r="U47" i="10"/>
  <c r="U57" i="10"/>
  <c r="P57" i="10"/>
  <c r="U49" i="10"/>
  <c r="F33" i="10"/>
  <c r="F38" i="10"/>
  <c r="AD48" i="10"/>
  <c r="R123" i="1"/>
  <c r="O123" i="1"/>
  <c r="S29" i="1"/>
  <c r="S25" i="1"/>
  <c r="AE66" i="1"/>
  <c r="AE67" i="1"/>
  <c r="AE49" i="1"/>
  <c r="AE48" i="1"/>
  <c r="AD74" i="1"/>
  <c r="AD76" i="1"/>
  <c r="AD58" i="1"/>
  <c r="AD56" i="1"/>
  <c r="AD41" i="1"/>
  <c r="F40" i="1" s="1"/>
  <c r="AD36" i="1"/>
  <c r="F35" i="1" s="1"/>
  <c r="H229" i="1" s="1"/>
  <c r="G104" i="17" a="1"/>
  <c r="E157" i="10" a="1"/>
  <c r="E154" i="10" a="1"/>
  <c r="J212" i="1" a="1"/>
  <c r="H212" i="1" a="1"/>
  <c r="J211" i="1" a="1"/>
  <c r="E239" i="16" a="1"/>
  <c r="I177" i="16" a="1"/>
  <c r="I84" i="16" a="1"/>
  <c r="J33" i="10" a="1"/>
  <c r="W104" i="10" a="1"/>
  <c r="F155" i="13" a="1"/>
  <c r="G96" i="13"/>
  <c r="E12" i="10" a="1"/>
  <c r="L104" i="10" a="1"/>
  <c r="I80" i="16"/>
  <c r="E205" i="1" a="1"/>
  <c r="U89" i="10" a="1"/>
  <c r="G94" i="13"/>
  <c r="E206" i="1" a="1"/>
  <c r="G95" i="13"/>
  <c r="I136" i="11" a="1"/>
  <c r="G7" i="10" a="1"/>
  <c r="G92" i="13"/>
  <c r="G93" i="13"/>
  <c r="U69" i="1" a="1"/>
  <c r="P77" i="1" a="1"/>
  <c r="U67" i="1" a="1"/>
  <c r="P59" i="1" a="1"/>
  <c r="O35" i="1" a="1"/>
  <c r="U59" i="1" a="1"/>
  <c r="U49" i="1" a="1"/>
  <c r="U77" i="1" a="1"/>
  <c r="U51" i="1" a="1"/>
  <c r="O40" i="1" a="1"/>
  <c r="G104" i="17" l="1"/>
  <c r="E157" i="10"/>
  <c r="E154" i="10"/>
  <c r="J212" i="1"/>
  <c r="H212" i="1"/>
  <c r="J211" i="1"/>
  <c r="E239" i="16"/>
  <c r="I177" i="16"/>
  <c r="I212" i="16"/>
  <c r="E206" i="1"/>
  <c r="E205" i="1"/>
  <c r="E159" i="1"/>
  <c r="E158" i="1"/>
  <c r="I136" i="11"/>
  <c r="R163" i="11"/>
  <c r="AD169" i="11" s="1"/>
  <c r="AD159" i="11"/>
  <c r="T135" i="11"/>
  <c r="I84" i="16"/>
  <c r="I118" i="16"/>
  <c r="AD121" i="16" s="1"/>
  <c r="AD122" i="16" s="1"/>
  <c r="F118" i="16" s="1"/>
  <c r="I126" i="16"/>
  <c r="F155" i="13"/>
  <c r="F146" i="13"/>
  <c r="O40" i="1"/>
  <c r="O35" i="1"/>
  <c r="K150" i="1"/>
  <c r="Q142" i="1"/>
  <c r="Q130" i="1"/>
  <c r="I55" i="10"/>
  <c r="AD57" i="10" s="1"/>
  <c r="F55" i="10" s="1"/>
  <c r="E12" i="10"/>
  <c r="G7" i="10"/>
  <c r="I132" i="10" s="1"/>
  <c r="J33" i="10"/>
  <c r="P110" i="10"/>
  <c r="H109" i="10" s="1"/>
  <c r="W104" i="10"/>
  <c r="U89" i="10"/>
  <c r="L104" i="10"/>
  <c r="O96" i="10"/>
  <c r="AD51" i="10"/>
  <c r="F47" i="10" s="1"/>
  <c r="V123" i="1"/>
  <c r="U69" i="1"/>
  <c r="U67" i="1"/>
  <c r="U77" i="1"/>
  <c r="U59" i="1"/>
  <c r="P59" i="1"/>
  <c r="P77" i="1"/>
  <c r="AD68" i="1"/>
  <c r="AD50" i="1"/>
  <c r="U49" i="1"/>
  <c r="U51" i="1"/>
  <c r="E221" i="11" a="1"/>
  <c r="I159" i="10" a="1"/>
  <c r="H111" i="10" a="1"/>
  <c r="K146" i="13" a="1"/>
  <c r="F122" i="16" a="1"/>
  <c r="F51" i="10" a="1"/>
  <c r="F57" i="10" a="1"/>
  <c r="W123" i="1" a="1"/>
  <c r="J15" i="1" a="1"/>
  <c r="E221" i="11" l="1"/>
  <c r="I159" i="10"/>
  <c r="AD122" i="10"/>
  <c r="AD128" i="16"/>
  <c r="F126" i="16" s="1"/>
  <c r="F113" i="16" s="1"/>
  <c r="V135" i="11"/>
  <c r="Y135" i="11"/>
  <c r="E223" i="11" s="1"/>
  <c r="F122" i="16"/>
  <c r="K146" i="13"/>
  <c r="Q210" i="13"/>
  <c r="S215" i="13"/>
  <c r="F57" i="10"/>
  <c r="H111" i="10"/>
  <c r="F51" i="10"/>
  <c r="F42" i="10"/>
  <c r="W123" i="1"/>
  <c r="J15" i="1"/>
  <c r="J17" i="1" s="1"/>
  <c r="E153" i="10" a="1"/>
  <c r="F128" i="16" a="1"/>
  <c r="E236" i="16" a="1"/>
  <c r="K113" i="16" a="1"/>
  <c r="P15" i="1" a="1"/>
  <c r="I159" i="11" l="1"/>
  <c r="AD158" i="11" s="1"/>
  <c r="AD161" i="11" s="1"/>
  <c r="S159" i="11" s="1"/>
  <c r="E222" i="11"/>
  <c r="AD60" i="10"/>
  <c r="AD61" i="10" s="1"/>
  <c r="I60" i="10" s="1"/>
  <c r="L42" i="10"/>
  <c r="E153" i="10"/>
  <c r="H245" i="16"/>
  <c r="H244" i="16"/>
  <c r="E236" i="16"/>
  <c r="F128" i="16"/>
  <c r="AD162" i="11"/>
  <c r="AD163" i="11" s="1"/>
  <c r="S160" i="11" s="1"/>
  <c r="K113" i="16"/>
  <c r="Q177" i="16"/>
  <c r="S182" i="16"/>
  <c r="AD217" i="13"/>
  <c r="AC214" i="13"/>
  <c r="AC215" i="13"/>
  <c r="U215" i="13" s="1"/>
  <c r="AD216" i="13"/>
  <c r="AD218" i="13"/>
  <c r="P15" i="1"/>
  <c r="AD90" i="1"/>
  <c r="AD91" i="1" s="1"/>
  <c r="O90" i="1" s="1"/>
  <c r="AD10" i="1"/>
  <c r="AD9" i="1"/>
  <c r="I61" i="10" a="1"/>
  <c r="U159" i="11" a="1"/>
  <c r="P17" i="10" a="1"/>
  <c r="U160" i="11" a="1"/>
  <c r="AD8" i="1" a="1"/>
  <c r="AD11" i="1" a="1"/>
  <c r="U90" i="1" a="1"/>
  <c r="J19" i="1" a="1"/>
  <c r="N60" i="10" l="1"/>
  <c r="I61" i="10"/>
  <c r="F59" i="10"/>
  <c r="U160" i="11"/>
  <c r="U159" i="11"/>
  <c r="AD171" i="11"/>
  <c r="AG177" i="11"/>
  <c r="AD170" i="11"/>
  <c r="AD172" i="11" s="1"/>
  <c r="AD184" i="16"/>
  <c r="AD185" i="16"/>
  <c r="AD183" i="16"/>
  <c r="AC182" i="16"/>
  <c r="U182" i="16" s="1"/>
  <c r="AC181" i="16"/>
  <c r="AC219" i="13"/>
  <c r="M219" i="13" s="1"/>
  <c r="U214" i="13"/>
  <c r="P17" i="10"/>
  <c r="O71" i="10"/>
  <c r="O75" i="10" s="1"/>
  <c r="U90" i="1"/>
  <c r="J19" i="1"/>
  <c r="AD11" i="1"/>
  <c r="AD8" i="1"/>
  <c r="D127" i="10"/>
  <c r="D126" i="10"/>
  <c r="E155" i="10" a="1"/>
  <c r="E139" i="10" a="1"/>
  <c r="P219" i="13"/>
  <c r="U71" i="10" a="1"/>
  <c r="M20" i="1"/>
  <c r="P19" i="1" a="1"/>
  <c r="E188" i="1" a="1"/>
  <c r="E155" i="10" l="1"/>
  <c r="AD65" i="10"/>
  <c r="E139" i="10"/>
  <c r="E188" i="1"/>
  <c r="AD173" i="11"/>
  <c r="AG173" i="11" s="1"/>
  <c r="U181" i="16"/>
  <c r="AC186" i="16"/>
  <c r="M186" i="16" s="1"/>
  <c r="E226" i="13"/>
  <c r="S226" i="13" s="1"/>
  <c r="U71" i="10"/>
  <c r="J103" i="10"/>
  <c r="O106" i="10" s="1"/>
  <c r="E11" i="1"/>
  <c r="P19" i="1"/>
  <c r="O101" i="1"/>
  <c r="O100" i="1"/>
  <c r="O105" i="1"/>
  <c r="AD106" i="1" s="1"/>
  <c r="AD107" i="1" s="1"/>
  <c r="J21" i="1"/>
  <c r="E246" i="16" a="1"/>
  <c r="U226" i="13" a="1"/>
  <c r="U106" i="10" a="1"/>
  <c r="P186" i="16"/>
  <c r="U75" i="10" a="1"/>
  <c r="E12" i="1" a="1"/>
  <c r="J20" i="1"/>
  <c r="I7" i="1" a="1"/>
  <c r="AD66" i="10" l="1"/>
  <c r="I65" i="10" s="1"/>
  <c r="N65" i="10"/>
  <c r="E246" i="16"/>
  <c r="AD105" i="1"/>
  <c r="AD108" i="1" s="1"/>
  <c r="D185" i="1"/>
  <c r="AG174" i="11"/>
  <c r="S169" i="11"/>
  <c r="AG179" i="11"/>
  <c r="E193" i="16"/>
  <c r="S193" i="16" s="1"/>
  <c r="U226" i="13"/>
  <c r="AG238" i="13"/>
  <c r="S235" i="13" s="1"/>
  <c r="AG239" i="13"/>
  <c r="S236" i="13" s="1"/>
  <c r="E12" i="1"/>
  <c r="R75" i="10"/>
  <c r="AD79" i="10" s="1"/>
  <c r="O80" i="10" s="1"/>
  <c r="AD83" i="10"/>
  <c r="AD84" i="10" s="1"/>
  <c r="U75" i="10"/>
  <c r="U106" i="10"/>
  <c r="J100" i="10"/>
  <c r="AD102" i="1"/>
  <c r="M27" i="1"/>
  <c r="I7" i="1"/>
  <c r="I184" i="1" s="1"/>
  <c r="M81" i="1"/>
  <c r="I66" i="10" a="1"/>
  <c r="U169" i="11" a="1"/>
  <c r="U236" i="13" a="1"/>
  <c r="U193" i="16" a="1"/>
  <c r="U235" i="13" a="1"/>
  <c r="U80" i="10" a="1"/>
  <c r="AE108" i="1" a="1"/>
  <c r="J27" i="1" a="1"/>
  <c r="J23" i="1" a="1"/>
  <c r="I66" i="10" l="1"/>
  <c r="F64" i="10"/>
  <c r="AE108" i="1"/>
  <c r="AD109" i="1" s="1"/>
  <c r="U169" i="11"/>
  <c r="S170" i="11"/>
  <c r="AG180" i="11"/>
  <c r="U193" i="16"/>
  <c r="AG206" i="16"/>
  <c r="S203" i="16" s="1"/>
  <c r="AG205" i="16"/>
  <c r="S202" i="16" s="1"/>
  <c r="U236" i="13"/>
  <c r="U235" i="13"/>
  <c r="AD86" i="10"/>
  <c r="O85" i="10" s="1"/>
  <c r="U80" i="10"/>
  <c r="O106" i="1"/>
  <c r="J27" i="1"/>
  <c r="J23" i="1"/>
  <c r="E156" i="10" a="1"/>
  <c r="F145" i="10" a="1"/>
  <c r="F144" i="10" a="1"/>
  <c r="F143" i="10" a="1"/>
  <c r="H141" i="10" a="1"/>
  <c r="U203" i="16" a="1"/>
  <c r="U85" i="10" a="1"/>
  <c r="H197" i="1" a="1"/>
  <c r="U170" i="11" a="1"/>
  <c r="U202" i="16" a="1"/>
  <c r="P26" i="1" a="1"/>
  <c r="P30" i="1" a="1"/>
  <c r="E156" i="10" l="1"/>
  <c r="P114" i="10"/>
  <c r="P122" i="10"/>
  <c r="H141" i="10"/>
  <c r="F143" i="10"/>
  <c r="F144" i="10"/>
  <c r="F145" i="10"/>
  <c r="H197" i="1"/>
  <c r="O113" i="1"/>
  <c r="U170" i="11"/>
  <c r="V68" i="10"/>
  <c r="O98" i="10"/>
  <c r="F68" i="10" s="1"/>
  <c r="U202" i="16"/>
  <c r="U203" i="16"/>
  <c r="U85" i="10"/>
  <c r="O94" i="10"/>
  <c r="O92" i="10"/>
  <c r="P26" i="1"/>
  <c r="P30" i="1"/>
  <c r="E142" i="10" a="1"/>
  <c r="U98" i="10" a="1"/>
  <c r="J68" i="10" a="1"/>
  <c r="Y68" i="10" a="1"/>
  <c r="E142" i="10" l="1"/>
  <c r="J70" i="10"/>
  <c r="U98" i="10"/>
  <c r="Y68" i="10"/>
  <c r="J68" i="10"/>
  <c r="P118" i="10"/>
  <c r="I67" i="1" l="1"/>
  <c r="AD70" i="1" s="1"/>
  <c r="AF71" i="1" s="1"/>
  <c r="AD71" i="1" s="1"/>
  <c r="I75" i="1"/>
  <c r="AF77" i="1" l="1"/>
  <c r="AD77" i="1" s="1"/>
  <c r="T110" i="10"/>
  <c r="O89" i="1"/>
  <c r="L150" i="1"/>
  <c r="O104" i="1"/>
  <c r="H196" i="1" a="1"/>
  <c r="U89" i="1" a="1"/>
  <c r="H196" i="1" l="1"/>
  <c r="F75" i="1"/>
  <c r="F67" i="1"/>
  <c r="U89" i="1"/>
  <c r="AD89" i="1"/>
  <c r="O96" i="1"/>
  <c r="L122" i="1"/>
  <c r="U142" i="1"/>
  <c r="U130" i="1"/>
  <c r="U96" i="1" a="1"/>
  <c r="F77" i="1" a="1"/>
  <c r="L123" i="1" a="1"/>
  <c r="J214" i="1" l="1"/>
  <c r="J215" i="1"/>
  <c r="F62" i="1"/>
  <c r="F77" i="1"/>
  <c r="L123" i="1"/>
  <c r="U96" i="1"/>
  <c r="V136" i="1" a="1"/>
  <c r="E209" i="1" a="1"/>
  <c r="U106" i="1" a="1"/>
  <c r="V136" i="1" l="1"/>
  <c r="E209" i="1"/>
  <c r="AD82" i="1"/>
  <c r="AD83" i="1" s="1"/>
  <c r="I82" i="1" s="1"/>
  <c r="U106" i="1"/>
  <c r="P222" i="1" a="1"/>
  <c r="P17" i="1" a="1"/>
  <c r="X136" i="1"/>
  <c r="P222" i="1" l="1"/>
  <c r="N82" i="1"/>
  <c r="P17" i="1"/>
  <c r="I49" i="1"/>
  <c r="AD52" i="1" s="1"/>
  <c r="AD53" i="1" s="1"/>
  <c r="F49" i="1" s="1"/>
  <c r="I57" i="1"/>
  <c r="F53" i="1" a="1"/>
  <c r="AD59" i="1" l="1"/>
  <c r="F53" i="1"/>
  <c r="F57" i="1" l="1"/>
  <c r="F44" i="1" s="1"/>
  <c r="E213" i="1" a="1"/>
  <c r="K44" i="1" a="1"/>
  <c r="F59" i="1" a="1"/>
  <c r="E213" i="1" l="1"/>
  <c r="V135" i="1"/>
  <c r="K44" i="1"/>
  <c r="Q141" i="1"/>
  <c r="Q129" i="1"/>
  <c r="F59" i="1"/>
  <c r="P221" i="1" a="1"/>
  <c r="X135" i="1"/>
  <c r="P221" i="1" l="1"/>
  <c r="U129" i="1"/>
  <c r="H214" i="1" s="1"/>
  <c r="U141" i="1"/>
  <c r="H215" i="1" s="1"/>
  <c r="L62" i="1" l="1"/>
  <c r="F71" i="1"/>
  <c r="T114" i="10" l="1"/>
  <c r="H113" i="10" s="1"/>
  <c r="T122" i="10"/>
  <c r="AD123" i="10" s="1"/>
  <c r="I160" i="10" a="1"/>
  <c r="H115" i="10" a="1"/>
  <c r="I160" i="10" l="1"/>
  <c r="H115" i="10"/>
  <c r="H117" i="10"/>
  <c r="E163" i="10" a="1"/>
  <c r="H119" i="10" a="1"/>
  <c r="E163" i="10" l="1"/>
  <c r="H119" i="10"/>
  <c r="F81" i="1"/>
  <c r="E210" i="1" a="1"/>
  <c r="E210" i="1" l="1"/>
  <c r="H230" i="1"/>
  <c r="Q131" i="1"/>
  <c r="Q143" i="1"/>
  <c r="L151" i="1" s="1"/>
  <c r="T118" i="10" l="1"/>
  <c r="U143" i="1"/>
  <c r="K151" i="1"/>
  <c r="L152" i="1" s="1"/>
  <c r="U131" i="1"/>
  <c r="AD129" i="1" l="1"/>
  <c r="H218" i="1" s="1"/>
  <c r="H216" i="1"/>
  <c r="P123" i="10"/>
  <c r="T123" i="10" s="1"/>
  <c r="AD124" i="10" s="1"/>
  <c r="AD125" i="10" s="1"/>
  <c r="AF125" i="10" s="1"/>
  <c r="H121" i="10" s="1"/>
  <c r="E164" i="10" a="1"/>
  <c r="P20" i="1" a="1"/>
  <c r="E164" i="10" l="1"/>
  <c r="AD130" i="1"/>
  <c r="AD131" i="1"/>
  <c r="I129" i="1" s="1"/>
  <c r="AD140" i="1"/>
  <c r="P20" i="1"/>
  <c r="O88" i="1"/>
  <c r="E219" i="1" a="1"/>
  <c r="H123" i="10" a="1"/>
  <c r="I131" i="1" a="1"/>
  <c r="U88" i="1" a="1"/>
  <c r="E219" i="1" l="1"/>
  <c r="AD141" i="1"/>
  <c r="AD142" i="1" s="1"/>
  <c r="I141" i="1" s="1"/>
  <c r="T151" i="1" s="1"/>
  <c r="H224" i="1"/>
  <c r="I131" i="1"/>
  <c r="H123" i="10"/>
  <c r="U88" i="1"/>
  <c r="J122" i="1"/>
  <c r="O125" i="1" s="1"/>
  <c r="J117" i="1" s="1"/>
  <c r="M85" i="1"/>
  <c r="O92" i="1"/>
  <c r="I143" i="1" a="1"/>
  <c r="H225" i="1" a="1"/>
  <c r="E231" i="1" a="1"/>
  <c r="U125" i="1" a="1"/>
  <c r="T152" i="1" a="1"/>
  <c r="U92" i="1" a="1"/>
  <c r="E192" i="1" a="1"/>
  <c r="E231" i="1" l="1"/>
  <c r="H225" i="1"/>
  <c r="I143" i="1"/>
  <c r="M158" i="1"/>
  <c r="R162" i="1" s="1"/>
  <c r="AD168" i="1" s="1"/>
  <c r="E192" i="1"/>
  <c r="T152" i="1"/>
  <c r="U125" i="1"/>
  <c r="U92" i="1"/>
  <c r="R92" i="1"/>
  <c r="AD96" i="1" s="1"/>
  <c r="O97" i="1" s="1"/>
  <c r="AD100" i="1"/>
  <c r="AD101" i="1" s="1"/>
  <c r="AD103" i="1" s="1"/>
  <c r="H195" i="1" a="1"/>
  <c r="U97" i="1" a="1"/>
  <c r="AD158" i="1" l="1"/>
  <c r="H195" i="1"/>
  <c r="U97" i="1"/>
  <c r="O102" i="1" l="1"/>
  <c r="I83" i="1"/>
  <c r="F201" i="1" a="1"/>
  <c r="F200" i="1" a="1"/>
  <c r="F199" i="1" a="1"/>
  <c r="U102" i="1" a="1"/>
  <c r="F199" i="1" l="1"/>
  <c r="F200" i="1"/>
  <c r="F201" i="1"/>
  <c r="U102" i="1"/>
  <c r="O111" i="1"/>
  <c r="O115" i="1"/>
  <c r="F85" i="1" s="1"/>
  <c r="O109" i="1"/>
  <c r="S85" i="1"/>
  <c r="E220" i="1" a="1"/>
  <c r="E198" i="1" a="1"/>
  <c r="U115" i="1" a="1"/>
  <c r="V85" i="1" a="1"/>
  <c r="E220" i="1" l="1"/>
  <c r="E198" i="1"/>
  <c r="I133" i="1"/>
  <c r="U115" i="1"/>
  <c r="V85" i="1"/>
  <c r="J87" i="1"/>
  <c r="I135" i="1" a="1"/>
  <c r="I135" i="1" l="1"/>
  <c r="T134" i="1"/>
  <c r="X134" i="1" s="1"/>
  <c r="E222" i="1" s="1"/>
  <c r="V134" i="1" l="1"/>
  <c r="I158" i="1" l="1"/>
  <c r="AD157" i="1" s="1"/>
  <c r="AD160" i="1" s="1"/>
  <c r="E221" i="1"/>
  <c r="S158" i="1" l="1"/>
  <c r="AD161" i="1"/>
  <c r="AD162" i="1" s="1"/>
  <c r="S159" i="1" s="1"/>
  <c r="AD170" i="1" s="1"/>
  <c r="U159" i="1" a="1"/>
  <c r="U158" i="1" a="1"/>
  <c r="AG176" i="1" l="1"/>
  <c r="AD169" i="1"/>
  <c r="AD171" i="1" s="1"/>
  <c r="U159" i="1"/>
  <c r="U158" i="1"/>
  <c r="AD172" i="1" l="1"/>
  <c r="AG172" i="1" s="1"/>
  <c r="S168" i="1" l="1"/>
  <c r="AG178" i="1"/>
  <c r="AG173" i="1"/>
  <c r="U168" i="1" a="1"/>
  <c r="U168" i="1" l="1"/>
  <c r="S169" i="1"/>
  <c r="AG179" i="1"/>
  <c r="U169" i="1" a="1"/>
  <c r="U169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<sst xmlns="http://schemas.openxmlformats.org/spreadsheetml/2006/main" count="2079" uniqueCount="583">
  <si>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</si>
  <si>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</si>
  <si>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</si>
  <si>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</si>
  <si>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</si>
  <si>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</si>
  <si>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</si>
  <si>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</si>
  <si>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</si>
  <si>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</si>
  <si>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</si>
  <si>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</si>
  <si>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</si>
  <si>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</si>
  <si>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</si>
  <si>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</si>
  <si>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</si>
  <si>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</si>
  <si>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</si>
  <si>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</si>
  <si>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</si>
  <si>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</si>
  <si>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</si>
  <si>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</si>
  <si>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</si>
  <si>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</si>
  <si>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</si>
  <si>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</si>
  <si>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</si>
  <si>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</si>
  <si>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</si>
  <si>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</si>
  <si>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</si>
  <si>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</si>
  <si>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</si>
  <si>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</si>
  <si>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</si>
  <si>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</si>
  <si>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</si>
  <si>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</si>
  <si>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</si>
  <si>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</si>
  <si>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</si>
  <si>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</si>
  <si>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</si>
  <si>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</si>
  <si>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</si>
  <si>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</si>
  <si>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</si>
  <si>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</si>
  <si>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</si>
  <si>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</si>
  <si>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</si>
  <si>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</si>
  <si>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</si>
  <si>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</si>
  <si>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</si>
  <si>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</si>
  <si>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</si>
  <si>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</si>
  <si>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</si>
  <si>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</si>
  <si>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</si>
  <si>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</si>
  <si>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</si>
  <si>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</si>
  <si>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</si>
  <si>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</si>
  <si>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</si>
  <si>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</si>
  <si>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</si>
  <si>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</si>
  <si>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</si>
  <si>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</si>
  <si>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</si>
  <si>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</si>
  <si>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</si>
  <si>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</si>
  <si>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</si>
  <si>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</si>
  <si>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</si>
  <si>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</si>
  <si>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</si>
  <si>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</si>
  <si>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</si>
  <si>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</si>
  <si>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</si>
  <si>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</si>
  <si>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</si>
  <si>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</si>
  <si>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</si>
  <si>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</si>
  <si>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</si>
  <si>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</si>
  <si>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</si>
  <si>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</si>
  <si>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</si>
  <si>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</si>
  <si>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</si>
  <si>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</si>
  <si>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</si>
  <si>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</si>
  <si>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</si>
  <si>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</si>
  <si>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</si>
  <si>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</si>
  <si>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</si>
  <si>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</si>
  <si>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</si>
  <si>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</si>
  <si>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</si>
  <si>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</si>
  <si>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</si>
  <si>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</si>
  <si>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</si>
  <si>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</si>
  <si>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</si>
  <si>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</si>
  <si>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</si>
  <si>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</si>
  <si>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</si>
  <si>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</si>
  <si>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</si>
  <si>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</si>
  <si>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</si>
  <si>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</si>
  <si>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</si>
  <si>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</si>
  <si>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</si>
  <si>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</si>
  <si>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</si>
  <si>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</si>
  <si>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</si>
  <si>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</si>
  <si>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</si>
  <si>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</si>
  <si>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12.24°</t>
  </si>
  <si>
    <t>176.49°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</si>
  <si>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</si>
  <si>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</si>
  <si>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</si>
  <si>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</si>
  <si>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</si>
  <si>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</si>
  <si>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</si>
  <si>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</si>
  <si>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</si>
  <si>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</si>
  <si>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</si>
  <si>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</si>
  <si>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</si>
  <si>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</si>
  <si>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</si>
  <si>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</si>
  <si>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</si>
  <si>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</si>
  <si>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</si>
  <si>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</si>
  <si>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</si>
  <si>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</si>
  <si>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</si>
  <si>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</si>
  <si>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</si>
  <si>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</si>
  <si>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</si>
  <si>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</si>
  <si>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</si>
  <si>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</si>
  <si>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</si>
  <si>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</si>
  <si>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</si>
  <si>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</si>
  <si>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</si>
  <si>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</si>
  <si>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</si>
  <si>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</si>
  <si>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</si>
  <si>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</si>
  <si>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</si>
  <si>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</si>
  <si>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</si>
  <si>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</si>
  <si>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</si>
  <si>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</si>
  <si>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</si>
  <si>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</si>
  <si>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</si>
  <si>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</si>
  <si>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</si>
  <si>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</si>
  <si>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</si>
  <si>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</si>
  <si>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</si>
  <si>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</si>
  <si>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</si>
  <si>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</si>
  <si>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</si>
  <si>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</si>
  <si>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</si>
  <si>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</si>
  <si>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</si>
  <si>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</si>
  <si>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</si>
  <si>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</si>
  <si>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</si>
  <si>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</si>
  <si>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</si>
  <si>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</si>
  <si>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</si>
  <si>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</si>
  <si>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</si>
  <si>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</si>
  <si>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</si>
  <si>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</si>
  <si>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</si>
  <si>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</si>
  <si>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</si>
  <si>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</si>
  <si>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</si>
  <si>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</si>
  <si>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</si>
  <si>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</si>
  <si>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</si>
  <si>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</si>
  <si>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</si>
  <si>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</si>
  <si>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</si>
  <si>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</si>
  <si>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</si>
  <si>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</si>
  <si>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</si>
  <si>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</si>
  <si>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</si>
  <si>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</si>
  <si>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</si>
  <si>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</si>
  <si>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</si>
  <si>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</si>
  <si>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</si>
  <si>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</si>
  <si>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</si>
  <si>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</si>
  <si>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</si>
  <si>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</si>
  <si>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</si>
  <si>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</si>
  <si>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</si>
  <si>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</si>
  <si>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</si>
  <si>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</si>
  <si>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</si>
  <si>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</si>
  <si>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</si>
  <si>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</si>
  <si>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</si>
  <si>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</si>
  <si>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</si>
  <si>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</si>
  <si>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</si>
  <si>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</si>
  <si>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</si>
  <si>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</si>
  <si>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</si>
  <si>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</si>
  <si>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</si>
  <si>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</si>
  <si>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</si>
  <si>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Heure Meridienne Greenwitch du jour</t>
  </si>
  <si>
    <t>12:03:06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</si>
  <si>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</si>
  <si>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</si>
  <si>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</si>
  <si>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</si>
  <si>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Meridienne</t>
  </si>
  <si>
    <t>Dz = 90 - Hv</t>
  </si>
  <si>
    <t>23°08,0</t>
  </si>
  <si>
    <t>Dz + dec</t>
  </si>
  <si>
    <t>dec - Dz</t>
  </si>
  <si>
    <t>Dz - dec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</si>
  <si>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</si>
  <si>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</si>
  <si>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</si>
  <si>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</si>
  <si>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Ephemeride de la meridienne a Greenwitch</t>
  </si>
  <si>
    <t>Latitude moyenne 
(depend de la vitesse - pour nous sert pas trop à la voile)</t>
  </si>
  <si>
    <t>Route fond (COG) - Cap a defaut</t>
  </si>
  <si>
    <t>Vitesse fond - Loque a defaut (Nd)</t>
  </si>
  <si>
    <t>Vitesse en longitude = Vitesse * |sin(cap)|</t>
  </si>
  <si>
    <t>Vers l'est ?</t>
  </si>
  <si>
    <t>Calculs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</si>
  <si>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</si>
  <si>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Longitude horaire estimée au moment du point (attention angle Horaire &gt; 0)</t>
  </si>
  <si>
    <t>En angle horaire</t>
  </si>
  <si>
    <t>Memo vitesse horaire du soleil</t>
  </si>
  <si>
    <t>(*)</t>
  </si>
  <si>
    <r>
      <rPr>
        <b/>
        <sz val="12"/>
        <color rgb="FFFF0000"/>
        <rFont val="Calibri"/>
        <family val="2"/>
        <scheme val="minor"/>
      </rPr>
      <t>T</t>
    </r>
    <r>
      <rPr>
        <b/>
        <sz val="11"/>
        <color rgb="FFFA7D00"/>
        <rFont val="Calibri"/>
        <family val="2"/>
        <scheme val="minor"/>
      </rPr>
      <t xml:space="preserve"> = Temps pour que le soleil passe du meridien de grenwitch a la meridienne locale</t>
    </r>
  </si>
  <si>
    <t>Heure de la merdienne locale = (Heure GreenWitch + T)</t>
  </si>
  <si>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color rgb="FFFA7D00"/>
        <rFont val="Calibri"/>
        <family val="2"/>
        <scheme val="minor"/>
      </rPr>
      <t xml:space="preserve"> = temps de nav pour "atteindre" la meridienne = (Heure meridienne - Heure point estime)</t>
    </r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</si>
  <si>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</si>
  <si>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</si>
  <si>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</si>
  <si>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</si>
  <si>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</si>
  <si>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</si>
  <si>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</si>
  <si>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</si>
  <si>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</si>
  <si>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</si>
  <si>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</si>
  <si>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</si>
  <si>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</si>
  <si>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</si>
  <si>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</si>
  <si>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</si>
  <si>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</si>
  <si>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</si>
  <si>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</si>
  <si>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</si>
  <si>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</si>
  <si>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</si>
  <si>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</si>
  <si>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</si>
  <si>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</si>
  <si>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</si>
  <si>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</si>
  <si>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</si>
  <si>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</si>
  <si>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</si>
  <si>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</si>
  <si>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</si>
  <si>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</si>
  <si>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</si>
  <si>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</si>
  <si>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</si>
  <si>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</si>
  <si>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</si>
  <si>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</si>
  <si>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>12:50</t>
  </si>
  <si>
    <t xml:space="preserve">Heure Meridienne </t>
  </si>
  <si>
    <t>Prevu</t>
  </si>
  <si>
    <t>Realisation</t>
  </si>
  <si>
    <t>Est-ce realised?</t>
  </si>
  <si>
    <t>05/05/2010</t>
  </si>
  <si>
    <t>8:18:53</t>
  </si>
  <si>
    <t>0°54,5'</t>
  </si>
  <si>
    <t>17°02,4</t>
  </si>
  <si>
    <t>16°52,8</t>
  </si>
  <si>
    <t>35°40,4</t>
  </si>
  <si>
    <t>50°13,4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</si>
  <si>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</si>
  <si>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</si>
  <si>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</si>
  <si>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</si>
  <si>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</si>
  <si>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</si>
  <si>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</si>
  <si>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</si>
  <si>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0°32,6</t>
  </si>
  <si>
    <t>0°32,4</t>
  </si>
  <si>
    <t>0°32,2</t>
  </si>
  <si>
    <t>0°32</t>
  </si>
  <si>
    <t>0°31,6</t>
  </si>
  <si>
    <t>0°31,8</t>
  </si>
  <si>
    <t>Taille du soleil par Mois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</si>
  <si>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</si>
  <si>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</si>
  <si>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</si>
  <si>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</si>
  <si>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</si>
  <si>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</si>
  <si>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</si>
  <si>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</si>
  <si>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</si>
  <si>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</si>
  <si>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</si>
  <si>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</si>
  <si>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</si>
  <si>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</si>
  <si>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</si>
  <si>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Pi cible</t>
  </si>
  <si>
    <t>23°10,6</t>
  </si>
  <si>
    <t>0.2'</t>
  </si>
  <si>
    <t>180°02,0</t>
  </si>
  <si>
    <t>14,998</t>
  </si>
  <si>
    <t>Infos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</si>
  <si>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</si>
  <si>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</si>
  <si>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</si>
  <si>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</si>
  <si>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</si>
  <si>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</si>
  <si>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T</t>
  </si>
  <si>
    <t>Ha</t>
  </si>
  <si>
    <t>181°56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</si>
  <si>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</si>
  <si>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</si>
  <si>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</si>
  <si>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</si>
  <si>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</si>
  <si>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</si>
  <si>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</si>
  <si>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</si>
  <si>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</si>
  <si>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</si>
  <si>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</si>
  <si>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</si>
  <si>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</si>
  <si>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</si>
  <si>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</si>
  <si>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</si>
  <si>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</si>
  <si>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</si>
  <si>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s * s + c * c * c</t>
  </si>
  <si>
    <t xml:space="preserve"> {sin(Dec) - sin (Lat estimee) * sin(Hc)}    /  {cos(Lat estimee) * cos(Hc)}  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</si>
  <si>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</si>
  <si>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</si>
  <si>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</si>
  <si>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</si>
  <si>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</si>
  <si>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</si>
  <si>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</si>
  <si>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</si>
  <si>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</si>
  <si>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</si>
  <si>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</si>
  <si>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</si>
  <si>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</si>
  <si>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</si>
  <si>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</si>
  <si>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</si>
  <si>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30/09/2024</t>
  </si>
  <si>
    <t>5°06'</t>
  </si>
  <si>
    <t>12°51'</t>
  </si>
  <si>
    <t>+0°1</t>
  </si>
  <si>
    <t>0°01'</t>
  </si>
  <si>
    <t>Sirius</t>
  </si>
  <si>
    <t>Procyon</t>
  </si>
  <si>
    <t>Canopus</t>
  </si>
  <si>
    <t>Capella</t>
  </si>
  <si>
    <t>5:51:06</t>
  </si>
  <si>
    <t>5:55:21</t>
  </si>
  <si>
    <t>5:58:04</t>
  </si>
  <si>
    <t>6:00:50</t>
  </si>
  <si>
    <t>6:05:55</t>
  </si>
  <si>
    <t>62°21,2</t>
  </si>
  <si>
    <t>60°29,7</t>
  </si>
  <si>
    <t>31°36,1</t>
  </si>
  <si>
    <t>48°56,4</t>
  </si>
  <si>
    <t>33°30,3</t>
  </si>
  <si>
    <t>84°26,3</t>
  </si>
  <si>
    <t>99°28,8</t>
  </si>
  <si>
    <t>114°31,3</t>
  </si>
  <si>
    <t>258°26,5</t>
  </si>
  <si>
    <t>-16°44,7</t>
  </si>
  <si>
    <t>244°51,2</t>
  </si>
  <si>
    <t>5°9,8</t>
  </si>
  <si>
    <t>263°52,5</t>
  </si>
  <si>
    <t>-52°42,1</t>
  </si>
  <si>
    <t>280°22,1</t>
  </si>
  <si>
    <t>46°1,3</t>
  </si>
  <si>
    <t>327°51,2</t>
  </si>
  <si>
    <t>23°34,8</t>
  </si>
  <si>
    <t>If the heavenly body's declination is Contrary name to the Ap Latitude enter a negative sign before it.</t>
  </si>
  <si>
    <t>Dec et DR lat Oppose?</t>
  </si>
  <si>
    <t>05/8/2024</t>
  </si>
  <si>
    <t>7:08:30</t>
  </si>
  <si>
    <t>8:17</t>
  </si>
  <si>
    <t>50°24</t>
  </si>
  <si>
    <t>-0°12'</t>
  </si>
  <si>
    <t>48°52,53</t>
  </si>
  <si>
    <t>2°05,67</t>
  </si>
  <si>
    <t>283°30,1</t>
  </si>
  <si>
    <t>298°30,2</t>
  </si>
  <si>
    <t>16°48</t>
  </si>
  <si>
    <t>16°48,7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</si>
  <si>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</si>
  <si>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</si>
  <si>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</si>
  <si>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G 
(int ou vitesse)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</si>
  <si>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</si>
  <si>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</si>
  <si>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</si>
  <si>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</si>
  <si>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</si>
  <si>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</si>
  <si>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</si>
  <si>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</si>
  <si>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</si>
  <si>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</si>
  <si>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</si>
  <si>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</si>
  <si>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</si>
  <si>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</si>
  <si>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</si>
  <si>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</si>
  <si>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</si>
  <si>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</si>
  <si>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</si>
  <si>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40°00</t>
  </si>
  <si>
    <t>3°45</t>
  </si>
  <si>
    <t>Impression Livre de bord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</si>
  <si>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</si>
  <si>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</si>
  <si>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</si>
  <si>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</si>
  <si>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</si>
  <si>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</si>
  <si>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</si>
  <si>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</si>
  <si>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</si>
  <si>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</si>
  <si>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</si>
  <si>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</si>
  <si>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</si>
  <si>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</si>
  <si>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</si>
  <si>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</si>
  <si>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</si>
  <si>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</si>
  <si>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</si>
  <si>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</si>
  <si>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</si>
  <si>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</si>
  <si>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</si>
  <si>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{sin(Dec) - sin (Lat estimee) * sin(Hc)}    /  {cos(Lat estimee) * cos(Hc)}</t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</si>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</sst>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0.0000000"/>
    <numFmt numFmtId="170" formatCode="0.00000"/>
  </numFmts>
  <fonts count="82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sz val="11"/>
      <color rgb="FFFF00FF"/>
      <name val="Calibri"/>
      <family val="2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sz val="11"/>
      <color indexed="14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5"/>
      </patternFill>
    </fill>
    <fill>
      <patternFill patternType="lightUp">
        <fgColor theme="5" tint="0.39994506668294322"/>
        <bgColor theme="0" tint="-0.1499984740745262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9" applyNumberFormat="0" applyFill="0" applyAlignment="0" applyProtection="0"/>
  </cellStyleXfs>
  <cellXfs count="1102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7" xfId="0" applyNumberFormat="1" applyFont="1" applyBorder="1" applyAlignment="1">
      <alignment horizontal="center"/>
    </xf>
    <xf numFmtId="164" fontId="10" fillId="9" borderId="57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94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2" fontId="33" fillId="10" borderId="95" xfId="0" applyNumberFormat="1" applyFont="1" applyFill="1" applyBorder="1" applyAlignment="1">
      <alignment horizont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2" fontId="33" fillId="10" borderId="34" xfId="0" applyNumberFormat="1" applyFont="1" applyFill="1" applyBorder="1" applyAlignment="1">
      <alignment horizont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2" fontId="10" fillId="10" borderId="59" xfId="0" applyNumberFormat="1" applyFont="1" applyFill="1" applyBorder="1"/>
    <xf numFmtId="2" fontId="10" fillId="10" borderId="58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164" fontId="10" fillId="10" borderId="98" xfId="0" applyNumberFormat="1" applyFont="1" applyFill="1" applyBorder="1" applyAlignment="1">
      <alignment horizontal="center" vertical="center"/>
    </xf>
    <xf numFmtId="164" fontId="10" fillId="10" borderId="11" xfId="0" quotePrefix="1" applyNumberFormat="1" applyFont="1" applyFill="1" applyBorder="1" applyAlignment="1">
      <alignment horizontal="center" vertical="center"/>
    </xf>
    <xf numFmtId="1" fontId="10" fillId="10" borderId="11" xfId="0" applyNumberFormat="1" applyFont="1" applyFill="1" applyBorder="1" applyAlignment="1">
      <alignment horizontal="center" vertical="center"/>
    </xf>
    <xf numFmtId="164" fontId="10" fillId="10" borderId="61" xfId="0" applyNumberFormat="1" applyFont="1" applyFill="1" applyBorder="1" applyAlignment="1">
      <alignment horizontal="center" vertical="center"/>
    </xf>
    <xf numFmtId="164" fontId="10" fillId="10" borderId="57" xfId="0" quotePrefix="1" applyNumberFormat="1" applyFont="1" applyFill="1" applyBorder="1" applyAlignment="1">
      <alignment horizontal="center" vertical="center"/>
    </xf>
    <xf numFmtId="1" fontId="10" fillId="10" borderId="57" xfId="0" applyNumberFormat="1" applyFont="1" applyFill="1" applyBorder="1" applyAlignment="1">
      <alignment horizontal="center"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10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49" fontId="10" fillId="0" borderId="0" xfId="0" applyNumberFormat="1" applyFont="1"/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0" fontId="12" fillId="2" borderId="1" xfId="1" applyFo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49" fillId="7" borderId="119" xfId="11" applyNumberFormat="1" applyFill="1" applyAlignment="1" applyProtection="1"/>
    <xf numFmtId="0" fontId="49" fillId="7" borderId="119" xfId="11" applyFill="1" applyAlignment="1" applyProtection="1">
      <alignment horizontal="center"/>
    </xf>
    <xf numFmtId="0" fontId="1" fillId="2" borderId="3" xfId="1" applyBorder="1" applyProtection="1"/>
    <xf numFmtId="0" fontId="12" fillId="2" borderId="3" xfId="1" applyFont="1" applyBorder="1" applyProtection="1"/>
    <xf numFmtId="164" fontId="4" fillId="30" borderId="0" xfId="3" applyNumberFormat="1" applyFill="1" applyBorder="1" applyProtection="1"/>
    <xf numFmtId="164" fontId="4" fillId="30" borderId="0" xfId="3" applyNumberFormat="1" applyFill="1" applyBorder="1" applyAlignment="1" applyProtection="1"/>
    <xf numFmtId="164" fontId="4" fillId="31" borderId="15" xfId="3" applyNumberFormat="1" applyFill="1" applyBorder="1" applyAlignment="1" applyProtection="1"/>
    <xf numFmtId="0" fontId="0" fillId="28" borderId="0" xfId="0" applyFill="1"/>
    <xf numFmtId="164" fontId="0" fillId="28" borderId="0" xfId="0" applyNumberFormat="1" applyFill="1"/>
    <xf numFmtId="0" fontId="56" fillId="28" borderId="0" xfId="0" applyFont="1" applyFill="1"/>
    <xf numFmtId="0" fontId="0" fillId="32" borderId="0" xfId="0" applyFill="1"/>
    <xf numFmtId="164" fontId="0" fillId="32" borderId="0" xfId="0" applyNumberFormat="1" applyFill="1"/>
    <xf numFmtId="0" fontId="56" fillId="32" borderId="0" xfId="0" applyFont="1" applyFill="1"/>
    <xf numFmtId="0" fontId="0" fillId="25" borderId="0" xfId="0" applyFill="1"/>
    <xf numFmtId="164" fontId="0" fillId="25" borderId="0" xfId="0" applyNumberFormat="1" applyFill="1"/>
    <xf numFmtId="0" fontId="0" fillId="30" borderId="0" xfId="0" applyFill="1"/>
    <xf numFmtId="164" fontId="10" fillId="9" borderId="14" xfId="0" applyNumberFormat="1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left" vertical="center"/>
    </xf>
    <xf numFmtId="0" fontId="46" fillId="0" borderId="0" xfId="0" applyFont="1"/>
    <xf numFmtId="0" fontId="46" fillId="30" borderId="0" xfId="0" applyFont="1" applyFill="1"/>
    <xf numFmtId="0" fontId="0" fillId="0" borderId="0" xfId="0" applyAlignment="1">
      <alignment horizontal="right"/>
    </xf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49" fontId="16" fillId="13" borderId="6" xfId="2" quotePrefix="1" applyNumberFormat="1" applyFont="1" applyBorder="1" applyAlignment="1" applyProtection="1">
      <alignment vertical="center"/>
      <protection locked="0"/>
    </xf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44" fontId="10" fillId="15" borderId="4" xfId="8" applyNumberFormat="1" applyFont="1" applyBorder="1" applyAlignment="1" applyProtection="1">
      <alignment vertical="center" wrapText="1"/>
    </xf>
    <xf numFmtId="44" fontId="10" fillId="15" borderId="12" xfId="8" applyNumberFormat="1" applyFont="1" applyBorder="1" applyAlignment="1" applyProtection="1">
      <alignment vertical="center" wrapText="1"/>
    </xf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6" fontId="1" fillId="2" borderId="1" xfId="1" applyNumberFormat="1" applyProtection="1"/>
    <xf numFmtId="164" fontId="4" fillId="4" borderId="0" xfId="3" applyNumberFormat="1" applyFill="1" applyBorder="1" applyProtection="1"/>
    <xf numFmtId="0" fontId="0" fillId="4" borderId="0" xfId="0" applyFill="1"/>
    <xf numFmtId="164" fontId="4" fillId="4" borderId="0" xfId="3" applyNumberFormat="1" applyFill="1" applyBorder="1" applyAlignment="1" applyProtection="1"/>
    <xf numFmtId="0" fontId="46" fillId="4" borderId="0" xfId="0" applyFont="1" applyFill="1"/>
    <xf numFmtId="0" fontId="0" fillId="12" borderId="6" xfId="0" applyFill="1" applyBorder="1"/>
    <xf numFmtId="0" fontId="11" fillId="12" borderId="6" xfId="0" applyFont="1" applyFill="1" applyBorder="1" applyAlignment="1">
      <alignment horizontal="right"/>
    </xf>
    <xf numFmtId="0" fontId="1" fillId="2" borderId="3" xfId="1" quotePrefix="1" applyBorder="1" applyProtection="1"/>
    <xf numFmtId="164" fontId="10" fillId="4" borderId="0" xfId="0" applyNumberFormat="1" applyFont="1" applyFill="1"/>
    <xf numFmtId="44" fontId="10" fillId="33" borderId="0" xfId="8" applyNumberFormat="1" applyFont="1" applyFill="1" applyBorder="1" applyAlignment="1" applyProtection="1">
      <alignment vertical="center" wrapText="1"/>
    </xf>
    <xf numFmtId="49" fontId="16" fillId="34" borderId="0" xfId="2" quotePrefix="1" applyNumberFormat="1" applyFont="1" applyFill="1" applyBorder="1" applyAlignment="1" applyProtection="1">
      <alignment vertical="center"/>
      <protection locked="0"/>
    </xf>
    <xf numFmtId="165" fontId="4" fillId="4" borderId="0" xfId="3" applyNumberFormat="1" applyFill="1" applyBorder="1" applyProtection="1"/>
    <xf numFmtId="164" fontId="4" fillId="4" borderId="0" xfId="3" applyNumberFormat="1" applyFill="1" applyBorder="1" applyAlignment="1" applyProtection="1">
      <alignment horizontal="right"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" fillId="2" borderId="21" xfId="1" applyBorder="1" applyProtection="1"/>
    <xf numFmtId="0" fontId="1" fillId="2" borderId="27" xfId="1" applyBorder="1" applyProtection="1"/>
    <xf numFmtId="166" fontId="1" fillId="2" borderId="27" xfId="1" applyNumberFormat="1" applyBorder="1" applyProtection="1"/>
    <xf numFmtId="1" fontId="1" fillId="2" borderId="27" xfId="1" applyNumberFormat="1" applyBorder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16" fillId="13" borderId="6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164" fontId="1" fillId="2" borderId="27" xfId="1" applyNumberFormat="1" applyBorder="1" applyProtection="1"/>
    <xf numFmtId="164" fontId="30" fillId="7" borderId="0" xfId="5" applyNumberFormat="1" applyFont="1" applyBorder="1" applyAlignment="1" applyProtection="1">
      <alignment horizontal="center"/>
    </xf>
    <xf numFmtId="1" fontId="10" fillId="9" borderId="15" xfId="0" applyNumberFormat="1" applyFont="1" applyFill="1" applyBorder="1"/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0" fontId="11" fillId="7" borderId="60" xfId="5" applyFont="1" applyBorder="1" applyAlignment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7" fontId="10" fillId="0" borderId="0" xfId="0" applyNumberFormat="1" applyFont="1"/>
    <xf numFmtId="164" fontId="10" fillId="0" borderId="2" xfId="0" applyNumberFormat="1" applyFont="1" applyBorder="1"/>
    <xf numFmtId="0" fontId="15" fillId="2" borderId="36" xfId="1" applyFont="1" applyBorder="1" applyAlignment="1" applyProtection="1"/>
    <xf numFmtId="0" fontId="15" fillId="2" borderId="3" xfId="1" applyFont="1" applyBorder="1" applyAlignment="1" applyProtection="1"/>
    <xf numFmtId="164" fontId="15" fillId="2" borderId="42" xfId="1" applyNumberFormat="1" applyFont="1" applyBorder="1" applyAlignment="1" applyProtection="1"/>
    <xf numFmtId="164" fontId="15" fillId="2" borderId="1" xfId="1" applyNumberFormat="1" applyFont="1" applyAlignment="1" applyProtection="1"/>
    <xf numFmtId="0" fontId="15" fillId="2" borderId="1" xfId="1" applyFont="1" applyAlignment="1" applyProtection="1"/>
    <xf numFmtId="164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0" fontId="0" fillId="0" borderId="0" xfId="0" applyNumberFormat="1"/>
    <xf numFmtId="170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2" fontId="0" fillId="0" borderId="2" xfId="0" applyNumberFormat="1" applyBorder="1" applyAlignment="1">
      <alignment vertical="center"/>
    </xf>
    <xf numFmtId="2" fontId="0" fillId="0" borderId="5" xfId="0" applyNumberFormat="1" applyBorder="1"/>
    <xf numFmtId="170" fontId="18" fillId="0" borderId="0" xfId="0" applyNumberFormat="1" applyFont="1"/>
    <xf numFmtId="170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164" fontId="19" fillId="13" borderId="1" xfId="2" quotePrefix="1" applyNumberFormat="1" applyFont="1" applyAlignment="1" applyProtection="1">
      <alignment vertical="center"/>
      <protection locked="0"/>
    </xf>
    <xf numFmtId="164" fontId="19" fillId="13" borderId="1" xfId="2" applyNumberFormat="1" applyFont="1" applyAlignment="1" applyProtection="1">
      <alignment vertical="center"/>
      <protection locked="0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30" fillId="35" borderId="0" xfId="5" applyNumberFormat="1" applyFont="1" applyFill="1" applyBorder="1" applyAlignment="1" applyProtection="1"/>
    <xf numFmtId="164" fontId="30" fillId="35" borderId="2" xfId="5" applyNumberFormat="1" applyFont="1" applyFill="1" applyBorder="1" applyAlignment="1" applyProtection="1">
      <alignment horizontal="center"/>
    </xf>
    <xf numFmtId="164" fontId="10" fillId="0" borderId="2" xfId="0" applyNumberFormat="1" applyFont="1" applyBorder="1" applyAlignment="1">
      <alignment horizontal="center"/>
    </xf>
    <xf numFmtId="0" fontId="1" fillId="2" borderId="2" xfId="1" applyBorder="1" applyAlignment="1" applyProtection="1">
      <alignment horizontal="center"/>
    </xf>
    <xf numFmtId="164" fontId="30" fillId="36" borderId="65" xfId="5" applyNumberFormat="1" applyFont="1" applyFill="1" applyBorder="1" applyAlignment="1" applyProtection="1"/>
    <xf numFmtId="164" fontId="30" fillId="36" borderId="0" xfId="5" applyNumberFormat="1" applyFont="1" applyFill="1" applyBorder="1" applyAlignment="1" applyProtection="1"/>
    <xf numFmtId="164" fontId="10" fillId="36" borderId="0" xfId="0" applyNumberFormat="1" applyFont="1" applyFill="1"/>
    <xf numFmtId="164" fontId="10" fillId="7" borderId="2" xfId="5" applyNumberFormat="1" applyFont="1" applyBorder="1" applyAlignment="1">
      <alignment horizontal="center" vertical="center"/>
    </xf>
    <xf numFmtId="164" fontId="10" fillId="18" borderId="69" xfId="5" quotePrefix="1" applyNumberFormat="1" applyFont="1" applyFill="1" applyBorder="1" applyAlignment="1" applyProtection="1"/>
    <xf numFmtId="164" fontId="10" fillId="18" borderId="70" xfId="5" quotePrefix="1" applyNumberFormat="1" applyFont="1" applyFill="1" applyBorder="1" applyAlignment="1" applyProtection="1"/>
    <xf numFmtId="164" fontId="10" fillId="18" borderId="71" xfId="5" quotePrefix="1" applyNumberFormat="1" applyFont="1" applyFill="1" applyBorder="1" applyAlignment="1" applyProtection="1"/>
    <xf numFmtId="164" fontId="10" fillId="18" borderId="96" xfId="5" applyNumberFormat="1" applyFont="1" applyFill="1" applyBorder="1" applyAlignment="1" applyProtection="1"/>
    <xf numFmtId="164" fontId="10" fillId="18" borderId="67" xfId="5" applyNumberFormat="1" applyFont="1" applyFill="1" applyBorder="1" applyAlignment="1" applyProtection="1"/>
    <xf numFmtId="164" fontId="10" fillId="18" borderId="74" xfId="5" applyNumberFormat="1" applyFont="1" applyFill="1" applyBorder="1" applyAlignment="1" applyProtection="1"/>
    <xf numFmtId="164" fontId="10" fillId="18" borderId="29" xfId="5" applyNumberFormat="1" applyFont="1" applyFill="1" applyBorder="1" applyAlignment="1" applyProtection="1"/>
    <xf numFmtId="164" fontId="10" fillId="18" borderId="72" xfId="5" applyNumberFormat="1" applyFont="1" applyFill="1" applyBorder="1" applyAlignment="1" applyProtection="1"/>
    <xf numFmtId="164" fontId="64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5" fillId="3" borderId="29" xfId="7" applyNumberFormat="1" applyFont="1" applyFill="1" applyBorder="1" applyAlignment="1">
      <alignment horizontal="center" vertical="center"/>
    </xf>
    <xf numFmtId="164" fontId="66" fillId="26" borderId="29" xfId="7" applyNumberFormat="1" applyFont="1" applyFill="1" applyBorder="1" applyAlignment="1">
      <alignment horizontal="center" vertical="center"/>
    </xf>
    <xf numFmtId="164" fontId="57" fillId="26" borderId="28" xfId="0" applyNumberFormat="1" applyFont="1" applyFill="1" applyBorder="1" applyAlignment="1">
      <alignment horizontal="center" vertical="center"/>
    </xf>
    <xf numFmtId="164" fontId="57" fillId="26" borderId="29" xfId="0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67" fontId="9" fillId="2" borderId="38" xfId="7" applyNumberFormat="1" applyAlignment="1">
      <alignment horizontal="center" vertical="center"/>
    </xf>
    <xf numFmtId="170" fontId="3" fillId="13" borderId="1" xfId="2" applyNumberFormat="1" applyAlignment="1">
      <alignment horizontal="center" vertical="center"/>
    </xf>
    <xf numFmtId="2" fontId="4" fillId="4" borderId="0" xfId="3" applyNumberFormat="1" applyFill="1" applyProtection="1"/>
    <xf numFmtId="2" fontId="4" fillId="4" borderId="15" xfId="3" applyNumberFormat="1" applyFill="1" applyBorder="1" applyAlignment="1" applyProtection="1"/>
    <xf numFmtId="2" fontId="4" fillId="4" borderId="16" xfId="3" applyNumberFormat="1" applyFill="1" applyBorder="1" applyAlignment="1" applyProtection="1"/>
    <xf numFmtId="1" fontId="10" fillId="0" borderId="2" xfId="0" applyNumberFormat="1" applyFont="1" applyBorder="1" applyAlignment="1">
      <alignment horizontal="center"/>
    </xf>
    <xf numFmtId="1" fontId="10" fillId="0" borderId="28" xfId="0" applyNumberFormat="1" applyFont="1" applyBorder="1" applyAlignment="1">
      <alignment horizontal="center"/>
    </xf>
    <xf numFmtId="164" fontId="10" fillId="37" borderId="2" xfId="0" applyNumberFormat="1" applyFont="1" applyFill="1" applyBorder="1"/>
    <xf numFmtId="164" fontId="10" fillId="37" borderId="2" xfId="0" quotePrefix="1" applyNumberFormat="1" applyFont="1" applyFill="1" applyBorder="1"/>
    <xf numFmtId="164" fontId="10" fillId="38" borderId="2" xfId="0" applyNumberFormat="1" applyFont="1" applyFill="1" applyBorder="1"/>
    <xf numFmtId="164" fontId="10" fillId="38" borderId="2" xfId="0" quotePrefix="1" applyNumberFormat="1" applyFont="1" applyFill="1" applyBorder="1"/>
    <xf numFmtId="1" fontId="10" fillId="9" borderId="16" xfId="0" applyNumberFormat="1" applyFont="1" applyFill="1" applyBorder="1"/>
    <xf numFmtId="164" fontId="0" fillId="38" borderId="2" xfId="0" applyNumberFormat="1" applyFill="1" applyBorder="1"/>
    <xf numFmtId="2" fontId="10" fillId="38" borderId="2" xfId="0" applyNumberFormat="1" applyFont="1" applyFill="1" applyBorder="1"/>
    <xf numFmtId="2" fontId="10" fillId="38" borderId="2" xfId="0" quotePrefix="1" applyNumberFormat="1" applyFont="1" applyFill="1" applyBorder="1"/>
    <xf numFmtId="164" fontId="10" fillId="38" borderId="5" xfId="0" applyNumberFormat="1" applyFont="1" applyFill="1" applyBorder="1"/>
    <xf numFmtId="2" fontId="0" fillId="37" borderId="2" xfId="0" applyNumberFormat="1" applyFill="1" applyBorder="1"/>
    <xf numFmtId="2" fontId="10" fillId="37" borderId="2" xfId="0" quotePrefix="1" applyNumberFormat="1" applyFont="1" applyFill="1" applyBorder="1"/>
    <xf numFmtId="164" fontId="10" fillId="37" borderId="5" xfId="0" applyNumberFormat="1" applyFont="1" applyFill="1" applyBorder="1"/>
    <xf numFmtId="164" fontId="0" fillId="0" borderId="2" xfId="0" applyNumberFormat="1" applyBorder="1" applyAlignment="1">
      <alignment horizontal="center" vertical="center"/>
    </xf>
    <xf numFmtId="164" fontId="57" fillId="39" borderId="28" xfId="0" applyNumberFormat="1" applyFont="1" applyFill="1" applyBorder="1" applyAlignment="1">
      <alignment horizontal="center" vertical="center"/>
    </xf>
    <xf numFmtId="164" fontId="57" fillId="39" borderId="29" xfId="0" quotePrefix="1" applyNumberFormat="1" applyFont="1" applyFill="1" applyBorder="1" applyAlignment="1">
      <alignment horizontal="center" vertical="center"/>
    </xf>
    <xf numFmtId="164" fontId="57" fillId="39" borderId="2" xfId="0" applyNumberFormat="1" applyFont="1" applyFill="1" applyBorder="1" applyAlignment="1">
      <alignment horizontal="center"/>
    </xf>
    <xf numFmtId="2" fontId="10" fillId="37" borderId="2" xfId="0" applyNumberFormat="1" applyFont="1" applyFill="1" applyBorder="1"/>
    <xf numFmtId="164" fontId="57" fillId="39" borderId="29" xfId="0" applyNumberFormat="1" applyFont="1" applyFill="1" applyBorder="1" applyAlignment="1">
      <alignment horizontal="center" vertical="center"/>
    </xf>
    <xf numFmtId="164" fontId="57" fillId="39" borderId="2" xfId="0" applyNumberFormat="1" applyFont="1" applyFill="1" applyBorder="1" applyAlignment="1">
      <alignment horizontal="center" vertical="center"/>
    </xf>
    <xf numFmtId="2" fontId="9" fillId="2" borderId="131" xfId="7" applyNumberFormat="1" applyBorder="1" applyAlignment="1">
      <alignment horizontal="center" vertical="center"/>
    </xf>
    <xf numFmtId="164" fontId="57" fillId="7" borderId="2" xfId="5" applyNumberFormat="1" applyFont="1" applyBorder="1"/>
    <xf numFmtId="0" fontId="15" fillId="2" borderId="1" xfId="1" quotePrefix="1" applyFont="1" applyAlignment="1" applyProtection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7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62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62" fillId="7" borderId="29" xfId="5" quotePrefix="1" applyFont="1" applyBorder="1" applyAlignment="1">
      <alignment horizontal="center" vertical="center"/>
    </xf>
    <xf numFmtId="0" fontId="3" fillId="13" borderId="29" xfId="2" quotePrefix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0" fontId="62" fillId="7" borderId="2" xfId="5" quotePrefix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4" fontId="10" fillId="0" borderId="0" xfId="0" applyNumberFormat="1" applyFont="1" applyAlignment="1"/>
    <xf numFmtId="167" fontId="15" fillId="2" borderId="7" xfId="1" applyNumberFormat="1" applyFont="1" applyBorder="1" applyAlignment="1" applyProtection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7" fillId="0" borderId="0" xfId="0" applyFont="1"/>
    <xf numFmtId="0" fontId="0" fillId="27" borderId="0" xfId="0" applyFill="1"/>
    <xf numFmtId="0" fontId="69" fillId="0" borderId="2" xfId="0" applyFont="1" applyBorder="1" applyAlignment="1">
      <alignment horizontal="center"/>
    </xf>
    <xf numFmtId="0" fontId="69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18" fillId="0" borderId="0" xfId="0" applyFont="1"/>
    <xf numFmtId="164" fontId="10" fillId="0" borderId="0" xfId="0" applyNumberFormat="1" applyFont="1" applyAlignment="1">
      <alignment horizontal="center"/>
    </xf>
    <xf numFmtId="0" fontId="0" fillId="0" borderId="0" xfId="0" quotePrefix="1"/>
    <xf numFmtId="0" fontId="0" fillId="0" borderId="0" xfId="0"/>
    <xf numFmtId="0" fontId="10" fillId="0" borderId="0" xfId="0" applyFont="1"/>
    <xf numFmtId="0" fontId="0" fillId="25" borderId="0" xfId="0" applyFill="1" applyAlignment="1">
      <alignment horizontal="center" vertic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" fillId="2" borderId="1" xfId="1" applyNumberFormat="1" applyAlignment="1" applyProtection="1">
      <alignment horizontal="center"/>
    </xf>
    <xf numFmtId="164" fontId="6" fillId="6" borderId="24" xfId="4" applyNumberFormat="1" applyAlignment="1" applyProtection="1">
      <alignment horizontal="center"/>
    </xf>
    <xf numFmtId="164" fontId="13" fillId="27" borderId="2" xfId="0" applyNumberFormat="1" applyFont="1" applyFill="1" applyBorder="1" applyAlignment="1">
      <alignment horizontal="left" vertical="center"/>
    </xf>
    <xf numFmtId="1" fontId="10" fillId="9" borderId="15" xfId="0" applyNumberFormat="1" applyFont="1" applyFill="1" applyBorder="1" applyAlignment="1">
      <alignment horizontal="center"/>
    </xf>
    <xf numFmtId="164" fontId="22" fillId="6" borderId="24" xfId="4" applyNumberFormat="1" applyFont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164" fontId="15" fillId="2" borderId="1" xfId="1" applyNumberFormat="1" applyFont="1" applyAlignment="1" applyProtection="1">
      <alignment horizontal="center"/>
    </xf>
    <xf numFmtId="164" fontId="15" fillId="2" borderId="2" xfId="1" applyNumberFormat="1" applyFont="1" applyBorder="1" applyAlignment="1" applyProtection="1">
      <alignment horizontal="center"/>
    </xf>
    <xf numFmtId="0" fontId="21" fillId="5" borderId="29" xfId="3" applyFont="1" applyBorder="1" applyAlignment="1" applyProtection="1">
      <alignment horizontal="center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164" fontId="10" fillId="9" borderId="0" xfId="0" applyNumberFormat="1" applyFont="1" applyFill="1" applyAlignment="1">
      <alignment horizontal="center"/>
    </xf>
    <xf numFmtId="0" fontId="11" fillId="7" borderId="2" xfId="5" applyFont="1" applyBorder="1" applyAlignment="1">
      <alignment horizontal="center" vertical="center"/>
    </xf>
    <xf numFmtId="164" fontId="22" fillId="6" borderId="40" xfId="4" applyNumberFormat="1" applyFont="1" applyBorder="1" applyAlignment="1" applyProtection="1">
      <alignment horizontal="center"/>
    </xf>
    <xf numFmtId="0" fontId="19" fillId="13" borderId="2" xfId="2" quotePrefix="1" applyFont="1" applyBorder="1" applyAlignment="1" applyProtection="1">
      <alignment horizontal="center"/>
      <protection locked="0"/>
    </xf>
    <xf numFmtId="0" fontId="15" fillId="2" borderId="1" xfId="1" applyFont="1" applyAlignment="1" applyProtection="1">
      <alignment horizontal="center"/>
    </xf>
    <xf numFmtId="0" fontId="15" fillId="2" borderId="35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/>
    </xf>
    <xf numFmtId="164" fontId="10" fillId="7" borderId="69" xfId="5" quotePrefix="1" applyNumberFormat="1" applyFont="1" applyBorder="1" applyAlignment="1" applyProtection="1">
      <alignment horizontal="left"/>
    </xf>
    <xf numFmtId="164" fontId="10" fillId="7" borderId="70" xfId="5" quotePrefix="1" applyNumberFormat="1" applyFont="1" applyBorder="1" applyAlignment="1" applyProtection="1">
      <alignment horizontal="left"/>
    </xf>
    <xf numFmtId="164" fontId="10" fillId="7" borderId="71" xfId="5" quotePrefix="1" applyNumberFormat="1" applyFont="1" applyBorder="1" applyAlignment="1" applyProtection="1">
      <alignment horizontal="left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22" fillId="6" borderId="24" xfId="4" applyNumberFormat="1" applyFont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164" fontId="3" fillId="13" borderId="1" xfId="2" applyNumberFormat="1" applyAlignment="1" applyProtection="1">
      <alignment horizontal="center"/>
      <protection locked="0"/>
    </xf>
    <xf numFmtId="164" fontId="10" fillId="7" borderId="25" xfId="5" applyNumberFormat="1" applyFont="1" applyAlignment="1" applyProtection="1">
      <alignment horizontal="left" vertical="center"/>
    </xf>
    <xf numFmtId="164" fontId="10" fillId="7" borderId="2" xfId="5" quotePrefix="1" applyNumberFormat="1" applyFont="1" applyBorder="1" applyAlignment="1" applyProtection="1">
      <alignment horizontal="left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79" xfId="6" applyNumberFormat="1" applyFont="1" applyBorder="1" applyAlignment="1" applyProtection="1">
      <alignment horizontal="center"/>
    </xf>
    <xf numFmtId="164" fontId="10" fillId="7" borderId="2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164" fontId="27" fillId="17" borderId="0" xfId="0" applyNumberFormat="1" applyFont="1" applyFill="1" applyAlignment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>
      <alignment horizontal="center" vertical="center"/>
    </xf>
    <xf numFmtId="164" fontId="30" fillId="9" borderId="15" xfId="0" applyNumberFormat="1" applyFont="1" applyFill="1" applyBorder="1" applyAlignment="1">
      <alignment horizontal="center"/>
    </xf>
    <xf numFmtId="0" fontId="10" fillId="15" borderId="0" xfId="8" applyFont="1" applyBorder="1" applyAlignment="1" applyProtection="1">
      <alignment horizontal="right" vertical="center"/>
    </xf>
    <xf numFmtId="0" fontId="10" fillId="15" borderId="37" xfId="8" applyFont="1" applyBorder="1" applyAlignment="1" applyProtection="1">
      <alignment horizontal="right" vertical="center"/>
    </xf>
    <xf numFmtId="164" fontId="15" fillId="2" borderId="107" xfId="1" applyNumberFormat="1" applyFont="1" applyBorder="1" applyAlignment="1" applyProtection="1">
      <alignment horizont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164" fontId="10" fillId="15" borderId="8" xfId="8" applyNumberFormat="1" applyFont="1" applyBorder="1" applyAlignment="1" applyProtection="1">
      <alignment horizontal="center" vertical="center"/>
    </xf>
    <xf numFmtId="164" fontId="10" fillId="15" borderId="11" xfId="8" applyNumberFormat="1" applyFont="1" applyBorder="1" applyAlignment="1" applyProtection="1">
      <alignment horizontal="center" vertical="center"/>
    </xf>
    <xf numFmtId="0" fontId="19" fillId="13" borderId="13" xfId="2" applyFont="1" applyBorder="1" applyAlignment="1" applyProtection="1">
      <alignment horizontal="center" vertical="center"/>
      <protection locked="0"/>
    </xf>
    <xf numFmtId="0" fontId="0" fillId="0" borderId="0" xfId="0" quotePrefix="1"/>
    <xf numFmtId="0" fontId="0" fillId="0" borderId="0" xfId="0"/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164" fontId="19" fillId="13" borderId="1" xfId="2" applyNumberFormat="1" applyFont="1" applyAlignment="1" applyProtection="1">
      <alignment horizontal="center" vertical="center"/>
      <protection locked="0"/>
    </xf>
    <xf numFmtId="164" fontId="10" fillId="15" borderId="2" xfId="8" applyNumberFormat="1" applyFont="1" applyBorder="1" applyAlignment="1" applyProtection="1">
      <alignment horizontal="center" vertical="center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10" fillId="15" borderId="2" xfId="8" applyNumberFormat="1" applyFont="1" applyBorder="1" applyAlignment="1" applyProtection="1">
      <alignment horizontal="center" wrapText="1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164" fontId="10" fillId="27" borderId="2" xfId="0" applyNumberFormat="1" applyFont="1" applyFill="1" applyBorder="1" applyAlignment="1">
      <alignment horizontal="center" vertical="center"/>
    </xf>
    <xf numFmtId="164" fontId="13" fillId="27" borderId="2" xfId="0" applyNumberFormat="1" applyFont="1" applyFill="1" applyBorder="1" applyAlignment="1">
      <alignment horizontal="center" vertical="center"/>
    </xf>
    <xf numFmtId="164" fontId="10" fillId="0" borderId="11" xfId="0" applyNumberFormat="1" applyFont="1" applyBorder="1" applyAlignment="1">
      <alignment horizontal="center"/>
    </xf>
    <xf numFmtId="0" fontId="18" fillId="0" borderId="0" xfId="0" applyFont="1"/>
    <xf numFmtId="164" fontId="20" fillId="11" borderId="2" xfId="6" applyNumberFormat="1" applyFont="1" applyBorder="1" applyAlignment="1" applyProtection="1">
      <alignment horizontal="center"/>
    </xf>
    <xf numFmtId="164" fontId="10" fillId="0" borderId="0" xfId="0" applyNumberFormat="1" applyFont="1" applyAlignment="1">
      <alignment horizontal="center"/>
    </xf>
    <xf numFmtId="164" fontId="20" fillId="11" borderId="6" xfId="6" applyNumberFormat="1" applyFont="1" applyBorder="1" applyAlignment="1" applyProtection="1">
      <alignment horizontal="center"/>
    </xf>
    <xf numFmtId="164" fontId="13" fillId="3" borderId="9" xfId="0" applyNumberFormat="1" applyFont="1" applyFill="1" applyBorder="1" applyAlignment="1">
      <alignment horizontal="center"/>
    </xf>
    <xf numFmtId="164" fontId="20" fillId="11" borderId="45" xfId="6" applyNumberFormat="1" applyFont="1" applyBorder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/>
    </xf>
    <xf numFmtId="164" fontId="10" fillId="7" borderId="67" xfId="5" applyNumberFormat="1" applyFont="1" applyBorder="1" applyAlignment="1" applyProtection="1">
      <alignment horizontal="left"/>
    </xf>
    <xf numFmtId="164" fontId="10" fillId="7" borderId="78" xfId="5" applyNumberFormat="1" applyFont="1" applyBorder="1" applyAlignment="1" applyProtection="1">
      <alignment horizontal="left"/>
    </xf>
    <xf numFmtId="164" fontId="10" fillId="7" borderId="66" xfId="5" applyNumberFormat="1" applyFont="1" applyBorder="1" applyAlignment="1" applyProtection="1">
      <alignment horizontal="left"/>
    </xf>
    <xf numFmtId="164" fontId="10" fillId="7" borderId="68" xfId="5" applyNumberFormat="1" applyFont="1" applyBorder="1" applyAlignment="1" applyProtection="1">
      <alignment horizontal="left"/>
    </xf>
    <xf numFmtId="164" fontId="10" fillId="7" borderId="76" xfId="5" applyNumberFormat="1" applyFont="1" applyBorder="1" applyAlignment="1" applyProtection="1">
      <alignment horizontal="left"/>
    </xf>
    <xf numFmtId="164" fontId="10" fillId="7" borderId="77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center"/>
    </xf>
    <xf numFmtId="164" fontId="10" fillId="7" borderId="75" xfId="5" applyNumberFormat="1" applyFont="1" applyBorder="1" applyAlignment="1" applyProtection="1">
      <alignment horizontal="center"/>
    </xf>
    <xf numFmtId="164" fontId="10" fillId="7" borderId="72" xfId="5" applyNumberFormat="1" applyFont="1" applyBorder="1" applyAlignment="1" applyProtection="1">
      <alignment horizontal="center"/>
    </xf>
    <xf numFmtId="164" fontId="10" fillId="7" borderId="73" xfId="5" applyNumberFormat="1" applyFont="1" applyBorder="1" applyAlignment="1" applyProtection="1">
      <alignment horizontal="center"/>
    </xf>
    <xf numFmtId="164" fontId="30" fillId="7" borderId="65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2" xfId="0" applyNumberFormat="1" applyFont="1" applyBorder="1" applyAlignment="1">
      <alignment horizontal="left"/>
    </xf>
    <xf numFmtId="164" fontId="10" fillId="0" borderId="0" xfId="0" quotePrefix="1" applyNumberFormat="1" applyFont="1" applyAlignment="1">
      <alignment horizontal="center" vertic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164" fontId="21" fillId="5" borderId="41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21" fillId="5" borderId="63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164" fontId="15" fillId="2" borderId="13" xfId="1" applyNumberFormat="1" applyFont="1" applyBorder="1" applyAlignment="1" applyProtection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0" fontId="18" fillId="12" borderId="2" xfId="0" applyFont="1" applyFill="1" applyBorder="1" applyAlignment="1">
      <alignment horizontal="left" vertic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5" xfId="5" quotePrefix="1" applyFont="1" applyBorder="1" applyAlignment="1" applyProtection="1">
      <alignment horizontal="center"/>
    </xf>
    <xf numFmtId="0" fontId="0" fillId="7" borderId="116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30" fillId="7" borderId="22" xfId="5" applyNumberFormat="1" applyFont="1" applyBorder="1" applyAlignment="1" applyProtection="1">
      <alignment horizontal="center"/>
    </xf>
    <xf numFmtId="164" fontId="22" fillId="6" borderId="83" xfId="4" applyNumberFormat="1" applyFont="1" applyBorder="1" applyAlignment="1" applyProtection="1">
      <alignment horizontal="center"/>
    </xf>
    <xf numFmtId="164" fontId="22" fillId="6" borderId="39" xfId="4" applyNumberFormat="1" applyFont="1" applyBorder="1" applyAlignment="1" applyProtection="1">
      <alignment horizontal="center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8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0" xfId="6" applyNumberFormat="1" applyFont="1" applyBorder="1" applyAlignment="1" applyProtection="1">
      <alignment horizontal="center" vertical="center"/>
    </xf>
    <xf numFmtId="164" fontId="20" fillId="11" borderId="4" xfId="6" applyNumberFormat="1" applyFont="1" applyBorder="1" applyAlignment="1" applyProtection="1">
      <alignment horizontal="center" vertical="center"/>
    </xf>
    <xf numFmtId="164" fontId="19" fillId="13" borderId="84" xfId="2" applyNumberFormat="1" applyFont="1" applyBorder="1" applyAlignment="1" applyProtection="1">
      <alignment horizontal="center" vertical="center"/>
      <protection locked="0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164" fontId="15" fillId="2" borderId="13" xfId="1" applyNumberFormat="1" applyFont="1" applyBorder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164" fontId="15" fillId="2" borderId="42" xfId="1" applyNumberFormat="1" applyFont="1" applyBorder="1" applyAlignment="1" applyProtection="1">
      <alignment horizontal="center"/>
    </xf>
    <xf numFmtId="164" fontId="20" fillId="11" borderId="15" xfId="6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3" fillId="7" borderId="64" xfId="5" applyFont="1" applyBorder="1" applyAlignment="1" applyProtection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0" fontId="23" fillId="7" borderId="25" xfId="5" applyFont="1" applyProtection="1"/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20" fillId="11" borderId="2" xfId="6" quotePrefix="1" applyNumberFormat="1" applyFont="1" applyBorder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center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164" fontId="21" fillId="5" borderId="29" xfId="3" applyNumberFormat="1" applyFont="1" applyBorder="1" applyAlignment="1" applyProtection="1">
      <alignment horizontal="center"/>
    </xf>
    <xf numFmtId="164" fontId="20" fillId="11" borderId="2" xfId="6" quotePrefix="1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45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164" fontId="15" fillId="2" borderId="36" xfId="1" applyNumberFormat="1" applyFont="1" applyBorder="1" applyAlignment="1" applyProtection="1">
      <alignment horizontal="center"/>
    </xf>
    <xf numFmtId="0" fontId="19" fillId="13" borderId="2" xfId="2" applyFont="1" applyBorder="1" applyAlignment="1" applyProtection="1">
      <alignment horizontal="center"/>
      <protection locked="0"/>
    </xf>
    <xf numFmtId="44" fontId="10" fillId="15" borderId="80" xfId="8" applyNumberFormat="1" applyFont="1" applyBorder="1" applyAlignment="1" applyProtection="1">
      <alignment horizontal="center" vertical="center" wrapText="1"/>
    </xf>
    <xf numFmtId="44" fontId="10" fillId="15" borderId="81" xfId="8" applyNumberFormat="1" applyFont="1" applyBorder="1" applyAlignment="1" applyProtection="1">
      <alignment horizontal="center" vertical="center" wrapText="1"/>
    </xf>
    <xf numFmtId="44" fontId="10" fillId="15" borderId="82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0" fontId="22" fillId="6" borderId="24" xfId="4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164" fontId="22" fillId="6" borderId="47" xfId="4" applyNumberFormat="1" applyFont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92" xfId="2" quotePrefix="1" applyNumberFormat="1" applyFont="1" applyBorder="1" applyAlignment="1" applyProtection="1">
      <alignment horizontal="center" vertical="center"/>
      <protection locked="0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91" xfId="2" quotePrefix="1" applyNumberFormat="1" applyFont="1" applyBorder="1" applyAlignment="1" applyProtection="1">
      <alignment horizontal="center" vertical="center"/>
      <protection locked="0"/>
    </xf>
    <xf numFmtId="164" fontId="21" fillId="5" borderId="15" xfId="3" applyNumberFormat="1" applyFont="1" applyBorder="1" applyAlignment="1" applyProtection="1">
      <alignment horizontal="center"/>
    </xf>
    <xf numFmtId="0" fontId="19" fillId="13" borderId="108" xfId="2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18" fillId="12" borderId="28" xfId="0" applyFont="1" applyFill="1" applyBorder="1" applyAlignment="1">
      <alignment horizontal="left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8" fillId="5" borderId="2" xfId="3" applyFont="1" applyBorder="1" applyAlignment="1" applyProtection="1">
      <alignment horizontal="center" vertical="center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164" fontId="10" fillId="9" borderId="15" xfId="0" applyNumberFormat="1" applyFont="1" applyFill="1" applyBorder="1" applyAlignment="1">
      <alignment horizontal="center"/>
    </xf>
    <xf numFmtId="0" fontId="0" fillId="7" borderId="117" xfId="5" quotePrefix="1" applyFont="1" applyBorder="1" applyAlignment="1" applyProtection="1">
      <alignment horizontal="center"/>
    </xf>
    <xf numFmtId="0" fontId="0" fillId="7" borderId="118" xfId="5" quotePrefix="1" applyFont="1" applyBorder="1" applyAlignment="1" applyProtection="1">
      <alignment horizontal="center"/>
    </xf>
    <xf numFmtId="0" fontId="1" fillId="2" borderId="1" xfId="1" applyAlignment="1" applyProtection="1">
      <alignment horizontal="center"/>
    </xf>
    <xf numFmtId="164" fontId="10" fillId="9" borderId="93" xfId="0" applyNumberFormat="1" applyFont="1" applyFill="1" applyBorder="1" applyAlignment="1">
      <alignment horizontal="center"/>
    </xf>
    <xf numFmtId="164" fontId="10" fillId="7" borderId="96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0" fontId="23" fillId="7" borderId="62" xfId="5" applyFont="1" applyBorder="1" applyAlignment="1" applyProtection="1">
      <alignment horizont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0" fontId="6" fillId="6" borderId="83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164" fontId="22" fillId="6" borderId="54" xfId="4" applyNumberFormat="1" applyFont="1" applyBorder="1" applyAlignment="1" applyProtection="1">
      <alignment horizontal="center"/>
    </xf>
    <xf numFmtId="164" fontId="22" fillId="6" borderId="55" xfId="4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164" fontId="19" fillId="13" borderId="3" xfId="2" applyNumberFormat="1" applyFont="1" applyBorder="1" applyAlignment="1" applyProtection="1">
      <alignment horizontal="center" vertical="center"/>
      <protection locked="0"/>
    </xf>
    <xf numFmtId="0" fontId="0" fillId="12" borderId="2" xfId="0" applyFill="1" applyBorder="1" applyAlignment="1">
      <alignment horizontal="center" vertical="center"/>
    </xf>
    <xf numFmtId="164" fontId="10" fillId="15" borderId="0" xfId="8" applyNumberFormat="1" applyFont="1" applyAlignment="1" applyProtection="1">
      <alignment horizontal="center"/>
    </xf>
    <xf numFmtId="164" fontId="10" fillId="15" borderId="37" xfId="8" applyNumberFormat="1" applyFont="1" applyBorder="1" applyAlignment="1" applyProtection="1">
      <alignment horizontal="center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54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9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93" xfId="1" applyNumberFormat="1" applyFont="1" applyBorder="1" applyAlignment="1" applyProtection="1">
      <alignment horizontal="center"/>
    </xf>
    <xf numFmtId="164" fontId="22" fillId="6" borderId="110" xfId="4" applyNumberFormat="1" applyFont="1" applyBorder="1" applyAlignment="1" applyProtection="1">
      <alignment horizontal="left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4" fontId="58" fillId="27" borderId="2" xfId="0" applyNumberFormat="1" applyFont="1" applyFill="1" applyBorder="1" applyAlignment="1">
      <alignment horizontal="center" vertical="center"/>
    </xf>
    <xf numFmtId="164" fontId="57" fillId="27" borderId="2" xfId="0" applyNumberFormat="1" applyFont="1" applyFill="1" applyBorder="1" applyAlignment="1">
      <alignment horizontal="center"/>
    </xf>
    <xf numFmtId="0" fontId="57" fillId="27" borderId="2" xfId="0" applyFont="1" applyFill="1" applyBorder="1" applyAlignment="1">
      <alignment horizontal="center"/>
    </xf>
    <xf numFmtId="164" fontId="57" fillId="27" borderId="2" xfId="0" applyNumberFormat="1" applyFont="1" applyFill="1" applyBorder="1" applyAlignment="1">
      <alignment horizontal="left"/>
    </xf>
    <xf numFmtId="0" fontId="57" fillId="27" borderId="2" xfId="0" applyFont="1" applyFill="1" applyBorder="1" applyAlignment="1">
      <alignment horizontal="left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0" fontId="10" fillId="15" borderId="2" xfId="8" applyFont="1" applyBorder="1" applyAlignment="1" applyProtection="1">
      <alignment horizontal="right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  <xf numFmtId="0" fontId="10" fillId="19" borderId="28" xfId="8" applyFont="1" applyFill="1" applyBorder="1" applyAlignment="1" applyProtection="1">
      <alignment horizontal="right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164" fontId="10" fillId="15" borderId="1" xfId="8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164" fontId="19" fillId="13" borderId="3" xfId="2" quotePrefix="1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167" fontId="15" fillId="2" borderId="5" xfId="1" applyNumberFormat="1" applyFont="1" applyBorder="1" applyAlignment="1" applyProtection="1">
      <alignment horizontal="center"/>
    </xf>
    <xf numFmtId="167" fontId="15" fillId="2" borderId="23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4" fontId="6" fillId="6" borderId="83" xfId="4" applyNumberFormat="1" applyBorder="1" applyAlignment="1" applyProtection="1">
      <alignment horizontal="center"/>
    </xf>
    <xf numFmtId="164" fontId="6" fillId="6" borderId="39" xfId="4" applyNumberFormat="1" applyBorder="1" applyAlignment="1" applyProtection="1">
      <alignment horizontal="center"/>
    </xf>
    <xf numFmtId="164" fontId="6" fillId="6" borderId="40" xfId="4" applyNumberFormat="1" applyBorder="1" applyAlignment="1" applyProtection="1">
      <alignment horizontal="center"/>
    </xf>
    <xf numFmtId="164" fontId="20" fillId="11" borderId="29" xfId="6" applyNumberFormat="1" applyFont="1" applyBorder="1" applyAlignment="1" applyProtection="1">
      <alignment horizontal="center"/>
    </xf>
    <xf numFmtId="164" fontId="20" fillId="11" borderId="10" xfId="6" applyNumberFormat="1" applyFont="1" applyBorder="1" applyAlignment="1" applyProtection="1">
      <alignment horizontal="center"/>
    </xf>
    <xf numFmtId="167" fontId="20" fillId="11" borderId="2" xfId="6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164" fontId="10" fillId="7" borderId="5" xfId="5" applyNumberFormat="1" applyFont="1" applyBorder="1" applyAlignment="1" applyProtection="1">
      <alignment horizontal="center"/>
    </xf>
    <xf numFmtId="164" fontId="10" fillId="7" borderId="23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4" fontId="15" fillId="2" borderId="124" xfId="1" applyNumberFormat="1" applyFont="1" applyBorder="1" applyAlignment="1" applyProtection="1">
      <alignment horizontal="center" vertical="center"/>
    </xf>
    <xf numFmtId="164" fontId="15" fillId="2" borderId="54" xfId="1" applyNumberFormat="1" applyFont="1" applyBorder="1" applyAlignment="1" applyProtection="1">
      <alignment horizontal="center" vertical="center"/>
    </xf>
    <xf numFmtId="164" fontId="15" fillId="2" borderId="125" xfId="1" applyNumberFormat="1" applyFont="1" applyBorder="1" applyAlignment="1" applyProtection="1">
      <alignment horizontal="center" vertical="center"/>
    </xf>
    <xf numFmtId="164" fontId="13" fillId="3" borderId="6" xfId="0" applyNumberFormat="1" applyFont="1" applyFill="1" applyBorder="1" applyAlignment="1">
      <alignment horizontal="center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164" fontId="21" fillId="5" borderId="5" xfId="3" applyNumberFormat="1" applyFont="1" applyBorder="1" applyAlignment="1" applyProtection="1">
      <alignment horizontal="right"/>
    </xf>
    <xf numFmtId="164" fontId="20" fillId="11" borderId="11" xfId="6" applyNumberFormat="1" applyFont="1" applyBorder="1" applyAlignment="1" applyProtection="1">
      <alignment horizontal="center" vertical="center"/>
    </xf>
    <xf numFmtId="164" fontId="15" fillId="2" borderId="126" xfId="1" applyNumberFormat="1" applyFont="1" applyBorder="1" applyAlignment="1" applyProtection="1">
      <alignment horizontal="center"/>
    </xf>
    <xf numFmtId="164" fontId="15" fillId="2" borderId="127" xfId="1" applyNumberFormat="1" applyFont="1" applyBorder="1" applyAlignment="1" applyProtection="1">
      <alignment horizontal="center"/>
    </xf>
    <xf numFmtId="164" fontId="15" fillId="2" borderId="128" xfId="1" applyNumberFormat="1" applyFont="1" applyBorder="1" applyAlignment="1" applyProtection="1">
      <alignment horizontal="center"/>
    </xf>
    <xf numFmtId="164" fontId="22" fillId="6" borderId="113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14" xfId="4" applyNumberFormat="1" applyFont="1" applyBorder="1" applyAlignment="1" applyProtection="1">
      <alignment horizontal="left"/>
    </xf>
    <xf numFmtId="164" fontId="15" fillId="7" borderId="25" xfId="5" applyNumberFormat="1" applyFont="1" applyAlignment="1" applyProtection="1">
      <alignment horizontal="center" vertical="center"/>
    </xf>
    <xf numFmtId="0" fontId="15" fillId="7" borderId="25" xfId="5" applyFont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6" fontId="15" fillId="7" borderId="25" xfId="5" applyNumberFormat="1" applyFont="1" applyAlignment="1" applyProtection="1">
      <alignment horizontal="center" vertical="center"/>
    </xf>
    <xf numFmtId="0" fontId="13" fillId="16" borderId="104" xfId="8" applyFont="1" applyFill="1" applyBorder="1" applyAlignment="1" applyProtection="1">
      <alignment horizontal="right"/>
    </xf>
    <xf numFmtId="0" fontId="13" fillId="16" borderId="105" xfId="8" applyFont="1" applyFill="1" applyBorder="1" applyAlignment="1" applyProtection="1">
      <alignment horizontal="right"/>
    </xf>
    <xf numFmtId="0" fontId="13" fillId="16" borderId="106" xfId="8" applyFont="1" applyFill="1" applyBorder="1" applyAlignment="1" applyProtection="1">
      <alignment horizontal="right"/>
    </xf>
    <xf numFmtId="0" fontId="3" fillId="13" borderId="129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93" xfId="2" applyBorder="1" applyAlignment="1" applyProtection="1">
      <alignment horizontal="center"/>
      <protection locked="0"/>
    </xf>
    <xf numFmtId="164" fontId="15" fillId="2" borderId="102" xfId="1" applyNumberFormat="1" applyFont="1" applyBorder="1" applyAlignment="1" applyProtection="1">
      <alignment horizontal="center"/>
    </xf>
    <xf numFmtId="164" fontId="15" fillId="2" borderId="100" xfId="1" applyNumberFormat="1" applyFont="1" applyBorder="1" applyAlignment="1" applyProtection="1">
      <alignment horizontal="center"/>
    </xf>
    <xf numFmtId="164" fontId="15" fillId="2" borderId="103" xfId="1" applyNumberFormat="1" applyFont="1" applyBorder="1" applyAlignment="1" applyProtection="1">
      <alignment horizontal="center"/>
    </xf>
    <xf numFmtId="0" fontId="19" fillId="13" borderId="99" xfId="2" quotePrefix="1" applyFont="1" applyBorder="1" applyAlignment="1" applyProtection="1">
      <alignment horizontal="center"/>
      <protection locked="0"/>
    </xf>
    <xf numFmtId="0" fontId="19" fillId="13" borderId="100" xfId="2" quotePrefix="1" applyFont="1" applyBorder="1" applyAlignment="1" applyProtection="1">
      <alignment horizontal="center"/>
      <protection locked="0"/>
    </xf>
    <xf numFmtId="0" fontId="19" fillId="13" borderId="101" xfId="2" quotePrefix="1" applyFont="1" applyBorder="1" applyAlignment="1" applyProtection="1">
      <alignment horizontal="center"/>
      <protection locked="0"/>
    </xf>
    <xf numFmtId="49" fontId="19" fillId="7" borderId="25" xfId="5" quotePrefix="1" applyNumberFormat="1" applyFont="1" applyAlignment="1" applyProtection="1">
      <alignment horizontal="center"/>
    </xf>
    <xf numFmtId="49" fontId="19" fillId="7" borderId="25" xfId="5" applyNumberFormat="1" applyFont="1" applyAlignment="1" applyProtection="1">
      <alignment horizontal="center"/>
    </xf>
    <xf numFmtId="164" fontId="52" fillId="3" borderId="27" xfId="1" applyNumberFormat="1" applyFont="1" applyFill="1" applyBorder="1" applyAlignment="1" applyProtection="1">
      <alignment horizontal="center" vertical="center"/>
    </xf>
    <xf numFmtId="164" fontId="52" fillId="3" borderId="13" xfId="1" applyNumberFormat="1" applyFont="1" applyFill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0" fontId="1" fillId="2" borderId="2" xfId="1" applyBorder="1" applyAlignment="1" applyProtection="1">
      <alignment horizontal="center" vertical="center"/>
    </xf>
    <xf numFmtId="0" fontId="52" fillId="3" borderId="2" xfId="1" applyFont="1" applyFill="1" applyBorder="1" applyAlignment="1" applyProtection="1">
      <alignment horizontal="center" vertical="center"/>
    </xf>
    <xf numFmtId="164" fontId="22" fillId="6" borderId="120" xfId="4" applyNumberFormat="1" applyFont="1" applyBorder="1" applyAlignment="1" applyProtection="1">
      <alignment horizontal="center" vertical="center"/>
    </xf>
    <xf numFmtId="164" fontId="22" fillId="6" borderId="0" xfId="4" applyNumberFormat="1" applyFont="1" applyBorder="1" applyAlignment="1" applyProtection="1">
      <alignment horizontal="center" vertical="center"/>
    </xf>
    <xf numFmtId="164" fontId="52" fillId="3" borderId="1" xfId="1" applyNumberFormat="1" applyFont="1" applyFill="1" applyAlignment="1" applyProtection="1">
      <alignment horizontal="center" vertical="center"/>
    </xf>
    <xf numFmtId="0" fontId="52" fillId="3" borderId="1" xfId="1" applyFont="1" applyFill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49" fillId="7" borderId="119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26" borderId="14" xfId="0" applyNumberFormat="1" applyFont="1" applyFill="1" applyBorder="1" applyAlignment="1">
      <alignment horizontal="left"/>
    </xf>
    <xf numFmtId="164" fontId="13" fillId="26" borderId="15" xfId="0" applyNumberFormat="1" applyFont="1" applyFill="1" applyBorder="1" applyAlignment="1">
      <alignment horizontal="left"/>
    </xf>
    <xf numFmtId="164" fontId="44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164" fontId="10" fillId="15" borderId="7" xfId="8" applyNumberFormat="1" applyFont="1" applyBorder="1" applyAlignment="1" applyProtection="1">
      <alignment horizontal="left" vertical="center"/>
    </xf>
    <xf numFmtId="164" fontId="10" fillId="15" borderId="8" xfId="8" applyNumberFormat="1" applyFont="1" applyBorder="1" applyAlignment="1" applyProtection="1">
      <alignment horizontal="left" vertical="center"/>
    </xf>
    <xf numFmtId="164" fontId="10" fillId="15" borderId="9" xfId="8" applyNumberFormat="1" applyFont="1" applyBorder="1" applyAlignment="1" applyProtection="1">
      <alignment horizontal="left" vertical="center"/>
    </xf>
    <xf numFmtId="164" fontId="10" fillId="15" borderId="10" xfId="8" applyNumberFormat="1" applyFont="1" applyBorder="1" applyAlignment="1" applyProtection="1">
      <alignment horizontal="left" vertical="center"/>
    </xf>
    <xf numFmtId="164" fontId="10" fillId="15" borderId="11" xfId="8" applyNumberFormat="1" applyFont="1" applyBorder="1" applyAlignment="1" applyProtection="1">
      <alignment horizontal="left" vertical="center"/>
    </xf>
    <xf numFmtId="164" fontId="10" fillId="15" borderId="12" xfId="8" applyNumberFormat="1" applyFont="1" applyBorder="1" applyAlignment="1" applyProtection="1">
      <alignment horizontal="left" vertical="center"/>
    </xf>
    <xf numFmtId="164" fontId="44" fillId="7" borderId="5" xfId="5" applyNumberFormat="1" applyFont="1" applyBorder="1" applyAlignment="1" applyProtection="1">
      <alignment horizontal="left" vertical="center"/>
    </xf>
    <xf numFmtId="164" fontId="44" fillId="7" borderId="23" xfId="5" applyNumberFormat="1" applyFont="1" applyBorder="1" applyAlignment="1" applyProtection="1">
      <alignment horizontal="left" vertical="center"/>
    </xf>
    <xf numFmtId="164" fontId="44" fillId="7" borderId="6" xfId="5" applyNumberFormat="1" applyFont="1" applyBorder="1" applyAlignment="1" applyProtection="1">
      <alignment horizontal="left" vertical="center"/>
    </xf>
    <xf numFmtId="0" fontId="15" fillId="2" borderId="13" xfId="1" applyFont="1" applyBorder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 vertical="center"/>
    </xf>
    <xf numFmtId="164" fontId="19" fillId="13" borderId="90" xfId="2" quotePrefix="1" applyNumberFormat="1" applyFont="1" applyBorder="1" applyAlignment="1" applyProtection="1">
      <alignment horizontal="center" vertical="center"/>
      <protection locked="0"/>
    </xf>
    <xf numFmtId="164" fontId="19" fillId="13" borderId="0" xfId="2" applyNumberFormat="1" applyFont="1" applyBorder="1" applyAlignment="1" applyProtection="1">
      <alignment horizontal="center" vertical="center"/>
      <protection locked="0"/>
    </xf>
    <xf numFmtId="164" fontId="19" fillId="13" borderId="91" xfId="2" applyNumberFormat="1" applyFont="1" applyBorder="1" applyAlignment="1" applyProtection="1">
      <alignment horizontal="center" vertical="center"/>
      <protection locked="0"/>
    </xf>
    <xf numFmtId="164" fontId="19" fillId="13" borderId="90" xfId="2" applyNumberFormat="1" applyFont="1" applyBorder="1" applyAlignment="1" applyProtection="1">
      <alignment horizontal="center" vertical="center"/>
      <protection locked="0"/>
    </xf>
    <xf numFmtId="164" fontId="19" fillId="13" borderId="92" xfId="2" applyNumberFormat="1" applyFont="1" applyBorder="1" applyAlignment="1" applyProtection="1">
      <alignment horizontal="center" vertical="center"/>
      <protection locked="0"/>
    </xf>
    <xf numFmtId="0" fontId="0" fillId="26" borderId="2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1" fillId="2" borderId="121" xfId="1" applyBorder="1" applyAlignment="1" applyProtection="1">
      <alignment horizontal="center" vertical="center"/>
    </xf>
    <xf numFmtId="0" fontId="1" fillId="2" borderId="122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23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0" fontId="10" fillId="15" borderId="51" xfId="8" applyFont="1" applyBorder="1" applyAlignment="1" applyProtection="1">
      <alignment horizontal="center" vertical="center"/>
    </xf>
    <xf numFmtId="0" fontId="10" fillId="15" borderId="22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164" fontId="47" fillId="13" borderId="13" xfId="2" applyNumberFormat="1" applyFont="1" applyBorder="1" applyAlignment="1" applyProtection="1">
      <alignment horizontal="center" vertical="center"/>
      <protection locked="0"/>
    </xf>
    <xf numFmtId="164" fontId="47" fillId="13" borderId="1" xfId="2" applyNumberFormat="1" applyFont="1" applyAlignment="1" applyProtection="1">
      <alignment horizontal="center" vertical="center"/>
      <protection locked="0"/>
    </xf>
    <xf numFmtId="164" fontId="47" fillId="13" borderId="13" xfId="2" quotePrefix="1" applyNumberFormat="1" applyFont="1" applyBorder="1" applyAlignment="1" applyProtection="1">
      <alignment horizontal="center" vertical="center"/>
      <protection locked="0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1" xfId="1" applyFont="1" applyAlignment="1" applyProtection="1">
      <alignment horizontal="center" vertical="center"/>
    </xf>
    <xf numFmtId="164" fontId="48" fillId="6" borderId="24" xfId="4" applyNumberFormat="1" applyFont="1" applyAlignment="1" applyProtection="1">
      <alignment horizontal="center" vertical="center"/>
    </xf>
    <xf numFmtId="169" fontId="1" fillId="2" borderId="1" xfId="1" quotePrefix="1" applyNumberFormat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center" vertical="center"/>
    </xf>
    <xf numFmtId="164" fontId="44" fillId="7" borderId="23" xfId="5" applyNumberFormat="1" applyFont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center" vertical="center"/>
    </xf>
    <xf numFmtId="164" fontId="44" fillId="7" borderId="8" xfId="5" applyNumberFormat="1" applyFont="1" applyBorder="1" applyAlignment="1" applyProtection="1">
      <alignment horizontal="left" vertical="center"/>
    </xf>
    <xf numFmtId="164" fontId="44" fillId="7" borderId="9" xfId="5" applyNumberFormat="1" applyFont="1" applyBorder="1" applyAlignment="1" applyProtection="1">
      <alignment horizontal="left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44" fontId="57" fillId="15" borderId="111" xfId="8" applyNumberFormat="1" applyFont="1" applyBorder="1" applyAlignment="1" applyProtection="1">
      <alignment horizontal="center" vertical="center" wrapText="1"/>
    </xf>
    <xf numFmtId="44" fontId="57" fillId="15" borderId="22" xfId="8" applyNumberFormat="1" applyFont="1" applyBorder="1" applyAlignment="1" applyProtection="1">
      <alignment horizontal="center" vertical="center" wrapText="1"/>
    </xf>
    <xf numFmtId="44" fontId="57" fillId="15" borderId="112" xfId="8" applyNumberFormat="1" applyFont="1" applyBorder="1" applyAlignment="1" applyProtection="1">
      <alignment horizontal="center" vertical="center" wrapText="1"/>
    </xf>
    <xf numFmtId="44" fontId="57" fillId="15" borderId="10" xfId="8" applyNumberFormat="1" applyFont="1" applyBorder="1" applyAlignment="1" applyProtection="1">
      <alignment horizontal="center" vertical="center" wrapText="1"/>
    </xf>
    <xf numFmtId="44" fontId="57" fillId="15" borderId="11" xfId="8" applyNumberFormat="1" applyFont="1" applyBorder="1" applyAlignment="1" applyProtection="1">
      <alignment horizontal="center" vertical="center" wrapText="1"/>
    </xf>
    <xf numFmtId="44" fontId="57" fillId="15" borderId="12" xfId="8" applyNumberFormat="1" applyFont="1" applyBorder="1" applyAlignment="1" applyProtection="1">
      <alignment horizontal="center" vertical="center" wrapText="1"/>
    </xf>
    <xf numFmtId="0" fontId="39" fillId="6" borderId="83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166" fontId="3" fillId="13" borderId="1" xfId="2" applyNumberFormat="1" applyAlignment="1" applyProtection="1">
      <alignment horizontal="center"/>
    </xf>
    <xf numFmtId="44" fontId="57" fillId="15" borderId="2" xfId="8" applyNumberFormat="1" applyFont="1" applyBorder="1" applyAlignment="1" applyProtection="1">
      <alignment horizontal="center" vertical="center" wrapText="1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4" fontId="0" fillId="3" borderId="25" xfId="5" applyNumberFormat="1" applyFont="1" applyFill="1" applyAlignment="1">
      <alignment horizontal="center"/>
    </xf>
    <xf numFmtId="44" fontId="57" fillId="15" borderId="7" xfId="8" applyNumberFormat="1" applyFont="1" applyBorder="1" applyAlignment="1" applyProtection="1">
      <alignment horizontal="center" vertical="center" wrapText="1"/>
    </xf>
    <xf numFmtId="44" fontId="57" fillId="15" borderId="8" xfId="8" applyNumberFormat="1" applyFont="1" applyBorder="1" applyAlignment="1" applyProtection="1">
      <alignment horizontal="center" vertical="center" wrapText="1"/>
    </xf>
    <xf numFmtId="44" fontId="57" fillId="15" borderId="9" xfId="8" applyNumberFormat="1" applyFont="1" applyBorder="1" applyAlignment="1" applyProtection="1">
      <alignment horizontal="center" vertical="center" wrapText="1"/>
    </xf>
    <xf numFmtId="164" fontId="10" fillId="15" borderId="111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24" xfId="8" applyNumberFormat="1" applyFont="1" applyBorder="1" applyAlignment="1" applyProtection="1">
      <alignment horizontal="center" vertical="center"/>
    </xf>
    <xf numFmtId="164" fontId="10" fillId="15" borderId="54" xfId="8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60" fillId="7" borderId="2" xfId="5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15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0" fontId="39" fillId="6" borderId="53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 vertical="center"/>
    </xf>
    <xf numFmtId="44" fontId="57" fillId="15" borderId="60" xfId="8" applyNumberFormat="1" applyFont="1" applyBorder="1" applyAlignment="1" applyProtection="1">
      <alignment horizontal="center" vertical="center" wrapText="1"/>
    </xf>
    <xf numFmtId="44" fontId="57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4" xfId="5" applyNumberFormat="1" applyFont="1" applyFill="1" applyBorder="1" applyAlignment="1">
      <alignment horizontal="center"/>
    </xf>
    <xf numFmtId="0" fontId="39" fillId="6" borderId="54" xfId="4" applyFont="1" applyBorder="1" applyAlignment="1" applyProtection="1">
      <alignment horizontal="center"/>
    </xf>
    <xf numFmtId="0" fontId="39" fillId="6" borderId="55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164" fontId="10" fillId="15" borderId="111" xfId="8" applyNumberFormat="1" applyFont="1" applyBorder="1" applyAlignment="1" applyProtection="1">
      <alignment horizontal="center" vertical="center" wrapText="1"/>
    </xf>
    <xf numFmtId="164" fontId="10" fillId="15" borderId="112" xfId="8" applyNumberFormat="1" applyFont="1" applyBorder="1" applyAlignment="1" applyProtection="1">
      <alignment horizontal="center" vertical="center" wrapText="1"/>
    </xf>
    <xf numFmtId="49" fontId="40" fillId="13" borderId="121" xfId="2" applyNumberFormat="1" applyFont="1" applyBorder="1" applyAlignment="1" applyProtection="1">
      <alignment horizontal="center" vertical="center"/>
    </xf>
    <xf numFmtId="49" fontId="40" fillId="13" borderId="130" xfId="2" applyNumberFormat="1" applyFont="1" applyBorder="1" applyAlignment="1" applyProtection="1">
      <alignment horizontal="center" vertical="center"/>
    </xf>
    <xf numFmtId="0" fontId="0" fillId="12" borderId="6" xfId="0" applyFill="1" applyBorder="1" applyAlignment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44" fontId="57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164" fontId="59" fillId="29" borderId="2" xfId="9" applyNumberFormat="1" applyFont="1" applyFill="1" applyBorder="1" applyAlignment="1" applyProtection="1">
      <alignment horizontal="center" vertical="center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0" fontId="3" fillId="13" borderId="1" xfId="2" applyAlignment="1" applyProtection="1">
      <alignment horizontal="center"/>
      <protection locked="0"/>
    </xf>
    <xf numFmtId="164" fontId="10" fillId="37" borderId="2" xfId="0" applyNumberFormat="1" applyFont="1" applyFill="1" applyBorder="1" applyAlignment="1">
      <alignment horizontal="center" vertical="center" textRotation="255"/>
    </xf>
    <xf numFmtId="164" fontId="10" fillId="38" borderId="2" xfId="0" applyNumberFormat="1" applyFont="1" applyFill="1" applyBorder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64" fontId="10" fillId="37" borderId="2" xfId="0" applyNumberFormat="1" applyFont="1" applyFill="1" applyBorder="1" applyAlignment="1">
      <alignment horizontal="center" textRotation="255"/>
    </xf>
    <xf numFmtId="2" fontId="10" fillId="7" borderId="2" xfId="5" applyNumberFormat="1" applyFont="1" applyBorder="1" applyAlignment="1">
      <alignment horizontal="center" vertical="center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0" borderId="2" xfId="0" applyNumberFormat="1" applyFont="1" applyBorder="1" applyAlignment="1">
      <alignment horizontal="center" vertical="center"/>
    </xf>
    <xf numFmtId="170" fontId="3" fillId="13" borderId="5" xfId="2" quotePrefix="1" applyNumberFormat="1" applyBorder="1" applyAlignment="1">
      <alignment horizontal="center" vertical="center"/>
    </xf>
    <xf numFmtId="170" fontId="3" fillId="13" borderId="6" xfId="2" quotePrefix="1" applyNumberFormat="1" applyBorder="1" applyAlignment="1">
      <alignment horizontal="center" vertical="center"/>
    </xf>
    <xf numFmtId="164" fontId="10" fillId="7" borderId="2" xfId="5" quotePrefix="1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64" fontId="15" fillId="2" borderId="35" xfId="1" applyNumberFormat="1" applyFont="1" applyBorder="1" applyAlignment="1" applyProtection="1">
      <alignment horizontal="center" vertical="center"/>
    </xf>
    <xf numFmtId="164" fontId="15" fillId="2" borderId="3" xfId="1" applyNumberFormat="1" applyFont="1" applyBorder="1" applyAlignment="1" applyProtection="1">
      <alignment horizontal="center" vertic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4" fontId="22" fillId="6" borderId="83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164" fontId="10" fillId="0" borderId="2" xfId="0" applyNumberFormat="1" applyFont="1" applyBorder="1" applyAlignment="1">
      <alignment horizontal="center"/>
    </xf>
    <xf numFmtId="164" fontId="30" fillId="7" borderId="2" xfId="5" applyNumberFormat="1" applyFont="1" applyBorder="1" applyAlignment="1" applyProtection="1">
      <alignment horizontal="center"/>
    </xf>
    <xf numFmtId="164" fontId="35" fillId="11" borderId="2" xfId="6" applyNumberFormat="1" applyFont="1" applyBorder="1" applyAlignment="1" applyProtection="1">
      <alignment horizontal="center"/>
    </xf>
    <xf numFmtId="164" fontId="36" fillId="6" borderId="24" xfId="4" applyNumberFormat="1" applyFont="1" applyAlignment="1" applyProtection="1">
      <alignment horizontal="center"/>
    </xf>
    <xf numFmtId="0" fontId="10" fillId="0" borderId="0" xfId="0" applyFont="1"/>
    <xf numFmtId="164" fontId="17" fillId="2" borderId="2" xfId="1" applyNumberFormat="1" applyFont="1" applyBorder="1" applyAlignment="1" applyProtection="1">
      <alignment horizontal="center" vertical="center"/>
    </xf>
    <xf numFmtId="164" fontId="14" fillId="5" borderId="97" xfId="3" applyNumberFormat="1" applyFont="1" applyBorder="1" applyAlignment="1" applyProtection="1">
      <alignment horizontal="center" vertical="center"/>
    </xf>
    <xf numFmtId="164" fontId="14" fillId="5" borderId="22" xfId="3" applyNumberFormat="1" applyFont="1" applyBorder="1" applyAlignment="1" applyProtection="1">
      <alignment horizontal="center" vertical="center"/>
    </xf>
    <xf numFmtId="164" fontId="14" fillId="5" borderId="56" xfId="3" applyNumberFormat="1" applyFont="1" applyBorder="1" applyAlignment="1" applyProtection="1">
      <alignment horizontal="center" vertical="center"/>
    </xf>
    <xf numFmtId="164" fontId="14" fillId="5" borderId="7" xfId="3" applyNumberFormat="1" applyFont="1" applyBorder="1" applyAlignment="1" applyProtection="1">
      <alignment horizontal="center" vertical="center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4" fontId="37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wrapText="1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2" fillId="6" borderId="55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 vertical="center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88" xfId="2" applyNumberFormat="1" applyFont="1" applyBorder="1" applyAlignment="1" applyProtection="1">
      <alignment horizontal="center" vertical="center"/>
      <protection locked="0"/>
    </xf>
    <xf numFmtId="164" fontId="19" fillId="13" borderId="84" xfId="2" quotePrefix="1" applyNumberFormat="1" applyFont="1" applyBorder="1" applyAlignment="1" applyProtection="1">
      <alignment horizontal="center" vertical="center"/>
      <protection locked="0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92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91" xfId="2" quotePrefix="1" applyNumberFormat="1" applyFont="1" applyBorder="1" applyAlignment="1" applyProtection="1">
      <alignment horizontal="center" vertical="center"/>
      <protection locked="0"/>
    </xf>
    <xf numFmtId="164" fontId="19" fillId="13" borderId="89" xfId="2" applyNumberFormat="1" applyFont="1" applyBorder="1" applyAlignment="1" applyProtection="1">
      <alignment horizontal="center" vertical="center"/>
      <protection locked="0"/>
    </xf>
    <xf numFmtId="164" fontId="19" fillId="13" borderId="85" xfId="2" quotePrefix="1" applyNumberFormat="1" applyFont="1" applyBorder="1" applyAlignment="1" applyProtection="1">
      <alignment horizontal="center" vertical="center"/>
      <protection locked="0"/>
    </xf>
    <xf numFmtId="164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9" fillId="13" borderId="87" xfId="2" quotePrefix="1" applyNumberFormat="1" applyFont="1" applyBorder="1" applyAlignment="1" applyProtection="1">
      <alignment horizontal="center" vertical="center"/>
      <protection locked="0"/>
    </xf>
    <xf numFmtId="164" fontId="10" fillId="9" borderId="105" xfId="0" applyNumberFormat="1" applyFont="1" applyFill="1" applyBorder="1" applyAlignment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  <xf numFmtId="0" fontId="0" fillId="0" borderId="0" xfId="0" applyFont="1"/>
    <xf numFmtId="0" fontId="0" fillId="8" borderId="0" xfId="0" applyFont="1" applyFill="1"/>
    <xf numFmtId="164" fontId="4" fillId="3" borderId="0" xfId="3" applyNumberFormat="1" applyFont="1" applyFill="1" applyProtection="1"/>
    <xf numFmtId="164" fontId="0" fillId="0" borderId="0" xfId="0" applyNumberFormat="1" applyFont="1"/>
    <xf numFmtId="164" fontId="0" fillId="0" borderId="2" xfId="0" applyNumberFormat="1" applyFont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4" borderId="2" xfId="0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164" fontId="72" fillId="0" borderId="0" xfId="0" applyNumberFormat="1" applyFont="1" applyBorder="1" applyAlignment="1">
      <alignment horizontal="center"/>
    </xf>
    <xf numFmtId="164" fontId="0" fillId="21" borderId="2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164" fontId="0" fillId="0" borderId="5" xfId="0" applyNumberFormat="1" applyFont="1" applyBorder="1" applyAlignment="1">
      <alignment horizontal="center"/>
    </xf>
    <xf numFmtId="164" fontId="0" fillId="0" borderId="6" xfId="0" applyNumberFormat="1" applyFon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164" fontId="0" fillId="0" borderId="0" xfId="0" applyNumberFormat="1" applyFont="1" applyBorder="1"/>
    <xf numFmtId="164" fontId="0" fillId="0" borderId="132" xfId="0" applyNumberFormat="1" applyFont="1" applyBorder="1"/>
    <xf numFmtId="164" fontId="0" fillId="0" borderId="132" xfId="0" applyNumberFormat="1" applyFont="1" applyBorder="1" applyAlignment="1">
      <alignment horizontal="center"/>
    </xf>
    <xf numFmtId="0" fontId="0" fillId="0" borderId="132" xfId="0" applyFont="1" applyBorder="1"/>
    <xf numFmtId="164" fontId="0" fillId="21" borderId="5" xfId="0" applyNumberFormat="1" applyFont="1" applyFill="1" applyBorder="1" applyAlignment="1">
      <alignment horizontal="center"/>
    </xf>
    <xf numFmtId="164" fontId="0" fillId="21" borderId="6" xfId="0" applyNumberFormat="1" applyFont="1" applyFill="1" applyBorder="1" applyAlignment="1">
      <alignment horizontal="center"/>
    </xf>
    <xf numFmtId="164" fontId="0" fillId="41" borderId="0" xfId="0" applyNumberFormat="1" applyFont="1" applyFill="1" applyBorder="1" applyAlignment="1">
      <alignment horizontal="center"/>
    </xf>
    <xf numFmtId="0" fontId="0" fillId="0" borderId="0" xfId="0" applyFont="1" applyBorder="1"/>
    <xf numFmtId="0" fontId="0" fillId="4" borderId="29" xfId="0" applyFont="1" applyFill="1" applyBorder="1" applyAlignment="1">
      <alignment horizontal="center"/>
    </xf>
    <xf numFmtId="0" fontId="68" fillId="4" borderId="2" xfId="0" applyFont="1" applyFill="1" applyBorder="1" applyAlignment="1">
      <alignment horizontal="center"/>
    </xf>
    <xf numFmtId="164" fontId="0" fillId="4" borderId="2" xfId="0" applyNumberFormat="1" applyFont="1" applyFill="1" applyBorder="1" applyAlignment="1">
      <alignment horizontal="center" vertical="center"/>
    </xf>
    <xf numFmtId="164" fontId="0" fillId="9" borderId="2" xfId="0" applyNumberFormat="1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28" xfId="0" applyFont="1" applyFill="1" applyBorder="1" applyAlignment="1">
      <alignment horizontal="center"/>
    </xf>
    <xf numFmtId="164" fontId="0" fillId="4" borderId="29" xfId="0" applyNumberFormat="1" applyFont="1" applyFill="1" applyBorder="1" applyAlignment="1">
      <alignment horizontal="center"/>
    </xf>
    <xf numFmtId="164" fontId="0" fillId="21" borderId="7" xfId="0" applyNumberFormat="1" applyFont="1" applyFill="1" applyBorder="1" applyAlignment="1">
      <alignment horizontal="center" vertical="center"/>
    </xf>
    <xf numFmtId="164" fontId="0" fillId="21" borderId="9" xfId="0" applyNumberFormat="1" applyFont="1" applyFill="1" applyBorder="1" applyAlignment="1">
      <alignment horizontal="center" vertical="center"/>
    </xf>
    <xf numFmtId="164" fontId="0" fillId="21" borderId="45" xfId="0" applyNumberFormat="1" applyFont="1" applyFill="1" applyBorder="1" applyAlignment="1">
      <alignment horizontal="center" vertical="center"/>
    </xf>
    <xf numFmtId="164" fontId="0" fillId="21" borderId="4" xfId="0" applyNumberFormat="1" applyFont="1" applyFill="1" applyBorder="1" applyAlignment="1">
      <alignment horizontal="center" vertical="center"/>
    </xf>
    <xf numFmtId="164" fontId="0" fillId="21" borderId="10" xfId="0" applyNumberFormat="1" applyFont="1" applyFill="1" applyBorder="1" applyAlignment="1">
      <alignment horizontal="center" vertical="center"/>
    </xf>
    <xf numFmtId="164" fontId="0" fillId="21" borderId="12" xfId="0" applyNumberFormat="1" applyFont="1" applyFill="1" applyBorder="1" applyAlignment="1">
      <alignment horizontal="center" vertical="center"/>
    </xf>
    <xf numFmtId="164" fontId="74" fillId="40" borderId="5" xfId="0" applyNumberFormat="1" applyFont="1" applyFill="1" applyBorder="1" applyAlignment="1">
      <alignment horizontal="center"/>
    </xf>
    <xf numFmtId="164" fontId="74" fillId="40" borderId="6" xfId="0" applyNumberFormat="1" applyFont="1" applyFill="1" applyBorder="1" applyAlignment="1">
      <alignment horizontal="center"/>
    </xf>
    <xf numFmtId="0" fontId="74" fillId="40" borderId="28" xfId="0" applyFont="1" applyFill="1" applyBorder="1" applyAlignment="1">
      <alignment horizontal="center"/>
    </xf>
    <xf numFmtId="164" fontId="74" fillId="40" borderId="2" xfId="0" applyNumberFormat="1" applyFont="1" applyFill="1" applyBorder="1" applyAlignment="1">
      <alignment horizontal="center"/>
    </xf>
    <xf numFmtId="164" fontId="74" fillId="40" borderId="45" xfId="0" applyNumberFormat="1" applyFont="1" applyFill="1" applyBorder="1" applyAlignment="1">
      <alignment horizontal="center" vertical="center"/>
    </xf>
    <xf numFmtId="164" fontId="74" fillId="40" borderId="2" xfId="0" applyNumberFormat="1" applyFont="1" applyFill="1" applyBorder="1" applyAlignment="1">
      <alignment horizontal="center" vertical="center"/>
    </xf>
    <xf numFmtId="164" fontId="74" fillId="0" borderId="0" xfId="0" applyNumberFormat="1" applyFont="1" applyBorder="1"/>
    <xf numFmtId="164" fontId="74" fillId="0" borderId="0" xfId="0" applyNumberFormat="1" applyFont="1"/>
    <xf numFmtId="164" fontId="74" fillId="7" borderId="69" xfId="5" quotePrefix="1" applyNumberFormat="1" applyFont="1" applyBorder="1" applyAlignment="1" applyProtection="1">
      <alignment horizontal="left"/>
    </xf>
    <xf numFmtId="164" fontId="74" fillId="7" borderId="70" xfId="5" quotePrefix="1" applyNumberFormat="1" applyFont="1" applyBorder="1" applyAlignment="1" applyProtection="1">
      <alignment horizontal="left"/>
    </xf>
    <xf numFmtId="164" fontId="74" fillId="7" borderId="71" xfId="5" quotePrefix="1" applyNumberFormat="1" applyFont="1" applyBorder="1" applyAlignment="1" applyProtection="1">
      <alignment horizontal="left"/>
    </xf>
    <xf numFmtId="164" fontId="74" fillId="7" borderId="96" xfId="5" applyNumberFormat="1" applyFont="1" applyBorder="1" applyAlignment="1" applyProtection="1">
      <alignment horizontal="center"/>
    </xf>
    <xf numFmtId="164" fontId="74" fillId="7" borderId="67" xfId="5" applyNumberFormat="1" applyFont="1" applyBorder="1" applyAlignment="1" applyProtection="1">
      <alignment horizontal="left"/>
    </xf>
    <xf numFmtId="164" fontId="74" fillId="7" borderId="78" xfId="5" applyNumberFormat="1" applyFont="1" applyBorder="1" applyAlignment="1" applyProtection="1">
      <alignment horizontal="left"/>
    </xf>
    <xf numFmtId="164" fontId="74" fillId="7" borderId="66" xfId="5" applyNumberFormat="1" applyFont="1" applyBorder="1" applyAlignment="1" applyProtection="1">
      <alignment horizontal="left"/>
    </xf>
    <xf numFmtId="164" fontId="74" fillId="7" borderId="74" xfId="5" applyNumberFormat="1" applyFont="1" applyBorder="1" applyAlignment="1" applyProtection="1">
      <alignment horizontal="center"/>
    </xf>
    <xf numFmtId="164" fontId="74" fillId="7" borderId="75" xfId="5" applyNumberFormat="1" applyFont="1" applyBorder="1" applyAlignment="1" applyProtection="1">
      <alignment horizontal="center"/>
    </xf>
    <xf numFmtId="164" fontId="74" fillId="7" borderId="29" xfId="5" applyNumberFormat="1" applyFont="1" applyBorder="1" applyAlignment="1" applyProtection="1">
      <alignment horizontal="center"/>
    </xf>
    <xf numFmtId="164" fontId="74" fillId="7" borderId="68" xfId="5" applyNumberFormat="1" applyFont="1" applyBorder="1" applyAlignment="1" applyProtection="1">
      <alignment horizontal="left"/>
    </xf>
    <xf numFmtId="164" fontId="74" fillId="7" borderId="76" xfId="5" applyNumberFormat="1" applyFont="1" applyBorder="1" applyAlignment="1" applyProtection="1">
      <alignment horizontal="left"/>
    </xf>
    <xf numFmtId="164" fontId="74" fillId="7" borderId="77" xfId="5" applyNumberFormat="1" applyFont="1" applyBorder="1" applyAlignment="1" applyProtection="1">
      <alignment horizontal="left"/>
    </xf>
    <xf numFmtId="164" fontId="74" fillId="7" borderId="72" xfId="5" applyNumberFormat="1" applyFont="1" applyBorder="1" applyAlignment="1" applyProtection="1">
      <alignment horizontal="center"/>
    </xf>
    <xf numFmtId="164" fontId="74" fillId="7" borderId="73" xfId="5" applyNumberFormat="1" applyFont="1" applyBorder="1" applyAlignment="1" applyProtection="1">
      <alignment horizontal="center"/>
    </xf>
    <xf numFmtId="0" fontId="0" fillId="4" borderId="2" xfId="0" applyFont="1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4" fontId="72" fillId="4" borderId="29" xfId="0" applyNumberFormat="1" applyFont="1" applyFill="1" applyBorder="1" applyAlignment="1">
      <alignment horizontal="center" vertical="center"/>
    </xf>
    <xf numFmtId="164" fontId="74" fillId="40" borderId="28" xfId="0" applyNumberFormat="1" applyFont="1" applyFill="1" applyBorder="1" applyAlignment="1">
      <alignment horizontal="center"/>
    </xf>
    <xf numFmtId="164" fontId="0" fillId="21" borderId="28" xfId="0" applyNumberFormat="1" applyFont="1" applyFill="1" applyBorder="1" applyAlignment="1">
      <alignment horizontal="center"/>
    </xf>
    <xf numFmtId="164" fontId="57" fillId="0" borderId="2" xfId="0" applyNumberFormat="1" applyFont="1" applyBorder="1" applyAlignment="1">
      <alignment horizontal="center" vertical="center"/>
    </xf>
    <xf numFmtId="164" fontId="74" fillId="0" borderId="133" xfId="0" applyNumberFormat="1" applyFont="1" applyBorder="1" applyAlignment="1">
      <alignment horizontal="center" vertical="center"/>
    </xf>
    <xf numFmtId="166" fontId="76" fillId="2" borderId="134" xfId="7" applyNumberFormat="1" applyFont="1" applyBorder="1" applyAlignment="1">
      <alignment horizontal="center" vertical="center"/>
    </xf>
    <xf numFmtId="166" fontId="63" fillId="7" borderId="29" xfId="5" applyNumberFormat="1" applyFont="1" applyBorder="1" applyAlignment="1">
      <alignment horizontal="center" vertical="center"/>
    </xf>
    <xf numFmtId="166" fontId="63" fillId="7" borderId="2" xfId="5" applyNumberFormat="1" applyFont="1" applyBorder="1" applyAlignment="1">
      <alignment horizontal="center" vertical="center"/>
    </xf>
    <xf numFmtId="164" fontId="72" fillId="4" borderId="2" xfId="0" applyNumberFormat="1" applyFont="1" applyFill="1" applyBorder="1" applyAlignment="1">
      <alignment horizontal="center" vertical="center"/>
    </xf>
    <xf numFmtId="164" fontId="74" fillId="40" borderId="23" xfId="0" applyNumberFormat="1" applyFont="1" applyFill="1" applyBorder="1" applyAlignment="1">
      <alignment horizontal="center"/>
    </xf>
    <xf numFmtId="164" fontId="10" fillId="7" borderId="5" xfId="5" quotePrefix="1" applyNumberFormat="1" applyFont="1" applyBorder="1" applyAlignment="1" applyProtection="1">
      <alignment horizontal="left"/>
    </xf>
    <xf numFmtId="164" fontId="10" fillId="7" borderId="23" xfId="5" quotePrefix="1" applyNumberFormat="1" applyFont="1" applyBorder="1" applyAlignment="1" applyProtection="1">
      <alignment horizontal="left"/>
    </xf>
    <xf numFmtId="164" fontId="10" fillId="7" borderId="6" xfId="5" quotePrefix="1" applyNumberFormat="1" applyFont="1" applyBorder="1" applyAlignment="1" applyProtection="1">
      <alignment horizontal="left"/>
    </xf>
    <xf numFmtId="0" fontId="74" fillId="40" borderId="5" xfId="0" applyFont="1" applyFill="1" applyBorder="1" applyAlignment="1">
      <alignment horizontal="center"/>
    </xf>
    <xf numFmtId="0" fontId="74" fillId="40" borderId="23" xfId="0" applyFont="1" applyFill="1" applyBorder="1" applyAlignment="1">
      <alignment horizontal="center"/>
    </xf>
    <xf numFmtId="0" fontId="74" fillId="40" borderId="6" xfId="0" applyFont="1" applyFill="1" applyBorder="1" applyAlignment="1">
      <alignment horizontal="center"/>
    </xf>
    <xf numFmtId="164" fontId="10" fillId="4" borderId="2" xfId="0" applyNumberFormat="1" applyFont="1" applyFill="1" applyBorder="1" applyAlignment="1">
      <alignment horizontal="center" vertical="center"/>
    </xf>
    <xf numFmtId="0" fontId="71" fillId="0" borderId="0" xfId="0" applyFont="1"/>
    <xf numFmtId="164" fontId="74" fillId="40" borderId="28" xfId="0" applyNumberFormat="1" applyFont="1" applyFill="1" applyBorder="1" applyAlignment="1">
      <alignment horizontal="center" vertical="center"/>
    </xf>
    <xf numFmtId="164" fontId="74" fillId="40" borderId="29" xfId="0" applyNumberFormat="1" applyFont="1" applyFill="1" applyBorder="1" applyAlignment="1">
      <alignment horizontal="center" vertical="center"/>
    </xf>
    <xf numFmtId="164" fontId="57" fillId="40" borderId="28" xfId="0" applyNumberFormat="1" applyFont="1" applyFill="1" applyBorder="1" applyAlignment="1">
      <alignment horizontal="center" vertical="center"/>
    </xf>
    <xf numFmtId="164" fontId="57" fillId="40" borderId="29" xfId="0" applyNumberFormat="1" applyFont="1" applyFill="1" applyBorder="1" applyAlignment="1">
      <alignment horizontal="center" vertical="center"/>
    </xf>
    <xf numFmtId="164" fontId="0" fillId="21" borderId="29" xfId="0" applyNumberFormat="1" applyFont="1" applyFill="1" applyBorder="1" applyAlignment="1">
      <alignment horizontal="center"/>
    </xf>
    <xf numFmtId="164" fontId="10" fillId="4" borderId="2" xfId="0" applyNumberFormat="1" applyFont="1" applyFill="1" applyBorder="1" applyAlignment="1">
      <alignment horizontal="center" vertical="center" wrapText="1"/>
    </xf>
    <xf numFmtId="164" fontId="0" fillId="21" borderId="23" xfId="0" applyNumberFormat="1" applyFont="1" applyFill="1" applyBorder="1" applyAlignment="1">
      <alignment horizontal="center"/>
    </xf>
    <xf numFmtId="164" fontId="74" fillId="40" borderId="5" xfId="0" applyNumberFormat="1" applyFont="1" applyFill="1" applyBorder="1" applyAlignment="1">
      <alignment horizontal="right"/>
    </xf>
    <xf numFmtId="164" fontId="74" fillId="40" borderId="7" xfId="0" applyNumberFormat="1" applyFont="1" applyFill="1" applyBorder="1" applyAlignment="1">
      <alignment horizontal="center" vertical="center"/>
    </xf>
    <xf numFmtId="164" fontId="74" fillId="40" borderId="9" xfId="0" applyNumberFormat="1" applyFont="1" applyFill="1" applyBorder="1" applyAlignment="1">
      <alignment horizontal="center" vertical="center"/>
    </xf>
    <xf numFmtId="164" fontId="74" fillId="40" borderId="4" xfId="0" applyNumberFormat="1" applyFont="1" applyFill="1" applyBorder="1" applyAlignment="1">
      <alignment horizontal="center" vertical="center"/>
    </xf>
    <xf numFmtId="164" fontId="74" fillId="40" borderId="10" xfId="0" applyNumberFormat="1" applyFont="1" applyFill="1" applyBorder="1" applyAlignment="1">
      <alignment horizontal="center" vertical="center"/>
    </xf>
    <xf numFmtId="164" fontId="74" fillId="40" borderId="12" xfId="0" applyNumberFormat="1" applyFont="1" applyFill="1" applyBorder="1" applyAlignment="1">
      <alignment horizontal="center" vertical="center"/>
    </xf>
    <xf numFmtId="170" fontId="57" fillId="0" borderId="2" xfId="0" applyNumberFormat="1" applyFont="1" applyBorder="1" applyAlignment="1">
      <alignment horizontal="center" vertical="center"/>
    </xf>
    <xf numFmtId="164" fontId="57" fillId="0" borderId="2" xfId="0" applyNumberFormat="1" applyFont="1" applyBorder="1" applyAlignment="1">
      <alignment horizontal="center" vertical="center"/>
    </xf>
    <xf numFmtId="167" fontId="57" fillId="0" borderId="29" xfId="0" quotePrefix="1" applyNumberFormat="1" applyFont="1" applyBorder="1" applyAlignment="1">
      <alignment horizontal="center" vertical="center"/>
    </xf>
    <xf numFmtId="167" fontId="57" fillId="0" borderId="29" xfId="0" applyNumberFormat="1" applyFont="1" applyBorder="1" applyAlignment="1">
      <alignment horizontal="center" vertical="center"/>
    </xf>
    <xf numFmtId="166" fontId="57" fillId="0" borderId="28" xfId="0" applyNumberFormat="1" applyFont="1" applyBorder="1" applyAlignment="1">
      <alignment horizontal="center" vertical="center"/>
    </xf>
    <xf numFmtId="166" fontId="57" fillId="0" borderId="29" xfId="0" applyNumberFormat="1" applyFont="1" applyBorder="1" applyAlignment="1">
      <alignment horizontal="center" vertical="center"/>
    </xf>
    <xf numFmtId="167" fontId="57" fillId="0" borderId="2" xfId="0" quotePrefix="1" applyNumberFormat="1" applyFont="1" applyBorder="1" applyAlignment="1">
      <alignment horizontal="center" vertical="center"/>
    </xf>
    <xf numFmtId="166" fontId="57" fillId="0" borderId="60" xfId="0" applyNumberFormat="1" applyFont="1" applyBorder="1" applyAlignment="1">
      <alignment horizontal="center" vertical="center"/>
    </xf>
    <xf numFmtId="166" fontId="57" fillId="0" borderId="29" xfId="0" applyNumberFormat="1" applyFont="1" applyBorder="1" applyAlignment="1">
      <alignment horizontal="center" vertical="center"/>
    </xf>
    <xf numFmtId="164" fontId="10" fillId="4" borderId="7" xfId="0" applyNumberFormat="1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164" fontId="10" fillId="4" borderId="10" xfId="0" applyNumberFormat="1" applyFont="1" applyFill="1" applyBorder="1" applyAlignment="1">
      <alignment horizontal="center" vertical="center"/>
    </xf>
    <xf numFmtId="164" fontId="10" fillId="4" borderId="11" xfId="0" applyNumberFormat="1" applyFont="1" applyFill="1" applyBorder="1" applyAlignment="1">
      <alignment horizontal="center" vertical="center"/>
    </xf>
    <xf numFmtId="164" fontId="74" fillId="7" borderId="25" xfId="5" applyNumberFormat="1" applyFont="1" applyAlignment="1" applyProtection="1">
      <alignment horizontal="center"/>
    </xf>
    <xf numFmtId="164" fontId="0" fillId="21" borderId="8" xfId="0" applyNumberFormat="1" applyFont="1" applyFill="1" applyBorder="1" applyAlignment="1">
      <alignment horizontal="center" vertical="center"/>
    </xf>
    <xf numFmtId="164" fontId="0" fillId="21" borderId="0" xfId="0" applyNumberFormat="1" applyFont="1" applyFill="1" applyBorder="1" applyAlignment="1">
      <alignment horizontal="center" vertical="center"/>
    </xf>
    <xf numFmtId="164" fontId="0" fillId="21" borderId="11" xfId="0" applyNumberFormat="1" applyFont="1" applyFill="1" applyBorder="1" applyAlignment="1">
      <alignment horizontal="center" vertical="center"/>
    </xf>
    <xf numFmtId="164" fontId="74" fillId="40" borderId="135" xfId="0" applyNumberFormat="1" applyFont="1" applyFill="1" applyBorder="1" applyAlignment="1">
      <alignment horizontal="center"/>
    </xf>
    <xf numFmtId="164" fontId="74" fillId="40" borderId="136" xfId="0" applyNumberFormat="1" applyFont="1" applyFill="1" applyBorder="1" applyAlignment="1">
      <alignment horizontal="center"/>
    </xf>
    <xf numFmtId="164" fontId="0" fillId="21" borderId="135" xfId="0" applyNumberFormat="1" applyFont="1" applyFill="1" applyBorder="1" applyAlignment="1">
      <alignment horizontal="center"/>
    </xf>
    <xf numFmtId="164" fontId="0" fillId="21" borderId="136" xfId="0" applyNumberFormat="1" applyFont="1" applyFill="1" applyBorder="1" applyAlignment="1">
      <alignment horizontal="center"/>
    </xf>
    <xf numFmtId="0" fontId="0" fillId="4" borderId="10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164" fontId="74" fillId="40" borderId="23" xfId="0" applyNumberFormat="1" applyFont="1" applyFill="1" applyBorder="1" applyAlignment="1">
      <alignment horizontal="right"/>
    </xf>
    <xf numFmtId="0" fontId="0" fillId="4" borderId="98" xfId="0" applyFont="1" applyFill="1" applyBorder="1" applyAlignment="1">
      <alignment horizontal="center"/>
    </xf>
    <xf numFmtId="0" fontId="0" fillId="4" borderId="139" xfId="0" applyFont="1" applyFill="1" applyBorder="1" applyAlignment="1">
      <alignment horizontal="center"/>
    </xf>
    <xf numFmtId="0" fontId="74" fillId="40" borderId="135" xfId="0" applyFont="1" applyFill="1" applyBorder="1" applyAlignment="1">
      <alignment horizontal="center"/>
    </xf>
    <xf numFmtId="0" fontId="74" fillId="40" borderId="136" xfId="0" applyFont="1" applyFill="1" applyBorder="1" applyAlignment="1">
      <alignment horizontal="center"/>
    </xf>
    <xf numFmtId="164" fontId="74" fillId="7" borderId="25" xfId="5" applyNumberFormat="1" applyFont="1" applyAlignment="1" applyProtection="1"/>
    <xf numFmtId="164" fontId="74" fillId="7" borderId="25" xfId="5" quotePrefix="1" applyNumberFormat="1" applyFont="1" applyAlignment="1" applyProtection="1"/>
    <xf numFmtId="0" fontId="81" fillId="4" borderId="138" xfId="0" applyFont="1" applyFill="1" applyBorder="1" applyAlignment="1">
      <alignment horizontal="center"/>
    </xf>
    <xf numFmtId="0" fontId="81" fillId="4" borderId="129" xfId="0" applyFont="1" applyFill="1" applyBorder="1" applyAlignment="1">
      <alignment horizontal="center"/>
    </xf>
    <xf numFmtId="0" fontId="81" fillId="4" borderId="14" xfId="0" applyFont="1" applyFill="1" applyBorder="1" applyAlignment="1">
      <alignment horizontal="center"/>
    </xf>
    <xf numFmtId="0" fontId="81" fillId="4" borderId="15" xfId="0" applyFont="1" applyFill="1" applyBorder="1" applyAlignment="1">
      <alignment horizontal="center"/>
    </xf>
    <xf numFmtId="0" fontId="81" fillId="4" borderId="16" xfId="0" applyFont="1" applyFill="1" applyBorder="1" applyAlignment="1">
      <alignment horizontal="center"/>
    </xf>
    <xf numFmtId="164" fontId="74" fillId="7" borderId="25" xfId="5" applyNumberFormat="1" applyFont="1" applyAlignment="1">
      <alignment horizontal="center"/>
    </xf>
    <xf numFmtId="164" fontId="64" fillId="7" borderId="25" xfId="5" applyNumberFormat="1" applyFont="1" applyAlignment="1">
      <alignment horizontal="center"/>
    </xf>
    <xf numFmtId="164" fontId="74" fillId="7" borderId="25" xfId="5" quotePrefix="1" applyNumberFormat="1" applyFont="1" applyAlignment="1" applyProtection="1">
      <alignment horizontal="center"/>
    </xf>
    <xf numFmtId="164" fontId="10" fillId="4" borderId="9" xfId="0" applyNumberFormat="1" applyFont="1" applyFill="1" applyBorder="1" applyAlignment="1">
      <alignment horizontal="center" vertical="center"/>
    </xf>
    <xf numFmtId="164" fontId="10" fillId="4" borderId="12" xfId="0" applyNumberFormat="1" applyFont="1" applyFill="1" applyBorder="1" applyAlignment="1">
      <alignment horizontal="center" vertical="center"/>
    </xf>
    <xf numFmtId="164" fontId="74" fillId="0" borderId="5" xfId="0" applyNumberFormat="1" applyFont="1" applyFill="1" applyBorder="1" applyAlignment="1">
      <alignment horizontal="center" vertical="center"/>
    </xf>
    <xf numFmtId="164" fontId="57" fillId="0" borderId="23" xfId="0" applyNumberFormat="1" applyFont="1" applyFill="1" applyBorder="1" applyAlignment="1">
      <alignment horizontal="center" vertical="center"/>
    </xf>
    <xf numFmtId="164" fontId="74" fillId="0" borderId="94" xfId="0" applyNumberFormat="1" applyFont="1" applyFill="1" applyBorder="1" applyAlignment="1">
      <alignment horizontal="center"/>
    </xf>
    <xf numFmtId="164" fontId="74" fillId="0" borderId="2" xfId="0" applyNumberFormat="1" applyFont="1" applyFill="1" applyBorder="1" applyAlignment="1">
      <alignment horizontal="center"/>
    </xf>
    <xf numFmtId="164" fontId="74" fillId="0" borderId="95" xfId="0" applyNumberFormat="1" applyFont="1" applyFill="1" applyBorder="1" applyAlignment="1">
      <alignment horizontal="center"/>
    </xf>
    <xf numFmtId="164" fontId="74" fillId="0" borderId="6" xfId="0" applyNumberFormat="1" applyFont="1" applyFill="1" applyBorder="1" applyAlignment="1">
      <alignment horizontal="center"/>
    </xf>
    <xf numFmtId="164" fontId="74" fillId="0" borderId="5" xfId="0" applyNumberFormat="1" applyFont="1" applyFill="1" applyBorder="1" applyAlignment="1">
      <alignment horizontal="center"/>
    </xf>
    <xf numFmtId="164" fontId="0" fillId="0" borderId="2" xfId="0" applyNumberFormat="1" applyFont="1" applyFill="1" applyBorder="1" applyAlignment="1">
      <alignment horizontal="center"/>
    </xf>
    <xf numFmtId="164" fontId="0" fillId="0" borderId="5" xfId="0" applyNumberFormat="1" applyFont="1" applyFill="1" applyBorder="1" applyAlignment="1">
      <alignment horizontal="center"/>
    </xf>
    <xf numFmtId="164" fontId="0" fillId="0" borderId="94" xfId="0" applyNumberFormat="1" applyFont="1" applyFill="1" applyBorder="1" applyAlignment="1">
      <alignment horizontal="center"/>
    </xf>
    <xf numFmtId="164" fontId="0" fillId="0" borderId="95" xfId="0" applyNumberFormat="1" applyFont="1" applyFill="1" applyBorder="1" applyAlignment="1">
      <alignment horizontal="center"/>
    </xf>
    <xf numFmtId="164" fontId="0" fillId="0" borderId="6" xfId="0" applyNumberFormat="1" applyFont="1" applyFill="1" applyBorder="1" applyAlignment="1">
      <alignment horizontal="center"/>
    </xf>
    <xf numFmtId="170" fontId="74" fillId="0" borderId="94" xfId="0" applyNumberFormat="1" applyFont="1" applyFill="1" applyBorder="1" applyAlignment="1"/>
    <xf numFmtId="164" fontId="74" fillId="0" borderId="2" xfId="0" applyNumberFormat="1" applyFont="1" applyFill="1" applyBorder="1" applyAlignment="1"/>
    <xf numFmtId="170" fontId="74" fillId="0" borderId="6" xfId="0" applyNumberFormat="1" applyFont="1" applyFill="1" applyBorder="1" applyAlignment="1"/>
    <xf numFmtId="164" fontId="74" fillId="0" borderId="94" xfId="0" applyNumberFormat="1" applyFont="1" applyFill="1" applyBorder="1" applyAlignment="1"/>
    <xf numFmtId="164" fontId="74" fillId="0" borderId="6" xfId="0" applyNumberFormat="1" applyFont="1" applyFill="1" applyBorder="1" applyAlignment="1"/>
    <xf numFmtId="166" fontId="10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170" fontId="10" fillId="0" borderId="0" xfId="0" applyNumberFormat="1" applyFont="1" applyFill="1" applyBorder="1" applyAlignment="1">
      <alignment horizontal="center"/>
    </xf>
    <xf numFmtId="164" fontId="10" fillId="0" borderId="0" xfId="0" applyNumberFormat="1" applyFont="1" applyFill="1" applyBorder="1" applyAlignment="1">
      <alignment horizontal="center"/>
    </xf>
    <xf numFmtId="164" fontId="10" fillId="0" borderId="0" xfId="0" applyNumberFormat="1" applyFont="1" applyFill="1" applyBorder="1"/>
    <xf numFmtId="167" fontId="10" fillId="0" borderId="0" xfId="0" applyNumberFormat="1" applyFont="1" applyFill="1" applyBorder="1"/>
    <xf numFmtId="164" fontId="0" fillId="21" borderId="94" xfId="0" applyNumberFormat="1" applyFont="1" applyFill="1" applyBorder="1" applyAlignment="1">
      <alignment horizontal="center"/>
    </xf>
    <xf numFmtId="164" fontId="0" fillId="21" borderId="95" xfId="0" applyNumberFormat="1" applyFont="1" applyFill="1" applyBorder="1" applyAlignment="1">
      <alignment horizontal="center"/>
    </xf>
    <xf numFmtId="164" fontId="0" fillId="9" borderId="5" xfId="0" applyNumberFormat="1" applyFont="1" applyFill="1" applyBorder="1" applyAlignment="1">
      <alignment horizontal="center"/>
    </xf>
    <xf numFmtId="164" fontId="0" fillId="9" borderId="94" xfId="0" applyNumberFormat="1" applyFont="1" applyFill="1" applyBorder="1" applyAlignment="1">
      <alignment horizontal="center"/>
    </xf>
    <xf numFmtId="164" fontId="0" fillId="9" borderId="95" xfId="0" applyNumberFormat="1" applyFont="1" applyFill="1" applyBorder="1" applyAlignment="1">
      <alignment horizontal="center"/>
    </xf>
    <xf numFmtId="164" fontId="0" fillId="9" borderId="6" xfId="0" applyNumberFormat="1" applyFont="1" applyFill="1" applyBorder="1" applyAlignment="1">
      <alignment horizontal="center"/>
    </xf>
    <xf numFmtId="164" fontId="10" fillId="4" borderId="137" xfId="0" applyNumberFormat="1" applyFont="1" applyFill="1" applyBorder="1" applyAlignment="1">
      <alignment horizontal="center" vertical="center"/>
    </xf>
    <xf numFmtId="164" fontId="10" fillId="4" borderId="28" xfId="0" applyNumberFormat="1" applyFont="1" applyFill="1" applyBorder="1" applyAlignment="1">
      <alignment horizontal="center" vertical="center"/>
    </xf>
    <xf numFmtId="164" fontId="10" fillId="4" borderId="140" xfId="0" applyNumberFormat="1" applyFont="1" applyFill="1" applyBorder="1" applyAlignment="1">
      <alignment horizontal="center" vertical="center"/>
    </xf>
    <xf numFmtId="164" fontId="10" fillId="4" borderId="30" xfId="0" applyNumberFormat="1" applyFont="1" applyFill="1" applyBorder="1" applyAlignment="1">
      <alignment horizontal="center" vertical="center"/>
    </xf>
    <xf numFmtId="164" fontId="10" fillId="4" borderId="29" xfId="0" applyNumberFormat="1" applyFont="1" applyFill="1" applyBorder="1" applyAlignment="1">
      <alignment horizontal="center" vertical="center"/>
    </xf>
    <xf numFmtId="164" fontId="10" fillId="4" borderId="31" xfId="0" applyNumberFormat="1" applyFont="1" applyFill="1" applyBorder="1" applyAlignment="1">
      <alignment horizontal="center" vertical="center"/>
    </xf>
  </cellXfs>
  <cellStyles count="12">
    <cellStyle name="20% - Accent5" xfId="10" builtinId="46"/>
    <cellStyle name="60% - Accent5" xfId="8" builtinId="48" customBuiltin="1"/>
    <cellStyle name="Accent1" xfId="9" builtinId="29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66FF66"/>
      <color rgb="FF66FF99"/>
      <color rgb="FFD5FFDA"/>
      <color rgb="FFECEBFF"/>
      <color rgb="FFFFC7C1"/>
      <color rgb="FFB9F7FF"/>
      <color rgb="FF00FF00"/>
      <color rgb="FFFFFFCC"/>
      <color rgb="FFC5FFC5"/>
      <color rgb="FFF802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6.png"/><Relationship Id="rId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98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119</xdr:row>
      <xdr:rowOff>123825</xdr:rowOff>
    </xdr:from>
    <xdr:to>
      <xdr:col>18</xdr:col>
      <xdr:colOff>361950</xdr:colOff>
      <xdr:row>120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144</xdr:row>
      <xdr:rowOff>200025</xdr:rowOff>
    </xdr:from>
    <xdr:to>
      <xdr:col>35</xdr:col>
      <xdr:colOff>482159</xdr:colOff>
      <xdr:row>154</xdr:row>
      <xdr:rowOff>50291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133350</xdr:colOff>
      <xdr:row>169</xdr:row>
      <xdr:rowOff>104775</xdr:rowOff>
    </xdr:from>
    <xdr:to>
      <xdr:col>28</xdr:col>
      <xdr:colOff>117155</xdr:colOff>
      <xdr:row>193</xdr:row>
      <xdr:rowOff>142688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91450" y="37204650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221</xdr:row>
      <xdr:rowOff>9525</xdr:rowOff>
    </xdr:from>
    <xdr:to>
      <xdr:col>13</xdr:col>
      <xdr:colOff>419100</xdr:colOff>
      <xdr:row>221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71DA544-2390-4925-B91C-DD6F185B37E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183</xdr:row>
      <xdr:rowOff>28451</xdr:rowOff>
    </xdr:from>
    <xdr:to>
      <xdr:col>13</xdr:col>
      <xdr:colOff>401337</xdr:colOff>
      <xdr:row>186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510BD71-7B76-4487-9C66-796EB13CB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180</xdr:row>
          <xdr:rowOff>104775</xdr:rowOff>
        </xdr:from>
        <xdr:to>
          <xdr:col>7</xdr:col>
          <xdr:colOff>295275</xdr:colOff>
          <xdr:row>181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143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146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144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147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165</xdr:row>
      <xdr:rowOff>123825</xdr:rowOff>
    </xdr:from>
    <xdr:to>
      <xdr:col>18</xdr:col>
      <xdr:colOff>361950</xdr:colOff>
      <xdr:row>166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188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206</xdr:row>
      <xdr:rowOff>13709</xdr:rowOff>
    </xdr:from>
    <xdr:to>
      <xdr:col>33</xdr:col>
      <xdr:colOff>352426</xdr:colOff>
      <xdr:row>230</xdr:row>
      <xdr:rowOff>23047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211</xdr:row>
      <xdr:rowOff>0</xdr:rowOff>
    </xdr:from>
    <xdr:to>
      <xdr:col>13</xdr:col>
      <xdr:colOff>400051</xdr:colOff>
      <xdr:row>214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AAD2D3-D321-4FE7-A98D-A2636A55B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176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179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177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180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198</xdr:row>
      <xdr:rowOff>123825</xdr:rowOff>
    </xdr:from>
    <xdr:to>
      <xdr:col>18</xdr:col>
      <xdr:colOff>361950</xdr:colOff>
      <xdr:row>199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221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239</xdr:row>
      <xdr:rowOff>13709</xdr:rowOff>
    </xdr:from>
    <xdr:to>
      <xdr:col>33</xdr:col>
      <xdr:colOff>76201</xdr:colOff>
      <xdr:row>264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88</xdr:row>
          <xdr:rowOff>142875</xdr:rowOff>
        </xdr:from>
        <xdr:to>
          <xdr:col>26</xdr:col>
          <xdr:colOff>361950</xdr:colOff>
          <xdr:row>89</xdr:row>
          <xdr:rowOff>171450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102</xdr:row>
      <xdr:rowOff>9525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142875</xdr:colOff>
      <xdr:row>170</xdr:row>
      <xdr:rowOff>209550</xdr:rowOff>
    </xdr:from>
    <xdr:to>
      <xdr:col>28</xdr:col>
      <xdr:colOff>126680</xdr:colOff>
      <xdr:row>193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0975" y="3753802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74</xdr:row>
      <xdr:rowOff>57150</xdr:rowOff>
    </xdr:from>
    <xdr:to>
      <xdr:col>35</xdr:col>
      <xdr:colOff>572373</xdr:colOff>
      <xdr:row>98</xdr:row>
      <xdr:rowOff>162673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20875" y="163544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98</xdr:row>
      <xdr:rowOff>209550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222</xdr:row>
      <xdr:rowOff>0</xdr:rowOff>
    </xdr:from>
    <xdr:to>
      <xdr:col>14</xdr:col>
      <xdr:colOff>0</xdr:colOff>
      <xdr:row>222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17CD31C9-46F6-4EC5-B697-C17D00FF79E3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183</xdr:row>
      <xdr:rowOff>19051</xdr:rowOff>
    </xdr:from>
    <xdr:to>
      <xdr:col>13</xdr:col>
      <xdr:colOff>116649</xdr:colOff>
      <xdr:row>186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E4C968E-9A67-4E5D-849C-BAB35A7EC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180</xdr:row>
          <xdr:rowOff>57150</xdr:rowOff>
        </xdr:from>
        <xdr:to>
          <xdr:col>7</xdr:col>
          <xdr:colOff>361950</xdr:colOff>
          <xdr:row>181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41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44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31</xdr:row>
      <xdr:rowOff>48875</xdr:rowOff>
    </xdr:from>
    <xdr:to>
      <xdr:col>2</xdr:col>
      <xdr:colOff>101623</xdr:colOff>
      <xdr:row>36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39</xdr:row>
      <xdr:rowOff>63500</xdr:rowOff>
    </xdr:from>
    <xdr:to>
      <xdr:col>9</xdr:col>
      <xdr:colOff>10584</xdr:colOff>
      <xdr:row>41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39</xdr:row>
      <xdr:rowOff>31750</xdr:rowOff>
    </xdr:from>
    <xdr:to>
      <xdr:col>13</xdr:col>
      <xdr:colOff>412750</xdr:colOff>
      <xdr:row>40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53</xdr:row>
      <xdr:rowOff>28088</xdr:rowOff>
    </xdr:from>
    <xdr:to>
      <xdr:col>10</xdr:col>
      <xdr:colOff>191680</xdr:colOff>
      <xdr:row>56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F9476FA-A34E-4DC3-A004-B42854F9F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50</xdr:row>
          <xdr:rowOff>95250</xdr:rowOff>
        </xdr:from>
        <xdr:to>
          <xdr:col>7</xdr:col>
          <xdr:colOff>9525</xdr:colOff>
          <xdr:row>51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935FC9AA-8625-4482-8645-25935269B0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53</xdr:row>
      <xdr:rowOff>1</xdr:rowOff>
    </xdr:from>
    <xdr:to>
      <xdr:col>11</xdr:col>
      <xdr:colOff>274256</xdr:colOff>
      <xdr:row>58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F06F616-B2A5-482C-95E8-F8B5DD117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53</xdr:row>
      <xdr:rowOff>41842</xdr:rowOff>
    </xdr:from>
    <xdr:to>
      <xdr:col>13</xdr:col>
      <xdr:colOff>137582</xdr:colOff>
      <xdr:row>56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DF7B8CB-FE9D-4563-AFED-4C2A72C25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80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83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81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84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 editAs="oneCell">
    <xdr:from>
      <xdr:col>15</xdr:col>
      <xdr:colOff>276224</xdr:colOff>
      <xdr:row>132</xdr:row>
      <xdr:rowOff>59838</xdr:rowOff>
    </xdr:from>
    <xdr:to>
      <xdr:col>16</xdr:col>
      <xdr:colOff>133350</xdr:colOff>
      <xdr:row>133</xdr:row>
      <xdr:rowOff>147762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1A4238E-62AA-4287-96A5-D7B597E86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67599" y="278728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131</xdr:row>
      <xdr:rowOff>19050</xdr:rowOff>
    </xdr:from>
    <xdr:to>
      <xdr:col>14</xdr:col>
      <xdr:colOff>381000</xdr:colOff>
      <xdr:row>134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82C5692-DA83-4C3B-AEA7-4CDA35541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112</xdr:row>
      <xdr:rowOff>5808</xdr:rowOff>
    </xdr:from>
    <xdr:to>
      <xdr:col>27</xdr:col>
      <xdr:colOff>64290</xdr:colOff>
      <xdr:row>113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C1B39D3-3F41-4D17-A405-62627B89F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110</xdr:row>
      <xdr:rowOff>119063</xdr:rowOff>
    </xdr:from>
    <xdr:to>
      <xdr:col>26</xdr:col>
      <xdr:colOff>1049910</xdr:colOff>
      <xdr:row>111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96AD48B-0DF0-40B4-A21B-F7B2C6A80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128</xdr:row>
          <xdr:rowOff>95250</xdr:rowOff>
        </xdr:from>
        <xdr:to>
          <xdr:col>7</xdr:col>
          <xdr:colOff>9525</xdr:colOff>
          <xdr:row>129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202" zoomScaleNormal="100" workbookViewId="0">
      <selection activeCell="X120" sqref="X120"/>
    </sheetView>
  </sheetViews>
  <sheetFormatPr defaultColWidth="5.140625" defaultRowHeight="17.25" customHeight="1" outlineLevelCol="1"/>
  <cols>
    <col min="1" max="2" width="6.42578125" style="16" customWidth="1"/>
    <col min="3" max="7" width="7" style="61" customWidth="1"/>
    <col min="8" max="9" width="7" style="16" customWidth="1"/>
    <col min="10" max="10" width="6.42578125" style="16" customWidth="1"/>
    <col min="11" max="11" width="8" style="16" customWidth="1"/>
    <col min="12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3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375" t="s">
        <v>143</v>
      </c>
      <c r="D1" s="375"/>
      <c r="E1" s="375"/>
      <c r="F1" s="375"/>
      <c r="G1" s="362" t="s">
        <v>144</v>
      </c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</row>
    <row r="2" spans="2:66" ht="17.25" customHeight="1">
      <c r="C2" s="375"/>
      <c r="D2" s="375"/>
      <c r="E2" s="375"/>
      <c r="F2" s="375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</row>
    <row r="3" spans="2:66" ht="17.25" customHeight="1">
      <c r="C3" s="375"/>
      <c r="D3" s="375"/>
      <c r="E3" s="375"/>
      <c r="F3" s="375"/>
      <c r="G3" s="371" t="s">
        <v>148</v>
      </c>
      <c r="H3" s="371"/>
      <c r="I3" s="371"/>
      <c r="J3" s="373" t="s">
        <v>147</v>
      </c>
      <c r="K3" s="373"/>
      <c r="L3" s="373"/>
      <c r="N3" s="393" t="s">
        <v>242</v>
      </c>
      <c r="O3" s="393"/>
      <c r="P3" s="393"/>
      <c r="Q3" s="394" t="s">
        <v>207</v>
      </c>
      <c r="R3" s="394"/>
      <c r="S3" s="394"/>
    </row>
    <row r="4" spans="2:66" ht="17.25" customHeight="1">
      <c r="C4" s="375"/>
      <c r="D4" s="375"/>
      <c r="E4" s="375"/>
      <c r="F4" s="375"/>
      <c r="G4" s="372"/>
      <c r="H4" s="372"/>
      <c r="I4" s="372"/>
      <c r="J4" s="374"/>
      <c r="K4" s="374"/>
      <c r="L4" s="374"/>
      <c r="N4" s="393"/>
      <c r="O4" s="393"/>
      <c r="P4" s="393"/>
      <c r="Q4" s="394"/>
      <c r="R4" s="394"/>
      <c r="S4" s="394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107" t="str" cm="1">
        <f t="array" ref="E7">dateDecimale2txt(dateConvert2Decimal(E8),0)</f>
        <v>2024/08/05</v>
      </c>
      <c r="F7" s="107"/>
      <c r="G7" s="108"/>
      <c r="H7" s="109"/>
      <c r="I7" s="107" t="str" cm="1">
        <f t="array" ref="I7">heureDecimal2Txt(E11)</f>
        <v>07:18:13.00(07.3036)</v>
      </c>
      <c r="J7" s="107"/>
      <c r="K7" s="107"/>
      <c r="L7" s="26"/>
      <c r="M7" s="26"/>
      <c r="N7" s="26" t="s">
        <v>353</v>
      </c>
      <c r="O7" s="26"/>
      <c r="P7" s="26"/>
      <c r="Q7" s="26"/>
      <c r="R7" s="26"/>
      <c r="S7" s="26" t="s">
        <v>354</v>
      </c>
      <c r="T7" s="326">
        <f>dateConvert2Decimal(E8)</f>
        <v>1722816000</v>
      </c>
      <c r="U7" s="326"/>
      <c r="V7" s="326"/>
      <c r="W7" s="26" t="s">
        <v>355</v>
      </c>
      <c r="X7" s="335">
        <f>(T7/86400)+DATE(1970,1,1)</f>
        <v>45509</v>
      </c>
      <c r="Y7" s="335"/>
      <c r="Z7" s="26" t="s">
        <v>356</v>
      </c>
      <c r="AA7" s="188">
        <f>INT(MONTH(X7))</f>
        <v>8</v>
      </c>
      <c r="AB7" s="64"/>
    </row>
    <row r="8" spans="2:66" ht="17.25" customHeight="1">
      <c r="C8" s="363" t="s">
        <v>1</v>
      </c>
      <c r="D8" s="364"/>
      <c r="E8" s="540" t="s">
        <v>464</v>
      </c>
      <c r="F8" s="541"/>
      <c r="G8" s="541"/>
      <c r="H8" s="61"/>
      <c r="I8" s="395"/>
      <c r="J8" s="395"/>
      <c r="K8" s="395"/>
      <c r="L8" s="395"/>
      <c r="M8" s="395"/>
      <c r="N8" s="395"/>
      <c r="O8" s="395"/>
      <c r="AC8" s="3" t="s">
        <v>173</v>
      </c>
      <c r="AD8" s="3" cm="1">
        <f t="array" ref="AD8">heureConvert2Decimal(I11)</f>
        <v>7.1416666666666675</v>
      </c>
    </row>
    <row r="9" spans="2:66" ht="17.25" customHeight="1" thickBot="1">
      <c r="C9" s="365" t="s">
        <v>11</v>
      </c>
      <c r="D9" s="366"/>
      <c r="E9" s="365" t="s">
        <v>2</v>
      </c>
      <c r="F9" s="381"/>
      <c r="G9" s="381"/>
      <c r="H9" s="366"/>
      <c r="I9" s="490" t="s">
        <v>244</v>
      </c>
      <c r="J9" s="490"/>
      <c r="K9" s="490"/>
      <c r="L9" s="490" t="s">
        <v>240</v>
      </c>
      <c r="M9" s="490"/>
      <c r="N9" s="490"/>
      <c r="O9" s="490"/>
      <c r="P9" s="490"/>
      <c r="Q9" s="490" t="s">
        <v>241</v>
      </c>
      <c r="R9" s="490"/>
      <c r="S9" s="490"/>
      <c r="T9" s="490"/>
      <c r="U9" s="490"/>
      <c r="V9" s="518" t="s">
        <v>131</v>
      </c>
      <c r="W9" s="519"/>
      <c r="X9" s="519"/>
      <c r="Y9" s="520"/>
      <c r="AB9" s="65"/>
      <c r="AC9" s="3" t="s">
        <v>174</v>
      </c>
      <c r="AD9" s="69">
        <f>L11</f>
        <v>0</v>
      </c>
    </row>
    <row r="10" spans="2:66" ht="17.25" customHeight="1">
      <c r="C10" s="367"/>
      <c r="D10" s="368"/>
      <c r="E10" s="369"/>
      <c r="F10" s="382"/>
      <c r="G10" s="382"/>
      <c r="H10" s="370"/>
      <c r="I10" s="490"/>
      <c r="J10" s="490"/>
      <c r="K10" s="490"/>
      <c r="L10" s="490"/>
      <c r="M10" s="490"/>
      <c r="N10" s="490"/>
      <c r="O10" s="490"/>
      <c r="P10" s="490"/>
      <c r="Q10" s="490"/>
      <c r="R10" s="490"/>
      <c r="S10" s="490"/>
      <c r="T10" s="490"/>
      <c r="U10" s="490"/>
      <c r="V10" s="521"/>
      <c r="W10" s="522"/>
      <c r="X10" s="522"/>
      <c r="Y10" s="523"/>
      <c r="AC10" s="3" t="s">
        <v>175</v>
      </c>
      <c r="AD10" s="3">
        <f>Q11/3600</f>
        <v>2.388888888888889E-2</v>
      </c>
    </row>
    <row r="11" spans="2:66" ht="17.25" customHeight="1" thickBot="1">
      <c r="C11" s="369"/>
      <c r="D11" s="370"/>
      <c r="E11" s="332">
        <f>AD8+AD9+AD10+AD11</f>
        <v>7.3036111111111124</v>
      </c>
      <c r="F11" s="333"/>
      <c r="G11" s="333"/>
      <c r="H11" s="334"/>
      <c r="I11" s="529" t="s">
        <v>465</v>
      </c>
      <c r="J11" s="529"/>
      <c r="K11" s="529"/>
      <c r="L11" s="567">
        <v>0</v>
      </c>
      <c r="M11" s="567"/>
      <c r="N11" s="567"/>
      <c r="O11" s="567"/>
      <c r="P11" s="567"/>
      <c r="Q11" s="567">
        <v>86</v>
      </c>
      <c r="R11" s="567"/>
      <c r="S11" s="567"/>
      <c r="T11" s="567"/>
      <c r="U11" s="568"/>
      <c r="V11" s="566" t="s">
        <v>466</v>
      </c>
      <c r="W11" s="566"/>
      <c r="X11" s="566"/>
      <c r="Y11" s="566"/>
      <c r="AC11" s="3" t="s">
        <v>29</v>
      </c>
      <c r="AD11" s="3" cm="1">
        <f t="array" ref="AD11">heureConvert2Decimal(V11) / 60</f>
        <v>0.13805555555555554</v>
      </c>
    </row>
    <row r="12" spans="2:66" customFormat="1" ht="17.25" customHeight="1" thickTop="1" thickBot="1">
      <c r="B12" s="16"/>
      <c r="E12" s="582" t="str" cm="1">
        <f t="array" ref="E12">heureDecimal2Txt(E11)</f>
        <v>07:18:13.00(07.3036)</v>
      </c>
      <c r="F12" s="583"/>
      <c r="G12" s="583"/>
      <c r="H12" s="584"/>
      <c r="I12" s="11"/>
      <c r="J12" s="11"/>
      <c r="K12" s="11"/>
      <c r="V12" s="11"/>
      <c r="W12" s="11"/>
      <c r="X12" s="11"/>
      <c r="Y12" s="11"/>
      <c r="Z12" s="16"/>
      <c r="AA12" s="16"/>
      <c r="AB12" s="63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9"/>
      <c r="N14" s="79"/>
      <c r="O14" s="79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4"/>
    </row>
    <row r="15" spans="2:66" ht="18" customHeight="1" thickTop="1" thickBot="1">
      <c r="C15" s="341" t="s">
        <v>138</v>
      </c>
      <c r="D15" s="341"/>
      <c r="E15" s="341"/>
      <c r="F15" s="341"/>
      <c r="G15" s="341"/>
      <c r="H15" s="341"/>
      <c r="I15" s="341"/>
      <c r="J15" s="463" cm="1">
        <f t="array" ref="J15">angleConvert2Decimal(M15)</f>
        <v>50.4</v>
      </c>
      <c r="K15" s="516"/>
      <c r="L15" s="516"/>
      <c r="M15" s="338" t="s">
        <v>467</v>
      </c>
      <c r="N15" s="517"/>
      <c r="O15" s="517"/>
      <c r="P15" s="337" t="str" cm="1">
        <f t="array" ref="P15">angleDecimal2Txt(J15)</f>
        <v>+50°24.00 (+50.3999) [+50°24'00.00]</v>
      </c>
      <c r="Q15" s="327"/>
      <c r="R15" s="327"/>
      <c r="S15" s="327"/>
      <c r="T15" s="327"/>
      <c r="U15" s="327"/>
      <c r="V15" s="327"/>
      <c r="W15" s="327"/>
      <c r="X15" s="327"/>
      <c r="Y15" s="14"/>
    </row>
    <row r="16" spans="2:66" ht="18" customHeight="1" thickTop="1" thickBot="1">
      <c r="C16" s="341" t="s">
        <v>475</v>
      </c>
      <c r="D16" s="341"/>
      <c r="E16" s="341"/>
      <c r="F16" s="341"/>
      <c r="G16" s="341"/>
      <c r="H16" s="341"/>
      <c r="I16" s="341"/>
      <c r="J16" s="329" cm="1">
        <f t="array" ref="J16">angleConvert2Decimal(M16)</f>
        <v>-0.2</v>
      </c>
      <c r="K16" s="339"/>
      <c r="L16" s="340"/>
      <c r="M16" s="338" t="s">
        <v>468</v>
      </c>
      <c r="N16" s="338"/>
      <c r="O16" s="338"/>
      <c r="P16" s="337" t="str" cm="1">
        <f t="array" ref="P16">angleDecimal2Txt(J16)</f>
        <v>-00°12.00 (-00.2000) [-00°12'00.00]</v>
      </c>
      <c r="Q16" s="327"/>
      <c r="R16" s="327"/>
      <c r="S16" s="327"/>
      <c r="T16" s="327"/>
      <c r="U16" s="327"/>
      <c r="V16" s="327"/>
      <c r="W16" s="327"/>
      <c r="X16" s="327"/>
      <c r="Y16" s="14"/>
    </row>
    <row r="17" spans="2:40" ht="18" customHeight="1" thickTop="1" thickBot="1">
      <c r="C17" s="341" t="s">
        <v>146</v>
      </c>
      <c r="D17" s="341"/>
      <c r="E17" s="341"/>
      <c r="F17" s="341"/>
      <c r="G17" s="341"/>
      <c r="H17" s="341"/>
      <c r="I17" s="341"/>
      <c r="J17" s="463">
        <f>(J15-J16)/2</f>
        <v>25.3</v>
      </c>
      <c r="K17" s="516"/>
      <c r="L17" s="439"/>
      <c r="M17" s="384"/>
      <c r="N17" s="385"/>
      <c r="O17" s="385"/>
      <c r="P17" s="327" t="str" cm="1">
        <f t="array" ref="P17">angleDecimal2Txt(J17)</f>
        <v>+25°18.00 (+25.3000) [+25°18'00.00]</v>
      </c>
      <c r="Q17" s="327"/>
      <c r="R17" s="327"/>
      <c r="S17" s="327"/>
      <c r="T17" s="327"/>
      <c r="U17" s="327"/>
      <c r="V17" s="327"/>
      <c r="W17" s="327"/>
      <c r="X17" s="327"/>
      <c r="Y17" s="14"/>
    </row>
    <row r="18" spans="2:40" ht="18" customHeight="1" thickTop="1" thickBot="1">
      <c r="C18" s="585" t="s">
        <v>19</v>
      </c>
      <c r="D18" s="585"/>
      <c r="E18" s="585"/>
      <c r="F18" s="585"/>
      <c r="G18" s="585"/>
      <c r="H18" s="585"/>
      <c r="I18" s="585"/>
      <c r="J18" s="513">
        <f>M18</f>
        <v>0</v>
      </c>
      <c r="K18" s="514"/>
      <c r="L18" s="515"/>
      <c r="M18" s="492">
        <v>0</v>
      </c>
      <c r="N18" s="492"/>
      <c r="O18" s="492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2:40" ht="18" customHeight="1" thickTop="1" thickBot="1">
      <c r="B19" s="14"/>
      <c r="C19" s="619" t="s">
        <v>20</v>
      </c>
      <c r="D19" s="620"/>
      <c r="E19" s="620"/>
      <c r="F19" s="620"/>
      <c r="G19" s="620"/>
      <c r="H19" s="620"/>
      <c r="I19" s="621"/>
      <c r="J19" s="329" cm="1">
        <f t="array" ref="J19">angleConvert2Decimal(M19)</f>
        <v>0</v>
      </c>
      <c r="K19" s="339"/>
      <c r="L19" s="339"/>
      <c r="M19" s="491">
        <v>0</v>
      </c>
      <c r="N19" s="492"/>
      <c r="O19" s="492"/>
      <c r="P19" s="327" t="str" cm="1">
        <f t="array" ref="P19">angleDecimal2Txt(J19)</f>
        <v>+00°00.00 (+00.0000) [+00°00'00.00]</v>
      </c>
      <c r="Q19" s="327"/>
      <c r="R19" s="327"/>
      <c r="S19" s="327"/>
      <c r="T19" s="327"/>
      <c r="U19" s="327"/>
      <c r="V19" s="327"/>
      <c r="W19" s="327"/>
      <c r="X19" s="327"/>
      <c r="Y19" s="14"/>
    </row>
    <row r="20" spans="2:40" ht="18" customHeight="1" thickTop="1" thickBot="1">
      <c r="C20" s="629" t="s">
        <v>26</v>
      </c>
      <c r="D20" s="629"/>
      <c r="E20" s="629"/>
      <c r="F20" s="629"/>
      <c r="G20" s="629"/>
      <c r="H20" s="629"/>
      <c r="I20" s="629"/>
      <c r="J20" s="329">
        <f>angleConvert2Decimal(M20)</f>
        <v>25.3</v>
      </c>
      <c r="K20" s="339"/>
      <c r="L20" s="339"/>
      <c r="M20" s="491" t="str">
        <f>angleDecimal2Txt(J17,0)</f>
        <v>+25°18.00</v>
      </c>
      <c r="N20" s="492"/>
      <c r="O20" s="492"/>
      <c r="P20" s="327" t="str" cm="1">
        <f t="array" ref="P20">angleDecimal2Txt(J20)</f>
        <v>+25°18.00 (+25.3000) [+25°18'00.00]</v>
      </c>
      <c r="Q20" s="327"/>
      <c r="R20" s="327"/>
      <c r="S20" s="327"/>
      <c r="T20" s="327"/>
      <c r="U20" s="327"/>
      <c r="V20" s="327"/>
      <c r="W20" s="327"/>
      <c r="X20" s="327"/>
      <c r="Y20" s="14"/>
    </row>
    <row r="21" spans="2:40" ht="18" customHeight="1" thickTop="1">
      <c r="C21" s="622" t="s">
        <v>30</v>
      </c>
      <c r="D21" s="622"/>
      <c r="E21" s="622"/>
      <c r="F21" s="622"/>
      <c r="G21" s="622"/>
      <c r="H21" s="622"/>
      <c r="I21" s="622"/>
      <c r="J21" s="623" t="str">
        <f>M21</f>
        <v>Soleil</v>
      </c>
      <c r="K21" s="624"/>
      <c r="L21" s="625"/>
      <c r="M21" s="542" t="s">
        <v>31</v>
      </c>
      <c r="N21" s="543"/>
      <c r="O21" s="544"/>
      <c r="P21" s="14"/>
      <c r="Q21" s="14"/>
      <c r="R21" s="14"/>
      <c r="S21" s="14"/>
      <c r="T21" s="14"/>
      <c r="U21" s="14"/>
      <c r="V21" s="14"/>
      <c r="W21" s="14"/>
      <c r="X21" s="14"/>
      <c r="Y21" s="14"/>
      <c r="AG21" s="16"/>
      <c r="AH21" s="16"/>
    </row>
    <row r="22" spans="2:40" ht="18" customHeight="1">
      <c r="C22" s="622" t="s">
        <v>56</v>
      </c>
      <c r="D22" s="622"/>
      <c r="E22" s="622"/>
      <c r="F22" s="622"/>
      <c r="G22" s="622"/>
      <c r="H22" s="622"/>
      <c r="I22" s="622"/>
      <c r="J22" s="330" t="str">
        <f>M22</f>
        <v>BordSup</v>
      </c>
      <c r="K22" s="330"/>
      <c r="L22" s="330"/>
      <c r="M22" s="517" t="s">
        <v>199</v>
      </c>
      <c r="N22" s="517"/>
      <c r="O22" s="517"/>
      <c r="P22" s="14"/>
      <c r="Q22" s="14"/>
      <c r="R22" s="14"/>
      <c r="S22" s="14"/>
      <c r="T22" s="14"/>
      <c r="U22" s="14"/>
      <c r="V22" s="14"/>
      <c r="W22" s="14"/>
      <c r="X22" s="14"/>
      <c r="Y22" s="14"/>
      <c r="AC22" s="71" t="s">
        <v>201</v>
      </c>
      <c r="AD22" s="72" t="s">
        <v>32</v>
      </c>
      <c r="AE22" s="72" t="s">
        <v>33</v>
      </c>
      <c r="AF22" s="72" t="s">
        <v>31</v>
      </c>
      <c r="AG22" s="16"/>
      <c r="AH22" s="16"/>
    </row>
    <row r="23" spans="2:40" ht="17.25" customHeight="1">
      <c r="C23" s="630" t="s">
        <v>162</v>
      </c>
      <c r="D23" s="631"/>
      <c r="E23" s="27"/>
      <c r="F23" s="27"/>
      <c r="G23" s="27"/>
      <c r="H23" s="27"/>
      <c r="I23" s="28"/>
      <c r="J23" s="553" cm="1">
        <f t="array" ref="J23">angleConvert2Decimal(M23)</f>
        <v>2.8833333333333332E-3</v>
      </c>
      <c r="K23" s="345"/>
      <c r="L23" s="346"/>
      <c r="M23" s="559" t="str">
        <f>P25</f>
        <v>0.173'</v>
      </c>
      <c r="N23" s="560"/>
      <c r="O23" s="560"/>
      <c r="P23" s="565" t="s">
        <v>101</v>
      </c>
      <c r="Q23" s="565"/>
      <c r="R23" s="565"/>
      <c r="S23" s="14"/>
      <c r="T23" s="14"/>
      <c r="U23" s="14"/>
      <c r="V23" s="14"/>
      <c r="W23" s="14"/>
      <c r="X23" s="14"/>
      <c r="Y23" s="14"/>
      <c r="AC23" s="71" t="s">
        <v>103</v>
      </c>
      <c r="AD23" s="73" t="s">
        <v>104</v>
      </c>
      <c r="AE23" s="73" t="s">
        <v>105</v>
      </c>
      <c r="AF23" s="73" t="s">
        <v>76</v>
      </c>
      <c r="AG23" s="16"/>
      <c r="AH23" s="16"/>
    </row>
    <row r="24" spans="2:40" ht="17.25" customHeight="1" thickBot="1">
      <c r="C24" s="29"/>
      <c r="D24" s="588" t="s">
        <v>163</v>
      </c>
      <c r="E24" s="588"/>
      <c r="F24" s="588"/>
      <c r="G24" s="588"/>
      <c r="H24" s="588"/>
      <c r="I24" s="589"/>
      <c r="J24" s="554"/>
      <c r="K24" s="372"/>
      <c r="L24" s="555"/>
      <c r="M24" s="561"/>
      <c r="N24" s="562"/>
      <c r="O24" s="562"/>
      <c r="P24" s="565"/>
      <c r="Q24" s="565"/>
      <c r="R24" s="565"/>
      <c r="S24" s="14"/>
      <c r="T24" s="14"/>
      <c r="U24" s="14"/>
      <c r="V24" s="14"/>
      <c r="W24" s="14"/>
      <c r="X24" s="14"/>
      <c r="Y24" s="14"/>
      <c r="AC24" s="71" t="s">
        <v>107</v>
      </c>
      <c r="AD24" s="73" t="s">
        <v>104</v>
      </c>
      <c r="AE24" s="73" t="s">
        <v>108</v>
      </c>
      <c r="AF24" s="73">
        <f>HLOOKUP(AA7,AC29:AN31,3)</f>
        <v>0.52666666666666673</v>
      </c>
      <c r="AG24" s="16"/>
      <c r="AH24" s="16"/>
    </row>
    <row r="25" spans="2:40" ht="17.25" customHeight="1" thickTop="1" thickBot="1">
      <c r="C25" s="29"/>
      <c r="D25" s="588"/>
      <c r="E25" s="588"/>
      <c r="F25" s="588"/>
      <c r="G25" s="588"/>
      <c r="H25" s="588"/>
      <c r="I25" s="589"/>
      <c r="J25" s="554"/>
      <c r="K25" s="372"/>
      <c r="L25" s="555"/>
      <c r="M25" s="561"/>
      <c r="N25" s="562"/>
      <c r="O25" s="562"/>
      <c r="P25" s="528" t="str">
        <f>HLOOKUP(M21,AD22:AF24,2,FALSE)</f>
        <v>0.173'</v>
      </c>
      <c r="Q25" s="528"/>
      <c r="R25" s="528"/>
      <c r="S25" s="391" t="str" cm="1">
        <f t="array" ref="S25">angleDecimal2Txt(angleConvert2Decimal(P25))</f>
        <v>+00°00.17 (+00.0028) [+00°00'10.37]</v>
      </c>
      <c r="T25" s="391"/>
      <c r="U25" s="391"/>
      <c r="V25" s="391"/>
      <c r="W25" s="391"/>
      <c r="X25" s="392"/>
      <c r="Y25" s="14"/>
    </row>
    <row r="26" spans="2:40" ht="17.25" customHeight="1" thickTop="1" thickBot="1">
      <c r="C26" s="30"/>
      <c r="D26" s="590"/>
      <c r="E26" s="590"/>
      <c r="F26" s="590"/>
      <c r="G26" s="590"/>
      <c r="H26" s="590"/>
      <c r="I26" s="591"/>
      <c r="J26" s="556"/>
      <c r="K26" s="557"/>
      <c r="L26" s="558"/>
      <c r="M26" s="563"/>
      <c r="N26" s="564"/>
      <c r="O26" s="564"/>
      <c r="P26" s="527" t="str" cm="1">
        <f t="array" ref="P26">angleDecimal2Txt(J23)</f>
        <v>+00°00.17 (+00.0028) [+00°00'10.37]</v>
      </c>
      <c r="Q26" s="527"/>
      <c r="R26" s="527"/>
      <c r="S26" s="327"/>
      <c r="T26" s="327"/>
      <c r="U26" s="327"/>
      <c r="V26" s="327"/>
      <c r="W26" s="327"/>
      <c r="X26" s="327"/>
      <c r="Y26" s="14"/>
      <c r="AC26" s="71" t="s">
        <v>102</v>
      </c>
      <c r="AD26" s="72" t="s">
        <v>57</v>
      </c>
      <c r="AE26" s="72" t="s">
        <v>199</v>
      </c>
      <c r="AF26" s="72" t="s">
        <v>58</v>
      </c>
    </row>
    <row r="27" spans="2:40" ht="17.25" customHeight="1" thickTop="1">
      <c r="C27" s="545" t="s">
        <v>106</v>
      </c>
      <c r="D27" s="546"/>
      <c r="E27" s="546"/>
      <c r="F27" s="546"/>
      <c r="G27" s="546"/>
      <c r="H27" s="546"/>
      <c r="I27" s="547"/>
      <c r="J27" s="553" cm="1">
        <f t="array" ref="J27">angleConvert2Decimal(M27)</f>
        <v>0.52666666666666695</v>
      </c>
      <c r="K27" s="345"/>
      <c r="L27" s="346"/>
      <c r="M27" s="559">
        <f>P29</f>
        <v>0.52666666666666673</v>
      </c>
      <c r="N27" s="560"/>
      <c r="O27" s="560"/>
      <c r="P27" s="565" t="s">
        <v>101</v>
      </c>
      <c r="Q27" s="565"/>
      <c r="R27" s="565"/>
      <c r="S27" s="14"/>
      <c r="T27" s="14"/>
      <c r="U27" s="14"/>
      <c r="V27" s="14"/>
      <c r="W27" s="14"/>
      <c r="X27" s="14"/>
      <c r="Y27" s="14"/>
      <c r="AC27" s="189" t="s">
        <v>200</v>
      </c>
      <c r="AD27" s="190">
        <v>0.5</v>
      </c>
      <c r="AE27" s="190">
        <v>-0.5</v>
      </c>
      <c r="AF27" s="190">
        <v>0</v>
      </c>
    </row>
    <row r="28" spans="2:40" ht="17.25" customHeight="1" thickBot="1">
      <c r="C28" s="548"/>
      <c r="D28" s="377"/>
      <c r="E28" s="377"/>
      <c r="F28" s="377"/>
      <c r="G28" s="377"/>
      <c r="H28" s="377"/>
      <c r="I28" s="549"/>
      <c r="J28" s="554"/>
      <c r="K28" s="372"/>
      <c r="L28" s="555"/>
      <c r="M28" s="561"/>
      <c r="N28" s="562"/>
      <c r="O28" s="562"/>
      <c r="P28" s="565"/>
      <c r="Q28" s="565"/>
      <c r="R28" s="565"/>
      <c r="S28" s="14"/>
      <c r="T28" s="14"/>
      <c r="U28" s="14"/>
      <c r="V28" s="14"/>
      <c r="W28" s="14"/>
      <c r="X28" s="14"/>
      <c r="Y28" s="14"/>
      <c r="AC28" s="336" t="s">
        <v>363</v>
      </c>
      <c r="AD28" s="336"/>
      <c r="AE28" s="336"/>
      <c r="AF28" s="336"/>
      <c r="AG28" s="336"/>
      <c r="AH28" s="336"/>
      <c r="AI28" s="336"/>
      <c r="AJ28" s="336"/>
      <c r="AK28" s="336"/>
      <c r="AL28" s="336"/>
      <c r="AM28" s="336"/>
      <c r="AN28" s="336"/>
    </row>
    <row r="29" spans="2:40" ht="17.25" customHeight="1" thickTop="1" thickBot="1">
      <c r="C29" s="548"/>
      <c r="D29" s="377"/>
      <c r="E29" s="377"/>
      <c r="F29" s="377"/>
      <c r="G29" s="377"/>
      <c r="H29" s="377"/>
      <c r="I29" s="549"/>
      <c r="J29" s="554"/>
      <c r="K29" s="372"/>
      <c r="L29" s="555"/>
      <c r="M29" s="561"/>
      <c r="N29" s="562"/>
      <c r="O29" s="562"/>
      <c r="P29" s="528">
        <f>HLOOKUP(M21,AD22:AF24,3,FALSE)</f>
        <v>0.52666666666666673</v>
      </c>
      <c r="Q29" s="528"/>
      <c r="R29" s="528"/>
      <c r="S29" s="391" t="str" cm="1">
        <f t="array" ref="S29">angleDecimal2Txt(angleConvert2Decimal(P29))</f>
        <v>+00°31.60 (+00.5266) [+00°31'36.00]</v>
      </c>
      <c r="T29" s="391"/>
      <c r="U29" s="391"/>
      <c r="V29" s="391"/>
      <c r="W29" s="391"/>
      <c r="X29" s="392"/>
      <c r="Y29" s="14"/>
      <c r="AC29" s="185">
        <v>1</v>
      </c>
      <c r="AD29" s="185">
        <v>2</v>
      </c>
      <c r="AE29" s="185">
        <v>3</v>
      </c>
      <c r="AF29" s="185">
        <v>4</v>
      </c>
      <c r="AG29" s="185">
        <v>5</v>
      </c>
      <c r="AH29" s="185">
        <v>6</v>
      </c>
      <c r="AI29" s="185">
        <v>7</v>
      </c>
      <c r="AJ29" s="185">
        <v>8</v>
      </c>
      <c r="AK29" s="185">
        <v>9</v>
      </c>
      <c r="AL29" s="185">
        <v>10</v>
      </c>
      <c r="AM29" s="185">
        <v>11</v>
      </c>
      <c r="AN29" s="185">
        <v>12</v>
      </c>
    </row>
    <row r="30" spans="2:40" ht="17.25" customHeight="1" thickTop="1" thickBot="1">
      <c r="C30" s="550"/>
      <c r="D30" s="551"/>
      <c r="E30" s="551"/>
      <c r="F30" s="551"/>
      <c r="G30" s="551"/>
      <c r="H30" s="551"/>
      <c r="I30" s="552"/>
      <c r="J30" s="556"/>
      <c r="K30" s="557"/>
      <c r="L30" s="558"/>
      <c r="M30" s="563"/>
      <c r="N30" s="564"/>
      <c r="O30" s="564"/>
      <c r="P30" s="527" t="str" cm="1">
        <f t="array" ref="P30">angleDecimal2Txt(J27)</f>
        <v>+00°31.60 (+00.5266) [+00°31'36.00]</v>
      </c>
      <c r="Q30" s="527"/>
      <c r="R30" s="527"/>
      <c r="S30" s="327"/>
      <c r="T30" s="327"/>
      <c r="U30" s="327"/>
      <c r="V30" s="327"/>
      <c r="W30" s="327"/>
      <c r="X30" s="327"/>
      <c r="Y30" s="14"/>
      <c r="AC30" s="191" t="s">
        <v>357</v>
      </c>
      <c r="AD30" s="191" t="s">
        <v>358</v>
      </c>
      <c r="AE30" s="191" t="s">
        <v>359</v>
      </c>
      <c r="AF30" s="191" t="s">
        <v>360</v>
      </c>
      <c r="AG30" s="191" t="s">
        <v>361</v>
      </c>
      <c r="AH30" s="191" t="s">
        <v>361</v>
      </c>
      <c r="AI30" s="191" t="s">
        <v>361</v>
      </c>
      <c r="AJ30" s="191" t="s">
        <v>361</v>
      </c>
      <c r="AK30" s="191" t="s">
        <v>362</v>
      </c>
      <c r="AL30" s="191" t="s">
        <v>359</v>
      </c>
      <c r="AM30" s="191" t="s">
        <v>358</v>
      </c>
      <c r="AN30" s="191" t="s">
        <v>357</v>
      </c>
    </row>
    <row r="31" spans="2:40" ht="17.25" customHeight="1" thickTop="1" thickBot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AC31" s="185">
        <f>angleConvert2Decimal(AC30)</f>
        <v>0.54333333333333333</v>
      </c>
      <c r="AD31" s="185">
        <f>angleConvert2Decimal(AD30)</f>
        <v>0.53999999999999992</v>
      </c>
      <c r="AE31" s="185">
        <f>angleConvert2Decimal(AE30)</f>
        <v>0.53666666666666674</v>
      </c>
      <c r="AF31" s="185">
        <f>angleConvert2Decimal(AF30)</f>
        <v>0.53333333333333333</v>
      </c>
      <c r="AG31" s="185">
        <f>angleConvert2Decimal(AG30)</f>
        <v>0.52666666666666673</v>
      </c>
      <c r="AH31" s="185">
        <f t="shared" ref="AH31:AN31" si="0">angleConvert2Decimal(AH30)</f>
        <v>0.52666666666666673</v>
      </c>
      <c r="AI31" s="185">
        <f t="shared" si="0"/>
        <v>0.52666666666666673</v>
      </c>
      <c r="AJ31" s="185">
        <f t="shared" si="0"/>
        <v>0.52666666666666673</v>
      </c>
      <c r="AK31" s="185">
        <f t="shared" si="0"/>
        <v>0.53</v>
      </c>
      <c r="AL31" s="185">
        <f t="shared" si="0"/>
        <v>0.53666666666666674</v>
      </c>
      <c r="AM31" s="185">
        <f t="shared" si="0"/>
        <v>0.53999999999999992</v>
      </c>
      <c r="AN31" s="185">
        <f t="shared" si="0"/>
        <v>0.54333333333333333</v>
      </c>
    </row>
    <row r="32" spans="2:40" ht="17.25" customHeight="1" thickBot="1">
      <c r="B32" s="25" t="s">
        <v>214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</row>
    <row r="33" spans="1:66" ht="17.25" customHeight="1">
      <c r="C33" s="14"/>
      <c r="D33" s="14"/>
      <c r="E33" s="632" t="s">
        <v>7</v>
      </c>
      <c r="F33" s="632"/>
      <c r="G33" s="632"/>
      <c r="H33" s="632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</row>
    <row r="34" spans="1:66" ht="17.25" customHeight="1" thickBot="1">
      <c r="C34" s="14"/>
      <c r="D34" s="14"/>
      <c r="E34" s="632"/>
      <c r="F34" s="632"/>
      <c r="G34" s="632"/>
      <c r="H34" s="632"/>
      <c r="I34" s="14"/>
      <c r="J34" s="14" t="s">
        <v>140</v>
      </c>
      <c r="K34" s="14"/>
      <c r="L34" s="14" t="s">
        <v>141</v>
      </c>
      <c r="M34" s="14"/>
      <c r="N34" s="14"/>
      <c r="O34" s="14"/>
      <c r="P34" s="14"/>
      <c r="Q34" s="14"/>
      <c r="R34" s="14"/>
      <c r="S34" s="14"/>
      <c r="T34" s="14"/>
      <c r="U34" s="14"/>
      <c r="V34" s="14"/>
    </row>
    <row r="35" spans="1:66" ht="17.25" customHeight="1" thickTop="1" thickBot="1">
      <c r="A35" s="626" t="s">
        <v>34</v>
      </c>
      <c r="B35" s="627"/>
      <c r="C35" s="628"/>
      <c r="D35" s="14"/>
      <c r="E35" s="14"/>
      <c r="F35" s="462">
        <f>AD36</f>
        <v>48.875500000000002</v>
      </c>
      <c r="G35" s="525"/>
      <c r="H35" s="525"/>
      <c r="I35" s="387" t="s">
        <v>3</v>
      </c>
      <c r="J35" s="389" t="s">
        <v>469</v>
      </c>
      <c r="K35" s="387"/>
      <c r="L35" s="387"/>
      <c r="M35" s="387"/>
      <c r="N35" s="387"/>
      <c r="O35" s="350" t="str" cm="1">
        <f t="array" ref="O35">angleDecimal2Txt(F35)</f>
        <v>+48°52.53 (+48.8755) [+48°52'31.80]</v>
      </c>
      <c r="P35" s="350"/>
      <c r="Q35" s="350"/>
      <c r="R35" s="350"/>
      <c r="S35" s="350"/>
      <c r="T35" s="350"/>
      <c r="U35" s="350"/>
      <c r="V35" s="350"/>
      <c r="W35" s="350"/>
      <c r="X35" s="350"/>
      <c r="Y35" s="14"/>
      <c r="Z35" s="14"/>
      <c r="AC35" s="3" t="s">
        <v>179</v>
      </c>
      <c r="AD35" s="3">
        <f>VLOOKUP(I35,A37:C38,3)</f>
        <v>1</v>
      </c>
      <c r="BN35" s="31"/>
    </row>
    <row r="36" spans="1:66" ht="17.25" customHeight="1" thickTop="1" thickBot="1">
      <c r="A36" s="17" t="s">
        <v>41</v>
      </c>
      <c r="B36" s="32" t="s">
        <v>42</v>
      </c>
      <c r="C36" s="18"/>
      <c r="D36" s="14"/>
      <c r="E36" s="14"/>
      <c r="F36" s="525"/>
      <c r="G36" s="525"/>
      <c r="H36" s="525"/>
      <c r="I36" s="387"/>
      <c r="J36" s="387"/>
      <c r="K36" s="387"/>
      <c r="L36" s="387"/>
      <c r="M36" s="387"/>
      <c r="N36" s="387"/>
      <c r="O36" s="350"/>
      <c r="P36" s="350"/>
      <c r="Q36" s="350"/>
      <c r="R36" s="350"/>
      <c r="S36" s="350"/>
      <c r="T36" s="350"/>
      <c r="U36" s="350"/>
      <c r="V36" s="350"/>
      <c r="W36" s="350"/>
      <c r="X36" s="350"/>
      <c r="Y36" s="14"/>
      <c r="Z36" s="14"/>
      <c r="AC36" s="3" t="s">
        <v>180</v>
      </c>
      <c r="AD36" s="3" cm="1">
        <f t="array" ref="AD36">angleConvert2Decimal(J35)*AD35</f>
        <v>48.875500000000002</v>
      </c>
      <c r="BN36" s="31"/>
    </row>
    <row r="37" spans="1:66" ht="17.25" customHeight="1" thickTop="1">
      <c r="A37" s="17" t="s">
        <v>3</v>
      </c>
      <c r="B37" s="32" t="s">
        <v>5</v>
      </c>
      <c r="C37" s="18">
        <v>1</v>
      </c>
      <c r="D37" s="14"/>
      <c r="E37" s="14"/>
      <c r="F37" s="14"/>
      <c r="G37" s="14"/>
      <c r="H37" s="14"/>
      <c r="BN37" s="31"/>
    </row>
    <row r="38" spans="1:66" ht="17.25" customHeight="1" thickBot="1">
      <c r="A38" s="19" t="s">
        <v>4</v>
      </c>
      <c r="B38" s="20" t="s">
        <v>6</v>
      </c>
      <c r="C38" s="21">
        <v>-1</v>
      </c>
      <c r="D38" s="14"/>
      <c r="E38" s="526" t="s">
        <v>8</v>
      </c>
      <c r="F38" s="526"/>
      <c r="G38" s="526"/>
      <c r="H38" s="526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BN38" s="31"/>
    </row>
    <row r="39" spans="1:66" ht="17.25" customHeight="1" thickBot="1">
      <c r="C39" s="14"/>
      <c r="D39" s="14"/>
      <c r="E39" s="526"/>
      <c r="F39" s="526"/>
      <c r="G39" s="526"/>
      <c r="H39" s="526"/>
      <c r="I39" s="14"/>
      <c r="J39" s="14" t="s">
        <v>140</v>
      </c>
      <c r="K39" s="14"/>
      <c r="L39" s="14" t="s">
        <v>149</v>
      </c>
      <c r="M39" s="14"/>
      <c r="N39" s="14"/>
      <c r="O39" s="14"/>
      <c r="P39" s="14"/>
      <c r="Q39" s="14"/>
      <c r="R39" s="14"/>
      <c r="S39" s="14"/>
      <c r="T39" s="14"/>
      <c r="U39" s="14"/>
      <c r="V39" s="14"/>
      <c r="BN39" s="31"/>
    </row>
    <row r="40" spans="1:66" ht="17.25" customHeight="1" thickTop="1" thickBot="1">
      <c r="B40" s="14"/>
      <c r="C40" s="14"/>
      <c r="D40" s="14"/>
      <c r="E40" s="14"/>
      <c r="F40" s="462">
        <f>AD41</f>
        <v>2.0945</v>
      </c>
      <c r="G40" s="525"/>
      <c r="H40" s="525"/>
      <c r="I40" s="387" t="s">
        <v>5</v>
      </c>
      <c r="J40" s="389" t="s">
        <v>470</v>
      </c>
      <c r="K40" s="387"/>
      <c r="L40" s="387"/>
      <c r="M40" s="387"/>
      <c r="N40" s="387"/>
      <c r="O40" s="350" t="str" cm="1">
        <f t="array" ref="O40">angleDecimal2Txt(F40)</f>
        <v>+02°05.66 (+02.0945) [+02°05'40.19]</v>
      </c>
      <c r="P40" s="350"/>
      <c r="Q40" s="350"/>
      <c r="R40" s="350"/>
      <c r="S40" s="350"/>
      <c r="T40" s="350"/>
      <c r="U40" s="350"/>
      <c r="V40" s="350"/>
      <c r="W40" s="350"/>
      <c r="X40" s="350"/>
      <c r="Y40" s="14"/>
      <c r="Z40" s="14"/>
      <c r="AC40" s="3" t="s">
        <v>181</v>
      </c>
      <c r="AD40" s="3">
        <f>VLOOKUP(I40,B37:C38,2)</f>
        <v>1</v>
      </c>
    </row>
    <row r="41" spans="1:66" ht="17.25" customHeight="1" thickTop="1" thickBot="1">
      <c r="C41" s="14"/>
      <c r="D41" s="14"/>
      <c r="E41" s="14"/>
      <c r="F41" s="525"/>
      <c r="G41" s="525"/>
      <c r="H41" s="525"/>
      <c r="I41" s="387"/>
      <c r="J41" s="387"/>
      <c r="K41" s="387"/>
      <c r="L41" s="387"/>
      <c r="M41" s="387"/>
      <c r="N41" s="387"/>
      <c r="O41" s="350"/>
      <c r="P41" s="350"/>
      <c r="Q41" s="350"/>
      <c r="R41" s="350"/>
      <c r="S41" s="350"/>
      <c r="T41" s="350"/>
      <c r="U41" s="350"/>
      <c r="V41" s="350"/>
      <c r="W41" s="350"/>
      <c r="X41" s="350"/>
      <c r="Y41" s="14"/>
      <c r="Z41" s="14"/>
      <c r="AC41" s="3" t="s">
        <v>182</v>
      </c>
      <c r="AD41" s="3" cm="1">
        <f t="array" ref="AD41">angleConvert2Decimal(J40)*AD40</f>
        <v>2.0945</v>
      </c>
    </row>
    <row r="42" spans="1:66" ht="17.25" customHeight="1" thickTop="1"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66" ht="17.25" customHeight="1" thickBot="1"/>
    <row r="44" spans="1:66" ht="17.25" customHeight="1" thickBot="1">
      <c r="B44" s="25" t="s">
        <v>9</v>
      </c>
      <c r="C44" s="26"/>
      <c r="D44" s="26"/>
      <c r="E44" s="26"/>
      <c r="F44" s="379">
        <f>IF(G45=AD45,F49,F57)</f>
        <v>16.808124537037038</v>
      </c>
      <c r="G44" s="379"/>
      <c r="H44" s="379"/>
      <c r="I44" s="26"/>
      <c r="J44" s="26"/>
      <c r="K44" s="26" t="str" cm="1">
        <f t="array" ref="K44">angleDecimal2Txt(F44)</f>
        <v>+16°48.48 (+16.8081) [+16°48'29.24]</v>
      </c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66"/>
    </row>
    <row r="45" spans="1:66" s="33" customFormat="1" ht="17.25" customHeight="1">
      <c r="C45" s="377" t="s">
        <v>35</v>
      </c>
      <c r="D45" s="377"/>
      <c r="E45" s="377"/>
      <c r="F45" s="377"/>
      <c r="G45" s="383" t="s">
        <v>10</v>
      </c>
      <c r="H45" s="383"/>
      <c r="I45" s="383"/>
      <c r="AB45" s="67"/>
      <c r="AC45" s="596" t="s">
        <v>36</v>
      </c>
      <c r="AD45" s="70" t="s">
        <v>10</v>
      </c>
      <c r="AE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</row>
    <row r="46" spans="1:66" ht="17.25" customHeight="1">
      <c r="C46" s="34" t="s">
        <v>10</v>
      </c>
      <c r="D46" s="34"/>
      <c r="E46" s="35"/>
      <c r="F46" s="35"/>
      <c r="G46" s="14"/>
      <c r="H46" s="14"/>
      <c r="I46" s="14"/>
      <c r="AC46" s="596"/>
      <c r="AD46" s="70" t="s">
        <v>14</v>
      </c>
      <c r="AF46" s="16"/>
      <c r="AG46" s="16"/>
    </row>
    <row r="47" spans="1:66" ht="17.25" customHeight="1">
      <c r="F47" s="388" t="s">
        <v>9</v>
      </c>
      <c r="G47" s="388"/>
      <c r="H47" s="388"/>
      <c r="I47" s="388" t="s">
        <v>12</v>
      </c>
      <c r="J47" s="388"/>
      <c r="K47" s="388"/>
      <c r="L47" s="388"/>
      <c r="M47" s="380" t="s">
        <v>13</v>
      </c>
      <c r="N47" s="380"/>
      <c r="O47" s="380"/>
      <c r="P47" s="390" t="s">
        <v>15</v>
      </c>
      <c r="Q47" s="390"/>
      <c r="R47" s="390"/>
      <c r="S47" s="390"/>
      <c r="T47" s="390"/>
      <c r="U47" s="14"/>
      <c r="AD47" s="75" t="s">
        <v>73</v>
      </c>
      <c r="AE47" s="3" t="s">
        <v>191</v>
      </c>
    </row>
    <row r="48" spans="1:66" ht="17.25" customHeight="1" thickBot="1">
      <c r="F48" s="388"/>
      <c r="G48" s="388"/>
      <c r="H48" s="388"/>
      <c r="I48" s="388"/>
      <c r="J48" s="388"/>
      <c r="K48" s="388"/>
      <c r="L48" s="388"/>
      <c r="M48" s="380"/>
      <c r="N48" s="380"/>
      <c r="O48" s="380"/>
      <c r="P48" s="390"/>
      <c r="Q48" s="390"/>
      <c r="R48" s="390"/>
      <c r="S48" s="390"/>
      <c r="T48" s="390"/>
      <c r="U48" s="14"/>
      <c r="AC48" s="3" t="s">
        <v>183</v>
      </c>
      <c r="AD48" s="3">
        <f>VLOOKUP(P49,$A$37:$C$38,3)</f>
        <v>1</v>
      </c>
      <c r="AE48" s="3" cm="1">
        <f t="array" ref="AE48">AD48*angleConvert2Decimal(Q49)</f>
        <v>16.811666666666667</v>
      </c>
    </row>
    <row r="49" spans="1:35" ht="17.25" customHeight="1" thickTop="1" thickBot="1">
      <c r="E49" s="16"/>
      <c r="F49" s="461">
        <f>IF(G45=AD46,"---",AD53)</f>
        <v>16.808124537037038</v>
      </c>
      <c r="G49" s="461"/>
      <c r="H49" s="461"/>
      <c r="I49" s="498">
        <f>E11</f>
        <v>7.3036111111111124</v>
      </c>
      <c r="J49" s="498"/>
      <c r="K49" s="498"/>
      <c r="L49" s="498"/>
      <c r="M49" s="594">
        <v>7</v>
      </c>
      <c r="N49" s="386"/>
      <c r="O49" s="386"/>
      <c r="P49" s="386" t="s">
        <v>3</v>
      </c>
      <c r="Q49" s="529" t="s">
        <v>474</v>
      </c>
      <c r="R49" s="592"/>
      <c r="S49" s="592"/>
      <c r="T49" s="592"/>
      <c r="U49" s="350" t="str" cm="1">
        <f t="array" ref="U49">angleDecimal2Txt(AE48)</f>
        <v>+16°48.70 (+16.8116) [+16°48'42.00]</v>
      </c>
      <c r="V49" s="524"/>
      <c r="W49" s="524"/>
      <c r="X49" s="524"/>
      <c r="Y49" s="524"/>
      <c r="AC49" s="3" t="s">
        <v>184</v>
      </c>
      <c r="AD49" s="3">
        <f>VLOOKUP(P51,$A$37:$C$38,3)</f>
        <v>1</v>
      </c>
      <c r="AE49" s="3" cm="1">
        <f t="array" ref="AE49">AD49*angleConvert2Decimal(Q51)</f>
        <v>16.8</v>
      </c>
    </row>
    <row r="50" spans="1:35" ht="17.25" customHeight="1" thickTop="1" thickBot="1">
      <c r="F50" s="462"/>
      <c r="G50" s="462"/>
      <c r="H50" s="462"/>
      <c r="I50" s="498"/>
      <c r="J50" s="498"/>
      <c r="K50" s="498"/>
      <c r="L50" s="498"/>
      <c r="M50" s="595"/>
      <c r="N50" s="387"/>
      <c r="O50" s="387"/>
      <c r="P50" s="387"/>
      <c r="Q50" s="593"/>
      <c r="R50" s="593"/>
      <c r="S50" s="593"/>
      <c r="T50" s="593"/>
      <c r="U50" s="524"/>
      <c r="V50" s="524"/>
      <c r="W50" s="524"/>
      <c r="X50" s="524"/>
      <c r="Y50" s="524"/>
      <c r="AC50" s="3" t="s">
        <v>38</v>
      </c>
      <c r="AD50" s="5">
        <f>AE49-AE48</f>
        <v>-1.1666666666666714E-2</v>
      </c>
    </row>
    <row r="51" spans="1:35" ht="17.25" customHeight="1" thickTop="1" thickBot="1">
      <c r="F51" s="462"/>
      <c r="G51" s="462"/>
      <c r="H51" s="462"/>
      <c r="I51" s="498"/>
      <c r="J51" s="498"/>
      <c r="K51" s="498"/>
      <c r="L51" s="498"/>
      <c r="M51" s="636">
        <v>8</v>
      </c>
      <c r="N51" s="387"/>
      <c r="O51" s="387"/>
      <c r="P51" s="387" t="s">
        <v>3</v>
      </c>
      <c r="Q51" s="637" t="s">
        <v>473</v>
      </c>
      <c r="R51" s="593"/>
      <c r="S51" s="593"/>
      <c r="T51" s="593"/>
      <c r="U51" s="350" t="str" cm="1">
        <f t="array" ref="U51">angleDecimal2Txt((AE49))</f>
        <v>+16°48.00 (+16.8000) [+16°48'00.00]</v>
      </c>
      <c r="V51" s="524"/>
      <c r="W51" s="524"/>
      <c r="X51" s="524"/>
      <c r="Y51" s="524"/>
      <c r="AC51" s="3" t="s">
        <v>185</v>
      </c>
      <c r="AD51" s="5">
        <f>M51-M49</f>
        <v>1</v>
      </c>
      <c r="AE51" s="16"/>
      <c r="AF51" s="16"/>
      <c r="AG51" s="16"/>
      <c r="AH51" s="16"/>
    </row>
    <row r="52" spans="1:35" ht="17.25" customHeight="1" thickTop="1" thickBot="1">
      <c r="F52" s="462"/>
      <c r="G52" s="462"/>
      <c r="H52" s="462"/>
      <c r="I52" s="498"/>
      <c r="J52" s="498"/>
      <c r="K52" s="498"/>
      <c r="L52" s="498"/>
      <c r="M52" s="595"/>
      <c r="N52" s="387"/>
      <c r="O52" s="387"/>
      <c r="P52" s="387"/>
      <c r="Q52" s="593"/>
      <c r="R52" s="593"/>
      <c r="S52" s="593"/>
      <c r="T52" s="593"/>
      <c r="U52" s="524"/>
      <c r="V52" s="524"/>
      <c r="W52" s="524"/>
      <c r="X52" s="524"/>
      <c r="Y52" s="524"/>
      <c r="AC52" s="3" t="s">
        <v>39</v>
      </c>
      <c r="AD52" s="5">
        <f>I49-M49</f>
        <v>0.30361111111111239</v>
      </c>
      <c r="AI52" s="11"/>
    </row>
    <row r="53" spans="1:35" ht="17.25" customHeight="1" thickTop="1" thickBot="1">
      <c r="F53" s="327" t="str" cm="1">
        <f t="array" ref="F53">angleDecimal2Txt(F49)</f>
        <v>+16°48.48 (+16.8081) [+16°48'29.24]</v>
      </c>
      <c r="G53" s="327"/>
      <c r="H53" s="327"/>
      <c r="I53" s="527"/>
      <c r="J53" s="527"/>
      <c r="K53" s="527"/>
      <c r="AA53" s="14"/>
      <c r="AC53" s="3" t="s">
        <v>37</v>
      </c>
      <c r="AD53" s="3">
        <f>AE48+(AD50/AD51)*AD52</f>
        <v>16.808124537037038</v>
      </c>
    </row>
    <row r="54" spans="1:35" ht="17.25" customHeight="1" thickTop="1">
      <c r="C54" s="34" t="s">
        <v>14</v>
      </c>
      <c r="D54" s="34"/>
      <c r="E54" s="35"/>
      <c r="F54" s="35"/>
      <c r="G54" s="14"/>
      <c r="H54" s="14"/>
      <c r="I54" s="14"/>
      <c r="AA54" s="14"/>
    </row>
    <row r="55" spans="1:35" ht="17.25" customHeight="1">
      <c r="C55" s="14"/>
      <c r="D55" s="14"/>
      <c r="E55" s="14"/>
      <c r="F55" s="388" t="s">
        <v>9</v>
      </c>
      <c r="G55" s="388"/>
      <c r="H55" s="388"/>
      <c r="I55" s="388" t="s">
        <v>12</v>
      </c>
      <c r="J55" s="388"/>
      <c r="K55" s="388"/>
      <c r="L55" s="388"/>
      <c r="M55" s="380" t="s">
        <v>13</v>
      </c>
      <c r="N55" s="380"/>
      <c r="O55" s="380"/>
      <c r="P55" s="390" t="s">
        <v>16</v>
      </c>
      <c r="Q55" s="390"/>
      <c r="R55" s="390"/>
      <c r="S55" s="390"/>
      <c r="T55" s="390"/>
      <c r="U55" s="390" t="s">
        <v>142</v>
      </c>
      <c r="V55" s="390"/>
      <c r="W55" s="390"/>
      <c r="X55" s="390"/>
      <c r="Y55" s="390"/>
      <c r="AA55" s="14"/>
      <c r="AC55" s="3" t="s">
        <v>186</v>
      </c>
      <c r="AD55" s="3">
        <f>VLOOKUP(P57,$A$37:$C$38,3)</f>
        <v>1</v>
      </c>
    </row>
    <row r="56" spans="1:35" ht="17.25" customHeight="1">
      <c r="F56" s="388"/>
      <c r="G56" s="388"/>
      <c r="H56" s="388"/>
      <c r="I56" s="388"/>
      <c r="J56" s="388"/>
      <c r="K56" s="388"/>
      <c r="L56" s="388"/>
      <c r="M56" s="380"/>
      <c r="N56" s="380"/>
      <c r="O56" s="380"/>
      <c r="P56" s="390"/>
      <c r="Q56" s="390"/>
      <c r="R56" s="390"/>
      <c r="S56" s="390"/>
      <c r="T56" s="390"/>
      <c r="U56" s="390"/>
      <c r="V56" s="390"/>
      <c r="W56" s="390"/>
      <c r="X56" s="390"/>
      <c r="Y56" s="390"/>
      <c r="Z56" s="14"/>
      <c r="AA56" s="14"/>
      <c r="AC56" s="3" t="s">
        <v>187</v>
      </c>
      <c r="AD56" s="3" cm="1">
        <f t="array" ref="AD56">angleConvert2Decimal(Q57)*AD55</f>
        <v>23.176666666666666</v>
      </c>
    </row>
    <row r="57" spans="1:35" ht="17.25" customHeight="1">
      <c r="E57" s="16"/>
      <c r="F57" s="461" t="str">
        <f>IF(G45=AD46,AD59,"---")</f>
        <v>---</v>
      </c>
      <c r="G57" s="461"/>
      <c r="H57" s="461"/>
      <c r="I57" s="498">
        <f>E11</f>
        <v>7.3036111111111124</v>
      </c>
      <c r="J57" s="498"/>
      <c r="K57" s="498"/>
      <c r="L57" s="498"/>
      <c r="M57" s="599">
        <v>0</v>
      </c>
      <c r="N57" s="386"/>
      <c r="O57" s="386"/>
      <c r="P57" s="386" t="s">
        <v>3</v>
      </c>
      <c r="Q57" s="602" t="s">
        <v>380</v>
      </c>
      <c r="R57" s="386"/>
      <c r="S57" s="386"/>
      <c r="T57" s="386"/>
      <c r="U57" s="386" t="s">
        <v>3</v>
      </c>
      <c r="V57" s="602" t="s">
        <v>381</v>
      </c>
      <c r="W57" s="386"/>
      <c r="X57" s="386"/>
      <c r="Y57" s="386"/>
      <c r="Z57" s="14"/>
      <c r="AC57" s="3" t="s">
        <v>188</v>
      </c>
      <c r="AD57" s="3">
        <f>VLOOKUP(U57,$A$37:$C$38,3)</f>
        <v>1</v>
      </c>
    </row>
    <row r="58" spans="1:35" ht="17.25" customHeight="1" collapsed="1" thickBot="1">
      <c r="F58" s="462"/>
      <c r="G58" s="462"/>
      <c r="H58" s="462"/>
      <c r="I58" s="498"/>
      <c r="J58" s="498"/>
      <c r="K58" s="498"/>
      <c r="L58" s="498"/>
      <c r="M58" s="595"/>
      <c r="N58" s="387"/>
      <c r="O58" s="387"/>
      <c r="P58" s="387"/>
      <c r="Q58" s="387"/>
      <c r="R58" s="387"/>
      <c r="S58" s="387"/>
      <c r="T58" s="387"/>
      <c r="U58" s="387"/>
      <c r="V58" s="387"/>
      <c r="W58" s="387"/>
      <c r="X58" s="387"/>
      <c r="Y58" s="387"/>
      <c r="Z58" s="14"/>
      <c r="AC58" s="3" t="s">
        <v>189</v>
      </c>
      <c r="AD58" s="3" cm="1">
        <f t="array" ref="AD58">angleConvert2Decimal(V57)*AD57</f>
        <v>3.3333333333333335E-3</v>
      </c>
    </row>
    <row r="59" spans="1:35" ht="17.25" customHeight="1" thickTop="1" thickBot="1">
      <c r="F59" s="327" t="e" cm="1">
        <f t="array" ref="F59">angleDecimal2Txt(F57)</f>
        <v>#VALUE!</v>
      </c>
      <c r="G59" s="327"/>
      <c r="H59" s="327"/>
      <c r="I59" s="527"/>
      <c r="J59" s="527"/>
      <c r="K59" s="527"/>
      <c r="P59" s="327" t="str" cm="1">
        <f t="array" ref="P59">angleDecimal2Txt(AD56)</f>
        <v>+23°10.59 (+23.1766) [+23°10'36.00]</v>
      </c>
      <c r="Q59" s="327"/>
      <c r="R59" s="327"/>
      <c r="S59" s="327"/>
      <c r="T59" s="327"/>
      <c r="U59" s="327" t="str" cm="1">
        <f t="array" ref="U59">angleDecimal2Txt(AD58)</f>
        <v>+00°00.20 (+00.0033) [+00°00'12.00]</v>
      </c>
      <c r="V59" s="538"/>
      <c r="W59" s="538"/>
      <c r="X59" s="538"/>
      <c r="Y59" s="538"/>
      <c r="AC59" s="3" t="s">
        <v>190</v>
      </c>
      <c r="AD59" s="3">
        <f>AD56+AD58*(I57-M57)</f>
        <v>23.201012037037035</v>
      </c>
    </row>
    <row r="60" spans="1:35" ht="17.25" customHeight="1" thickTop="1">
      <c r="S60" s="14"/>
      <c r="T60" s="14"/>
      <c r="U60" s="14"/>
      <c r="V60" s="14"/>
      <c r="W60" s="14"/>
      <c r="X60" s="14"/>
    </row>
    <row r="61" spans="1:35" ht="17.25" customHeight="1" thickBot="1">
      <c r="S61" s="14"/>
      <c r="T61" s="14"/>
      <c r="U61" s="14"/>
      <c r="V61" s="14"/>
      <c r="W61" s="14"/>
      <c r="X61" s="14"/>
    </row>
    <row r="62" spans="1:35" ht="17.25" customHeight="1" thickBot="1">
      <c r="A62" s="33"/>
      <c r="B62" s="25" t="s">
        <v>145</v>
      </c>
      <c r="C62" s="26"/>
      <c r="D62" s="26"/>
      <c r="E62" s="26"/>
      <c r="F62" s="379">
        <f>IF(G63=AD63,F67,F75)</f>
        <v>288.05633935185188</v>
      </c>
      <c r="G62" s="379"/>
      <c r="H62" s="379"/>
      <c r="I62" s="26"/>
      <c r="J62" s="26"/>
      <c r="K62" s="26"/>
      <c r="L62" s="376">
        <f>F62-360</f>
        <v>-71.943660648148125</v>
      </c>
      <c r="M62" s="376"/>
      <c r="N62" s="26" t="s">
        <v>28</v>
      </c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66"/>
    </row>
    <row r="63" spans="1:35" ht="17.25" customHeight="1">
      <c r="B63" s="33"/>
      <c r="C63" s="377" t="s">
        <v>35</v>
      </c>
      <c r="D63" s="377"/>
      <c r="E63" s="377"/>
      <c r="F63" s="378"/>
      <c r="G63" s="611" t="s">
        <v>10</v>
      </c>
      <c r="H63" s="612"/>
      <c r="I63" s="61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67"/>
      <c r="AC63" s="596" t="s">
        <v>36</v>
      </c>
      <c r="AD63" s="70" t="s">
        <v>10</v>
      </c>
    </row>
    <row r="64" spans="1:35" ht="17.25" customHeight="1">
      <c r="C64" s="34" t="s">
        <v>10</v>
      </c>
      <c r="D64" s="34"/>
      <c r="E64" s="35"/>
      <c r="F64" s="35"/>
      <c r="G64" s="14"/>
      <c r="H64" s="14"/>
      <c r="I64" s="14"/>
      <c r="AC64" s="596"/>
      <c r="AD64" s="70" t="s">
        <v>14</v>
      </c>
    </row>
    <row r="65" spans="3:35" ht="17.25" customHeight="1">
      <c r="F65" s="365" t="s">
        <v>9</v>
      </c>
      <c r="G65" s="381"/>
      <c r="H65" s="366"/>
      <c r="I65" s="365" t="s">
        <v>12</v>
      </c>
      <c r="J65" s="381"/>
      <c r="K65" s="381"/>
      <c r="L65" s="366"/>
      <c r="M65" s="507" t="s">
        <v>13</v>
      </c>
      <c r="N65" s="508"/>
      <c r="O65" s="509"/>
      <c r="P65" s="499" t="s">
        <v>15</v>
      </c>
      <c r="Q65" s="500"/>
      <c r="R65" s="500"/>
      <c r="S65" s="500"/>
      <c r="T65" s="501"/>
      <c r="U65" s="14"/>
      <c r="AD65" s="75" t="s">
        <v>73</v>
      </c>
      <c r="AE65" s="3" t="s">
        <v>191</v>
      </c>
    </row>
    <row r="66" spans="3:35" ht="17.25" customHeight="1" thickBot="1">
      <c r="F66" s="369"/>
      <c r="G66" s="382"/>
      <c r="H66" s="370"/>
      <c r="I66" s="369"/>
      <c r="J66" s="382"/>
      <c r="K66" s="382"/>
      <c r="L66" s="370"/>
      <c r="M66" s="510"/>
      <c r="N66" s="511"/>
      <c r="O66" s="512"/>
      <c r="P66" s="502"/>
      <c r="Q66" s="503"/>
      <c r="R66" s="503"/>
      <c r="S66" s="503"/>
      <c r="T66" s="504"/>
      <c r="U66" s="14"/>
      <c r="Z66"/>
      <c r="AC66" s="3" t="s">
        <v>183</v>
      </c>
      <c r="AD66" s="3">
        <f>VLOOKUP(P67,$B$37:$C$38,2)</f>
        <v>1</v>
      </c>
      <c r="AE66" s="3" cm="1">
        <f t="array" ref="AE66">AD66*angleConvert2Decimal(Q67)</f>
        <v>283.50166666666667</v>
      </c>
    </row>
    <row r="67" spans="3:35" ht="17.25" customHeight="1" thickTop="1" thickBot="1">
      <c r="E67" s="16"/>
      <c r="F67" s="461">
        <f>IF(G63=AD64,"---",AF71)</f>
        <v>288.05633935185188</v>
      </c>
      <c r="G67" s="461"/>
      <c r="H67" s="461"/>
      <c r="I67" s="498">
        <f>E11</f>
        <v>7.3036111111111124</v>
      </c>
      <c r="J67" s="498"/>
      <c r="K67" s="498"/>
      <c r="L67" s="498"/>
      <c r="M67" s="457">
        <v>7</v>
      </c>
      <c r="N67" s="458"/>
      <c r="O67" s="458"/>
      <c r="P67" s="498" t="s">
        <v>5</v>
      </c>
      <c r="Q67" s="530" t="s">
        <v>471</v>
      </c>
      <c r="R67" s="530"/>
      <c r="S67" s="530"/>
      <c r="T67" s="531"/>
      <c r="U67" s="350" t="str" cm="1">
        <f t="array" ref="U67">angleDecimal2Txt(AE66)</f>
        <v>+283°30.10 (+283.5016) [+283°30'06.00]</v>
      </c>
      <c r="V67" s="524"/>
      <c r="W67" s="524"/>
      <c r="X67" s="524"/>
      <c r="Y67" s="524"/>
      <c r="Z67"/>
      <c r="AC67" s="3" t="s">
        <v>184</v>
      </c>
      <c r="AD67" s="3">
        <f>VLOOKUP(P69,$B$37:$C$38,2)</f>
        <v>1</v>
      </c>
      <c r="AE67" s="3" cm="1">
        <f t="array" ref="AE67">AD67*angleConvert2Decimal(Q69)</f>
        <v>298.50333333333333</v>
      </c>
    </row>
    <row r="68" spans="3:35" ht="17.25" customHeight="1" thickTop="1" thickBot="1">
      <c r="F68" s="462"/>
      <c r="G68" s="462"/>
      <c r="H68" s="462"/>
      <c r="I68" s="498"/>
      <c r="J68" s="498"/>
      <c r="K68" s="498"/>
      <c r="L68" s="498"/>
      <c r="M68" s="459"/>
      <c r="N68" s="460"/>
      <c r="O68" s="460"/>
      <c r="P68" s="498"/>
      <c r="Q68" s="532"/>
      <c r="R68" s="532"/>
      <c r="S68" s="532"/>
      <c r="T68" s="533"/>
      <c r="U68" s="524"/>
      <c r="V68" s="524"/>
      <c r="W68" s="524"/>
      <c r="X68" s="524"/>
      <c r="Y68" s="524"/>
      <c r="Z68"/>
      <c r="AC68" s="3" t="s">
        <v>38</v>
      </c>
      <c r="AD68" s="5">
        <f>AE67-AE66</f>
        <v>15.001666666666665</v>
      </c>
    </row>
    <row r="69" spans="3:35" ht="17.25" customHeight="1" thickTop="1" thickBot="1">
      <c r="F69" s="462"/>
      <c r="G69" s="462"/>
      <c r="H69" s="462"/>
      <c r="I69" s="498"/>
      <c r="J69" s="498"/>
      <c r="K69" s="498"/>
      <c r="L69" s="498"/>
      <c r="M69" s="609">
        <v>8</v>
      </c>
      <c r="N69" s="610"/>
      <c r="O69" s="610"/>
      <c r="P69" s="498" t="s">
        <v>5</v>
      </c>
      <c r="Q69" s="534" t="s">
        <v>472</v>
      </c>
      <c r="R69" s="534"/>
      <c r="S69" s="534"/>
      <c r="T69" s="535"/>
      <c r="U69" s="350" t="str" cm="1">
        <f t="array" ref="U69">angleDecimal2Txt((AE67))</f>
        <v>+298°30.19 (+298.5033) [+298°30'12.00]</v>
      </c>
      <c r="V69" s="524"/>
      <c r="W69" s="524"/>
      <c r="X69" s="524"/>
      <c r="Y69" s="524"/>
      <c r="Z69"/>
      <c r="AC69" s="3" t="s">
        <v>185</v>
      </c>
      <c r="AD69" s="5">
        <f>M69-M67</f>
        <v>1</v>
      </c>
      <c r="AE69" s="16"/>
    </row>
    <row r="70" spans="3:35" ht="17.25" customHeight="1" thickTop="1" thickBot="1">
      <c r="F70" s="462"/>
      <c r="G70" s="462"/>
      <c r="H70" s="462"/>
      <c r="I70" s="498"/>
      <c r="J70" s="498"/>
      <c r="K70" s="498"/>
      <c r="L70" s="498"/>
      <c r="M70" s="459"/>
      <c r="N70" s="460"/>
      <c r="O70" s="460"/>
      <c r="P70" s="498"/>
      <c r="Q70" s="532"/>
      <c r="R70" s="532"/>
      <c r="S70" s="532"/>
      <c r="T70" s="533"/>
      <c r="U70" s="524"/>
      <c r="V70" s="524"/>
      <c r="W70" s="524"/>
      <c r="X70" s="524"/>
      <c r="Y70" s="524"/>
      <c r="Z70"/>
      <c r="AC70" s="3" t="s">
        <v>39</v>
      </c>
      <c r="AD70" s="5">
        <f>I67-M67</f>
        <v>0.30361111111111239</v>
      </c>
    </row>
    <row r="71" spans="3:35" ht="17.25" customHeight="1" thickTop="1" thickBot="1">
      <c r="F71" s="450">
        <f>AC72</f>
        <v>0</v>
      </c>
      <c r="G71" s="451"/>
      <c r="H71" s="451"/>
      <c r="I71" s="586"/>
      <c r="J71" s="586"/>
      <c r="K71" s="587"/>
      <c r="Q71" s="103"/>
      <c r="Z71"/>
      <c r="AA71" s="14"/>
      <c r="AC71" s="3" t="s">
        <v>298</v>
      </c>
      <c r="AD71" s="3">
        <f>IF(AF71&gt;360,AF71-360,AF71)</f>
        <v>288.05633935185188</v>
      </c>
      <c r="AE71" s="3" t="s">
        <v>37</v>
      </c>
      <c r="AF71" s="3">
        <f>(AE66+(AD68/AD69)*AD70)</f>
        <v>288.05633935185188</v>
      </c>
    </row>
    <row r="72" spans="3:35" ht="17.25" customHeight="1" thickTop="1">
      <c r="C72" s="34" t="s">
        <v>14</v>
      </c>
      <c r="D72" s="34"/>
      <c r="E72" s="35"/>
      <c r="F72" s="35"/>
      <c r="G72" s="14"/>
      <c r="H72" s="14"/>
      <c r="I72" s="14"/>
      <c r="Z72"/>
      <c r="AA72" s="14"/>
    </row>
    <row r="73" spans="3:35" ht="17.25" customHeight="1">
      <c r="C73" s="14"/>
      <c r="D73" s="14"/>
      <c r="E73" s="14"/>
      <c r="F73" s="365" t="s">
        <v>9</v>
      </c>
      <c r="G73" s="381"/>
      <c r="H73" s="366"/>
      <c r="I73" s="365" t="s">
        <v>12</v>
      </c>
      <c r="J73" s="381"/>
      <c r="K73" s="381"/>
      <c r="L73" s="366"/>
      <c r="M73" s="507" t="s">
        <v>13</v>
      </c>
      <c r="N73" s="508"/>
      <c r="O73" s="509"/>
      <c r="P73" s="499" t="s">
        <v>16</v>
      </c>
      <c r="Q73" s="500"/>
      <c r="R73" s="500"/>
      <c r="S73" s="500"/>
      <c r="T73" s="501"/>
      <c r="U73" s="499" t="s">
        <v>98</v>
      </c>
      <c r="V73" s="500"/>
      <c r="W73" s="500"/>
      <c r="X73" s="500"/>
      <c r="Y73" s="501"/>
      <c r="AA73" s="14"/>
      <c r="AC73" s="3" t="s">
        <v>186</v>
      </c>
      <c r="AD73" s="3">
        <f>VLOOKUP(P75,$B$37:$C$38,2)</f>
        <v>1</v>
      </c>
    </row>
    <row r="74" spans="3:35" ht="17.25" customHeight="1" collapsed="1">
      <c r="F74" s="369"/>
      <c r="G74" s="382"/>
      <c r="H74" s="370"/>
      <c r="I74" s="369"/>
      <c r="J74" s="382"/>
      <c r="K74" s="382"/>
      <c r="L74" s="370"/>
      <c r="M74" s="510"/>
      <c r="N74" s="511"/>
      <c r="O74" s="512"/>
      <c r="P74" s="502"/>
      <c r="Q74" s="503"/>
      <c r="R74" s="503"/>
      <c r="S74" s="503"/>
      <c r="T74" s="504"/>
      <c r="U74" s="502"/>
      <c r="V74" s="505"/>
      <c r="W74" s="505"/>
      <c r="X74" s="505"/>
      <c r="Y74" s="506"/>
      <c r="Z74" s="14"/>
      <c r="AA74" s="14"/>
      <c r="AC74" s="3" t="s">
        <v>187</v>
      </c>
      <c r="AD74" s="3" cm="1">
        <f t="array" ref="AD74">angleConvert2Decimal(Q75)*AD73</f>
        <v>180.03333333333333</v>
      </c>
    </row>
    <row r="75" spans="3:35" ht="17.25" customHeight="1">
      <c r="E75" s="16"/>
      <c r="F75" s="461" t="str">
        <f>IF(G63=AD64,AF77,"---")</f>
        <v>---</v>
      </c>
      <c r="G75" s="461"/>
      <c r="H75" s="461"/>
      <c r="I75" s="452">
        <f>E11</f>
        <v>7.3036111111111124</v>
      </c>
      <c r="J75" s="453"/>
      <c r="K75" s="453"/>
      <c r="L75" s="454"/>
      <c r="M75" s="457">
        <v>0</v>
      </c>
      <c r="N75" s="458"/>
      <c r="O75" s="458"/>
      <c r="P75" s="498" t="s">
        <v>5</v>
      </c>
      <c r="Q75" s="600" t="s">
        <v>382</v>
      </c>
      <c r="R75" s="600"/>
      <c r="S75" s="600"/>
      <c r="T75" s="600"/>
      <c r="U75" s="498" t="s">
        <v>5</v>
      </c>
      <c r="V75" s="497" t="s">
        <v>383</v>
      </c>
      <c r="W75" s="498"/>
      <c r="X75" s="498"/>
      <c r="Y75" s="498"/>
      <c r="Z75" s="14"/>
      <c r="AC75" s="3" t="s">
        <v>188</v>
      </c>
      <c r="AD75" s="3">
        <f>VLOOKUP(U75,$B$37:$C$38,2)</f>
        <v>1</v>
      </c>
    </row>
    <row r="76" spans="3:35" ht="17.25" customHeight="1" thickBot="1">
      <c r="F76" s="462"/>
      <c r="G76" s="462"/>
      <c r="H76" s="462"/>
      <c r="I76" s="401"/>
      <c r="J76" s="455"/>
      <c r="K76" s="455"/>
      <c r="L76" s="456"/>
      <c r="M76" s="459"/>
      <c r="N76" s="460"/>
      <c r="O76" s="460"/>
      <c r="P76" s="498"/>
      <c r="Q76" s="601"/>
      <c r="R76" s="601"/>
      <c r="S76" s="601"/>
      <c r="T76" s="601"/>
      <c r="U76" s="498"/>
      <c r="V76" s="498"/>
      <c r="W76" s="498"/>
      <c r="X76" s="498"/>
      <c r="Y76" s="498"/>
      <c r="Z76" s="14"/>
      <c r="AC76" s="3" t="s">
        <v>189</v>
      </c>
      <c r="AD76" s="3" cm="1">
        <f t="array" ref="AD76">angleConvert2Decimal(V75)*AD75</f>
        <v>14.997999999999999</v>
      </c>
    </row>
    <row r="77" spans="3:35" ht="17.25" customHeight="1" thickTop="1" thickBot="1">
      <c r="F77" s="327" t="e" cm="1">
        <f t="array" ref="F77">angleDecimal2Txt(F75)</f>
        <v>#VALUE!</v>
      </c>
      <c r="G77" s="327"/>
      <c r="H77" s="327"/>
      <c r="I77" s="327"/>
      <c r="J77" s="327"/>
      <c r="K77" s="327"/>
      <c r="P77" s="527" t="str" cm="1">
        <f t="array" ref="P77">angleDecimal2Txt(AD74)</f>
        <v>+180°02.00 (+180.0333) [+180°02'00.00]</v>
      </c>
      <c r="Q77" s="327"/>
      <c r="R77" s="327"/>
      <c r="S77" s="327"/>
      <c r="T77" s="327"/>
      <c r="U77" s="527" t="str" cm="1">
        <f t="array" ref="U77">angleDecimal2Txt(AD76)</f>
        <v>+14°59.87 (+14.9979) [+14°59'52.79]</v>
      </c>
      <c r="V77" s="603"/>
      <c r="W77" s="603"/>
      <c r="X77" s="603"/>
      <c r="Y77" s="603"/>
      <c r="AC77" s="3" t="s">
        <v>298</v>
      </c>
      <c r="AD77" s="3">
        <f>IF(AF77&gt;360,AF77-360,AF77)</f>
        <v>289.57289277777778</v>
      </c>
      <c r="AE77" s="3" t="s">
        <v>37</v>
      </c>
      <c r="AF77" s="3">
        <f>MOD(AD74+AD76*(I75-M75),360)</f>
        <v>289.57289277777778</v>
      </c>
    </row>
    <row r="78" spans="3:35" ht="17.25" customHeight="1" thickTop="1">
      <c r="S78" s="14"/>
      <c r="T78" s="14"/>
      <c r="U78" s="14"/>
      <c r="V78" s="14"/>
      <c r="W78" s="14"/>
      <c r="X78" s="14"/>
    </row>
    <row r="79" spans="3:35" ht="17.25" customHeight="1">
      <c r="S79" s="14"/>
      <c r="T79" s="14"/>
      <c r="U79" s="14"/>
      <c r="V79" s="14"/>
      <c r="W79" s="14"/>
    </row>
    <row r="80" spans="3:35" ht="17.25" customHeight="1" thickBot="1"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I80" s="11"/>
    </row>
    <row r="81" spans="1:66" s="14" customFormat="1" ht="17.25" customHeight="1" thickBot="1">
      <c r="A81" s="16"/>
      <c r="B81" s="25" t="s">
        <v>43</v>
      </c>
      <c r="C81" s="26"/>
      <c r="D81" s="26"/>
      <c r="E81" s="26"/>
      <c r="F81" s="379">
        <f>I82</f>
        <v>290.15083935185186</v>
      </c>
      <c r="G81" s="379"/>
      <c r="H81" s="379"/>
      <c r="I81" s="26"/>
      <c r="J81" s="536" t="s">
        <v>55</v>
      </c>
      <c r="K81" s="536"/>
      <c r="L81" s="536"/>
      <c r="M81" s="464" t="str">
        <f>J21</f>
        <v>Soleil</v>
      </c>
      <c r="N81" s="464"/>
      <c r="O81" s="464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66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31"/>
    </row>
    <row r="82" spans="1:66" ht="17.25" customHeight="1" thickBot="1">
      <c r="C82" s="597" t="s">
        <v>21</v>
      </c>
      <c r="D82" s="597"/>
      <c r="E82" s="597"/>
      <c r="F82" s="597"/>
      <c r="G82" s="597"/>
      <c r="H82" s="598"/>
      <c r="I82" s="633">
        <f>AD83</f>
        <v>290.15083935185186</v>
      </c>
      <c r="J82" s="634"/>
      <c r="K82" s="634"/>
      <c r="L82" s="635"/>
      <c r="M82" s="36" t="s">
        <v>45</v>
      </c>
      <c r="N82" s="435">
        <f>AD82</f>
        <v>290.15083935185186</v>
      </c>
      <c r="O82" s="435"/>
      <c r="P82" s="435"/>
      <c r="Q82" s="435"/>
      <c r="AC82" s="3" t="s">
        <v>192</v>
      </c>
      <c r="AD82" s="5">
        <f>F62+F40</f>
        <v>290.15083935185186</v>
      </c>
    </row>
    <row r="83" spans="1:66" ht="17.25" customHeight="1" thickTop="1" thickBot="1">
      <c r="A83" s="14"/>
      <c r="C83" s="14"/>
      <c r="D83" s="14"/>
      <c r="E83" s="14"/>
      <c r="F83" s="14"/>
      <c r="G83" s="14"/>
      <c r="H83" s="14"/>
      <c r="I83" s="538">
        <f>AC84</f>
        <v>0</v>
      </c>
      <c r="J83" s="538"/>
      <c r="K83" s="538"/>
      <c r="L83" s="538"/>
      <c r="M83" s="538"/>
      <c r="N83" s="538"/>
      <c r="AB83" s="68"/>
      <c r="AC83" s="3" t="s">
        <v>193</v>
      </c>
      <c r="AD83" s="5">
        <f>IF(AD82&gt;360,AD82-360,AD82)</f>
        <v>290.15083935185186</v>
      </c>
    </row>
    <row r="84" spans="1:66" ht="17.25" customHeight="1" thickTop="1" thickBot="1">
      <c r="B84" s="14"/>
      <c r="C84" s="16"/>
      <c r="D84" s="16"/>
      <c r="E84" s="16"/>
      <c r="F84" s="16"/>
      <c r="G84" s="16"/>
      <c r="AA84" s="14"/>
    </row>
    <row r="85" spans="1:66" ht="17.25" customHeight="1" thickBot="1">
      <c r="B85" s="25" t="s">
        <v>23</v>
      </c>
      <c r="C85" s="26"/>
      <c r="D85" s="569" t="s">
        <v>72</v>
      </c>
      <c r="E85" s="573"/>
      <c r="F85" s="379">
        <f>IF(G86=AD86,O125,O115)</f>
        <v>25.004427963076544</v>
      </c>
      <c r="G85" s="379"/>
      <c r="H85" s="379"/>
      <c r="I85" s="26"/>
      <c r="J85" s="26"/>
      <c r="K85" s="26"/>
      <c r="L85" s="26" t="s">
        <v>60</v>
      </c>
      <c r="M85" s="569">
        <f>O88</f>
        <v>25.3</v>
      </c>
      <c r="N85" s="569"/>
      <c r="O85" s="26"/>
      <c r="P85" s="62"/>
      <c r="Q85" s="26" t="s">
        <v>99</v>
      </c>
      <c r="R85" s="26"/>
      <c r="S85" s="605">
        <f>-O102+O97+O106</f>
        <v>-0.29557203692345979</v>
      </c>
      <c r="T85" s="606"/>
      <c r="U85" s="607"/>
      <c r="V85" s="608" t="str" cm="1">
        <f t="array" ref="V85">angleDecimal2Txt(S85)</f>
        <v>-00°17.73 (-00.2955) [-00°17'44.05]</v>
      </c>
      <c r="W85" s="608"/>
      <c r="X85" s="608"/>
      <c r="Y85" s="608"/>
      <c r="Z85" s="608"/>
      <c r="AA85" s="26"/>
      <c r="AB85" s="66"/>
    </row>
    <row r="86" spans="1:66" ht="17.25" customHeight="1">
      <c r="C86" s="377" t="s">
        <v>35</v>
      </c>
      <c r="D86" s="377"/>
      <c r="E86" s="377"/>
      <c r="F86" s="377"/>
      <c r="G86" s="537" t="s">
        <v>51</v>
      </c>
      <c r="H86" s="537"/>
      <c r="I86" s="537"/>
      <c r="P86" s="16" t="s">
        <v>69</v>
      </c>
      <c r="V86" s="14"/>
      <c r="W86" s="14"/>
      <c r="X86" s="14"/>
      <c r="Y86" s="14"/>
      <c r="Z86" s="14"/>
      <c r="AC86" s="596" t="s">
        <v>36</v>
      </c>
      <c r="AD86" s="70" t="s">
        <v>50</v>
      </c>
    </row>
    <row r="87" spans="1:66" ht="17.25" customHeight="1" thickBot="1">
      <c r="C87" s="33"/>
      <c r="D87" s="33"/>
      <c r="E87" s="33"/>
      <c r="F87" s="440" t="s">
        <v>62</v>
      </c>
      <c r="G87" s="440"/>
      <c r="H87" s="539"/>
      <c r="I87" s="539"/>
      <c r="J87" s="604">
        <f>IF(G86=AD86,"---",O115)</f>
        <v>25.004427963076544</v>
      </c>
      <c r="K87" s="604"/>
      <c r="L87" s="604"/>
      <c r="M87" s="110"/>
      <c r="N87" s="110"/>
      <c r="O87" s="110"/>
      <c r="P87" s="110"/>
      <c r="Q87" s="110"/>
      <c r="R87" s="110"/>
      <c r="S87" s="110"/>
      <c r="T87" s="110"/>
      <c r="U87" s="110"/>
      <c r="V87" s="111"/>
      <c r="W87" s="111"/>
      <c r="X87" s="111"/>
      <c r="Y87" s="111"/>
      <c r="Z87" s="111"/>
      <c r="AC87" s="596"/>
      <c r="AD87" s="70" t="s">
        <v>51</v>
      </c>
    </row>
    <row r="88" spans="1:66" ht="17.25" customHeight="1" thickTop="1" thickBot="1">
      <c r="C88" s="16"/>
      <c r="D88" s="16"/>
      <c r="E88" s="16"/>
      <c r="F88" s="16"/>
      <c r="G88" s="16"/>
      <c r="H88" s="480" t="s">
        <v>47</v>
      </c>
      <c r="I88" s="480"/>
      <c r="J88" s="480"/>
      <c r="K88" s="480"/>
      <c r="L88" s="480"/>
      <c r="M88" s="480"/>
      <c r="N88" s="480"/>
      <c r="O88" s="397">
        <f>J20</f>
        <v>25.3</v>
      </c>
      <c r="P88" s="397"/>
      <c r="Q88" s="397"/>
      <c r="R88" s="397"/>
      <c r="S88" s="16" t="s">
        <v>54</v>
      </c>
      <c r="U88" s="327" t="str" cm="1">
        <f t="array" ref="U88">angleDecimal2Txt(O88)</f>
        <v>+25°18.00 (+25.3000) [+25°18'00.00]</v>
      </c>
      <c r="V88" s="327"/>
      <c r="W88" s="327"/>
      <c r="X88" s="327"/>
      <c r="Y88" s="327"/>
      <c r="Z88" s="327"/>
    </row>
    <row r="89" spans="1:66" ht="17.25" customHeight="1" thickTop="1" thickBot="1">
      <c r="C89" s="16"/>
      <c r="D89" s="16"/>
      <c r="E89" s="16"/>
      <c r="F89" s="16"/>
      <c r="G89" s="16"/>
      <c r="H89" s="480" t="s">
        <v>24</v>
      </c>
      <c r="I89" s="480"/>
      <c r="J89" s="480"/>
      <c r="K89" s="480"/>
      <c r="L89" s="480"/>
      <c r="M89" s="480"/>
      <c r="N89" s="480"/>
      <c r="O89" s="397">
        <f>J19</f>
        <v>0</v>
      </c>
      <c r="P89" s="397"/>
      <c r="Q89" s="397"/>
      <c r="R89" s="397"/>
      <c r="S89" s="16" t="s">
        <v>54</v>
      </c>
      <c r="U89" s="327" t="str" cm="1">
        <f t="array" ref="U89">angleDecimal2Txt(O89)</f>
        <v>+00°00.00 (+00.0000) [+00°00'00.00]</v>
      </c>
      <c r="V89" s="327"/>
      <c r="W89" s="327"/>
      <c r="X89" s="327"/>
      <c r="Y89" s="327"/>
      <c r="Z89" s="327"/>
      <c r="AC89" s="3" t="s">
        <v>59</v>
      </c>
      <c r="AD89" s="5">
        <f>O89</f>
        <v>0</v>
      </c>
    </row>
    <row r="90" spans="1:66" ht="17.25" customHeight="1" thickTop="1" thickBot="1">
      <c r="G90" s="16"/>
      <c r="H90" s="496" t="s">
        <v>68</v>
      </c>
      <c r="I90" s="496"/>
      <c r="J90" s="496"/>
      <c r="K90" s="496"/>
      <c r="L90" s="496"/>
      <c r="M90" s="496"/>
      <c r="N90" s="496"/>
      <c r="O90" s="330">
        <f>AD91</f>
        <v>0</v>
      </c>
      <c r="P90" s="330"/>
      <c r="Q90" s="330"/>
      <c r="R90" s="330"/>
      <c r="S90" s="16" t="s">
        <v>54</v>
      </c>
      <c r="U90" s="327" t="str" cm="1">
        <f t="array" ref="U90">angleDecimal2Txt(O90)</f>
        <v>+00°00.00 (+00.0000) [+00°00'00.00]</v>
      </c>
      <c r="V90" s="327"/>
      <c r="W90" s="327"/>
      <c r="X90" s="327"/>
      <c r="Y90" s="327"/>
      <c r="Z90" s="327"/>
      <c r="AC90" s="3" t="s">
        <v>46</v>
      </c>
      <c r="AD90" s="3">
        <f>J18</f>
        <v>0</v>
      </c>
    </row>
    <row r="91" spans="1:66" ht="17.25" customHeight="1" thickTop="1" thickBot="1">
      <c r="K91" s="14"/>
      <c r="L91" s="14"/>
      <c r="M91" s="579" t="s">
        <v>122</v>
      </c>
      <c r="N91" s="579"/>
      <c r="O91" s="579"/>
      <c r="P91" s="579"/>
      <c r="Q91" s="14"/>
      <c r="R91" s="14"/>
      <c r="U91" s="14"/>
      <c r="V91" s="14"/>
      <c r="W91" s="14"/>
      <c r="X91" s="14"/>
      <c r="Y91" s="14"/>
      <c r="Z91" s="14"/>
      <c r="AC91" s="76" t="s">
        <v>67</v>
      </c>
      <c r="AD91" s="3">
        <f>0.0293 * SQRT(AD90)</f>
        <v>0</v>
      </c>
    </row>
    <row r="92" spans="1:66" ht="17.25" customHeight="1" thickTop="1" thickBot="1">
      <c r="G92" s="16"/>
      <c r="H92" s="328" t="s">
        <v>507</v>
      </c>
      <c r="I92" s="328"/>
      <c r="J92" s="328"/>
      <c r="K92" s="328"/>
      <c r="L92" s="328"/>
      <c r="M92" s="328"/>
      <c r="N92" s="328"/>
      <c r="O92" s="463">
        <f>O88-O89-O90</f>
        <v>25.3</v>
      </c>
      <c r="P92" s="439"/>
      <c r="Q92" s="16" t="s">
        <v>54</v>
      </c>
      <c r="R92" s="469">
        <f>O92*Outils!F4</f>
        <v>0.44156830075456538</v>
      </c>
      <c r="S92" s="469"/>
      <c r="T92" s="37" t="s">
        <v>64</v>
      </c>
      <c r="U92" s="327" t="str" cm="1">
        <f t="array" ref="U92">angleDecimal2Txt(O92)</f>
        <v>+25°18.00 (+25.3000) [+25°18'00.00]</v>
      </c>
      <c r="V92" s="327"/>
      <c r="W92" s="327"/>
      <c r="X92" s="327"/>
      <c r="Y92" s="327"/>
      <c r="Z92" s="327"/>
    </row>
    <row r="93" spans="1:66" ht="17.25" customHeight="1" thickTop="1">
      <c r="C93" s="16"/>
      <c r="D93" s="16"/>
      <c r="E93" s="16"/>
      <c r="F93" s="16"/>
      <c r="G93" s="16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U93" s="14"/>
      <c r="V93" s="14"/>
      <c r="W93" s="14"/>
      <c r="X93" s="14"/>
      <c r="Y93" s="14"/>
      <c r="Z93" s="14"/>
    </row>
    <row r="94" spans="1:66" ht="17.25" customHeight="1">
      <c r="G94" s="16"/>
      <c r="H94" s="14"/>
      <c r="I94" s="14"/>
      <c r="J94" s="14"/>
      <c r="K94" s="14"/>
      <c r="L94" s="14"/>
      <c r="M94" s="465" t="s">
        <v>61</v>
      </c>
      <c r="N94" s="465"/>
      <c r="O94" s="465"/>
      <c r="P94" s="465"/>
      <c r="Q94" s="14"/>
      <c r="R94" s="14"/>
      <c r="U94" s="14"/>
      <c r="V94" s="14"/>
      <c r="W94" s="14"/>
      <c r="X94" s="14"/>
      <c r="Y94" s="14"/>
      <c r="Z94" s="14"/>
    </row>
    <row r="95" spans="1:66" ht="17.25" customHeight="1" thickBot="1">
      <c r="C95" s="16"/>
      <c r="D95" s="16"/>
      <c r="E95" s="16"/>
      <c r="F95" s="16"/>
      <c r="G95" s="16"/>
      <c r="M95" s="466" t="s">
        <v>150</v>
      </c>
      <c r="N95" s="466"/>
      <c r="O95" s="465"/>
      <c r="P95" s="465"/>
    </row>
    <row r="96" spans="1:66" ht="17.25" customHeight="1" thickTop="1" thickBot="1">
      <c r="A96" s="14"/>
      <c r="B96" s="14"/>
      <c r="C96" s="14"/>
      <c r="D96" s="14"/>
      <c r="E96" s="14"/>
      <c r="F96" s="16"/>
      <c r="G96" s="16"/>
      <c r="H96" s="330" t="s">
        <v>52</v>
      </c>
      <c r="I96" s="330"/>
      <c r="J96" s="330"/>
      <c r="K96" s="330"/>
      <c r="L96" s="330"/>
      <c r="M96" s="330"/>
      <c r="N96" s="330"/>
      <c r="O96" s="467">
        <f>J23</f>
        <v>2.8833333333333332E-3</v>
      </c>
      <c r="P96" s="468"/>
      <c r="Q96" s="468"/>
      <c r="R96" s="468"/>
      <c r="S96" s="16" t="s">
        <v>54</v>
      </c>
      <c r="U96" s="327" t="str" cm="1">
        <f t="array" ref="U96">angleDecimal2Txt(O96)</f>
        <v>+00°00.17 (+00.0028) [+00°00'10.37]</v>
      </c>
      <c r="V96" s="327"/>
      <c r="W96" s="327"/>
      <c r="X96" s="327"/>
      <c r="Y96" s="327"/>
      <c r="Z96" s="327"/>
      <c r="AC96" s="3" t="s">
        <v>194</v>
      </c>
      <c r="AD96" s="3">
        <f>O96*COS(R92)</f>
        <v>2.6067713515219109E-3</v>
      </c>
    </row>
    <row r="97" spans="1:31" ht="17.25" customHeight="1" thickTop="1" thickBot="1">
      <c r="A97" s="14"/>
      <c r="B97" s="14"/>
      <c r="C97" s="14"/>
      <c r="D97" s="14"/>
      <c r="E97" s="14"/>
      <c r="F97" s="16"/>
      <c r="G97" s="16"/>
      <c r="H97" s="427" t="s">
        <v>151</v>
      </c>
      <c r="I97" s="428"/>
      <c r="J97" s="428"/>
      <c r="K97" s="428"/>
      <c r="L97" s="428"/>
      <c r="M97" s="428"/>
      <c r="N97" s="429"/>
      <c r="O97" s="329">
        <f>AD96</f>
        <v>2.6067713515219109E-3</v>
      </c>
      <c r="P97" s="329"/>
      <c r="Q97" s="329"/>
      <c r="R97" s="329"/>
      <c r="S97" s="16" t="s">
        <v>54</v>
      </c>
      <c r="U97" s="327" t="str" cm="1">
        <f t="array" ref="U97">angleDecimal2Txt(O97)</f>
        <v>+00°00.15 (+00.0026) [+00°00'09.38]</v>
      </c>
      <c r="V97" s="327"/>
      <c r="W97" s="327"/>
      <c r="X97" s="327"/>
      <c r="Y97" s="327"/>
      <c r="Z97" s="327"/>
    </row>
    <row r="98" spans="1:31" ht="17.25" customHeight="1" thickTop="1">
      <c r="A98" s="14"/>
      <c r="B98" s="14"/>
      <c r="C98" s="14"/>
      <c r="D98" s="14"/>
      <c r="E98" s="14"/>
      <c r="F98" s="16"/>
      <c r="G98" s="16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31" ht="17.25" customHeight="1">
      <c r="A99" s="14"/>
      <c r="B99" s="14"/>
      <c r="C99" s="14"/>
      <c r="D99" s="14"/>
      <c r="F99" s="16"/>
      <c r="G99" s="16"/>
      <c r="H99" s="14"/>
      <c r="I99" s="14"/>
      <c r="J99" s="14"/>
      <c r="K99" s="14"/>
      <c r="L99" s="14"/>
      <c r="M99" s="14"/>
      <c r="N99" s="14"/>
      <c r="O99" s="14"/>
      <c r="S99" s="476" t="s">
        <v>135</v>
      </c>
      <c r="T99" s="477"/>
      <c r="U99" s="478"/>
      <c r="Y99" s="14"/>
      <c r="Z99" s="14"/>
      <c r="AC99" s="3" t="s">
        <v>49</v>
      </c>
      <c r="AD99" s="3" t="s">
        <v>196</v>
      </c>
    </row>
    <row r="100" spans="1:31" ht="17.25" customHeight="1">
      <c r="A100" s="14"/>
      <c r="B100" s="14"/>
      <c r="C100" s="14"/>
      <c r="D100" s="14"/>
      <c r="F100" s="16"/>
      <c r="G100" s="16"/>
      <c r="H100" s="330" t="s">
        <v>65</v>
      </c>
      <c r="I100" s="330"/>
      <c r="J100" s="330"/>
      <c r="K100" s="330"/>
      <c r="L100" s="330"/>
      <c r="M100" s="330"/>
      <c r="N100" s="330"/>
      <c r="O100" s="430">
        <f>S100</f>
        <v>10</v>
      </c>
      <c r="P100" s="431"/>
      <c r="Q100" s="431"/>
      <c r="R100" s="431"/>
      <c r="S100" s="576">
        <v>10</v>
      </c>
      <c r="T100" s="577"/>
      <c r="U100" s="578"/>
      <c r="Y100" s="14"/>
      <c r="Z100" s="14"/>
      <c r="AC100" s="3" t="s">
        <v>197</v>
      </c>
      <c r="AD100" s="3">
        <f>1/TAN((O92 + 7.31 / (O92 + 4.4)) * Outils!F4)</f>
        <v>2.0922070880805741</v>
      </c>
    </row>
    <row r="101" spans="1:31" ht="17.25" customHeight="1" thickBot="1">
      <c r="A101" s="14"/>
      <c r="B101" s="14"/>
      <c r="C101" s="14"/>
      <c r="D101" s="14"/>
      <c r="E101" s="14"/>
      <c r="F101" s="16"/>
      <c r="G101" s="16"/>
      <c r="H101" s="330" t="s">
        <v>66</v>
      </c>
      <c r="I101" s="330"/>
      <c r="J101" s="330"/>
      <c r="K101" s="330"/>
      <c r="L101" s="330"/>
      <c r="M101" s="330"/>
      <c r="N101" s="330"/>
      <c r="O101" s="430">
        <f>S101</f>
        <v>1010</v>
      </c>
      <c r="P101" s="431"/>
      <c r="Q101" s="431"/>
      <c r="R101" s="431"/>
      <c r="S101" s="576">
        <v>1010</v>
      </c>
      <c r="T101" s="577"/>
      <c r="U101" s="578"/>
      <c r="Y101" s="14"/>
      <c r="Z101" s="14"/>
      <c r="AC101" s="3" t="s">
        <v>198</v>
      </c>
      <c r="AD101" s="3">
        <f>AD100/60</f>
        <v>3.4870118134676234E-2</v>
      </c>
    </row>
    <row r="102" spans="1:31" ht="17.25" customHeight="1" thickTop="1" thickBot="1">
      <c r="A102" s="14"/>
      <c r="B102" s="14"/>
      <c r="C102" s="14"/>
      <c r="D102" s="14"/>
      <c r="E102" s="14"/>
      <c r="F102" s="16"/>
      <c r="G102" s="16"/>
      <c r="H102" s="427" t="s">
        <v>152</v>
      </c>
      <c r="I102" s="428"/>
      <c r="J102" s="428"/>
      <c r="K102" s="428"/>
      <c r="L102" s="428"/>
      <c r="M102" s="428"/>
      <c r="N102" s="429"/>
      <c r="O102" s="329">
        <f>AD103</f>
        <v>3.4845474941648198E-2</v>
      </c>
      <c r="P102" s="329"/>
      <c r="Q102" s="329"/>
      <c r="R102" s="329"/>
      <c r="S102" s="16" t="s">
        <v>54</v>
      </c>
      <c r="U102" s="327" t="str" cm="1">
        <f t="array" ref="U102">angleDecimal2Txt(O102)</f>
        <v>+00°02.09 (+00.0348) [+00°02'05.44]</v>
      </c>
      <c r="V102" s="327"/>
      <c r="W102" s="327"/>
      <c r="X102" s="327"/>
      <c r="Y102" s="327"/>
      <c r="Z102" s="327"/>
      <c r="AC102" s="3" t="s">
        <v>100</v>
      </c>
      <c r="AD102" s="3">
        <f xml:space="preserve"> 0.28 * O101 / (273 + O100)</f>
        <v>0.99929328621908131</v>
      </c>
    </row>
    <row r="103" spans="1:31" ht="17.25" customHeight="1" thickTop="1">
      <c r="A103" s="14"/>
      <c r="B103" s="14"/>
      <c r="C103" s="14"/>
      <c r="D103" s="14"/>
      <c r="E103" s="14"/>
      <c r="F103" s="16"/>
      <c r="G103" s="16"/>
      <c r="H103" s="14"/>
      <c r="I103" s="14"/>
      <c r="J103" s="14"/>
      <c r="K103" s="14"/>
      <c r="L103" s="14"/>
      <c r="M103" s="14"/>
      <c r="N103" s="14"/>
      <c r="O103" s="14"/>
      <c r="Y103" s="14"/>
      <c r="Z103" s="14"/>
      <c r="AC103" s="3" t="s">
        <v>195</v>
      </c>
      <c r="AD103" s="3">
        <f>AD102*AD101</f>
        <v>3.4845474941648198E-2</v>
      </c>
    </row>
    <row r="104" spans="1:31" ht="17.25" customHeight="1">
      <c r="A104" s="14"/>
      <c r="B104" s="14"/>
      <c r="C104" s="14"/>
      <c r="D104" s="14"/>
      <c r="E104" s="14"/>
      <c r="F104" s="16"/>
      <c r="G104" s="16"/>
      <c r="H104" s="330" t="s">
        <v>106</v>
      </c>
      <c r="I104" s="330"/>
      <c r="J104" s="330"/>
      <c r="K104" s="330"/>
      <c r="L104" s="330"/>
      <c r="M104" s="330"/>
      <c r="N104" s="330"/>
      <c r="O104" s="479">
        <f>J27</f>
        <v>0.52666666666666695</v>
      </c>
      <c r="P104" s="479"/>
      <c r="Q104" s="479"/>
      <c r="R104" s="479"/>
    </row>
    <row r="105" spans="1:31" ht="17.25" customHeight="1" thickBot="1">
      <c r="B105" s="14"/>
      <c r="C105" s="14"/>
      <c r="D105" s="14"/>
      <c r="H105" s="330" t="s">
        <v>70</v>
      </c>
      <c r="I105" s="330"/>
      <c r="J105" s="330"/>
      <c r="K105" s="330"/>
      <c r="L105" s="330"/>
      <c r="M105" s="330"/>
      <c r="N105" s="330"/>
      <c r="O105" s="479" t="str">
        <f>J22</f>
        <v>BordSup</v>
      </c>
      <c r="P105" s="479"/>
      <c r="Q105" s="479"/>
      <c r="R105" s="479"/>
      <c r="AC105" s="3" t="s">
        <v>30</v>
      </c>
      <c r="AD105" s="323" t="str">
        <f>J21</f>
        <v>Soleil</v>
      </c>
      <c r="AE105" s="323"/>
    </row>
    <row r="106" spans="1:31" ht="17.25" customHeight="1" thickTop="1" thickBot="1">
      <c r="H106" s="432" t="s">
        <v>71</v>
      </c>
      <c r="I106" s="433"/>
      <c r="J106" s="433"/>
      <c r="K106" s="433"/>
      <c r="L106" s="433"/>
      <c r="M106" s="433"/>
      <c r="N106" s="434"/>
      <c r="O106" s="435">
        <f>AD109</f>
        <v>-0.26333333333333347</v>
      </c>
      <c r="P106" s="435"/>
      <c r="Q106" s="435"/>
      <c r="R106" s="435"/>
      <c r="S106" s="16" t="s">
        <v>54</v>
      </c>
      <c r="U106" s="327" t="str" cm="1">
        <f t="array" ref="U106">angleDecimal2Txt(O106)</f>
        <v>-00°15.80 (-00.2633) [-00°15'48.00]</v>
      </c>
      <c r="V106" s="327"/>
      <c r="W106" s="327"/>
      <c r="X106" s="327"/>
      <c r="Y106" s="327"/>
      <c r="Z106" s="327"/>
      <c r="AC106" s="3" t="s">
        <v>202</v>
      </c>
      <c r="AD106" s="323" t="str">
        <f>O105</f>
        <v>BordSup</v>
      </c>
      <c r="AE106" s="323"/>
    </row>
    <row r="107" spans="1:31" ht="17.25" customHeight="1" thickTop="1"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C107" s="3" t="s">
        <v>203</v>
      </c>
      <c r="AD107" s="572">
        <f>HLOOKUP(AD106,AD26:AF27,2)</f>
        <v>-0.5</v>
      </c>
      <c r="AE107" s="572"/>
    </row>
    <row r="108" spans="1:31" ht="17.25" customHeight="1">
      <c r="G108" s="493" t="s">
        <v>115</v>
      </c>
      <c r="H108" s="494"/>
      <c r="I108" s="494"/>
      <c r="J108" s="494"/>
      <c r="K108" s="494"/>
      <c r="L108" s="494"/>
      <c r="M108" s="494"/>
      <c r="N108" s="494"/>
      <c r="O108" s="494"/>
      <c r="P108" s="494"/>
      <c r="Q108" s="494"/>
      <c r="R108" s="494"/>
      <c r="S108" s="495"/>
      <c r="T108" s="14"/>
      <c r="U108" s="14"/>
      <c r="V108" s="14"/>
      <c r="W108" s="14"/>
      <c r="X108" s="14"/>
      <c r="Y108" s="14"/>
      <c r="Z108" s="14"/>
      <c r="AC108" s="3" t="s">
        <v>106</v>
      </c>
      <c r="AD108" s="3">
        <f>HLOOKUP(AD105,AD22:AF24,3)</f>
        <v>0.52666666666666673</v>
      </c>
      <c r="AE108" s="3" cm="1">
        <f t="array" ref="AE108">angleConvert2Decimal(AD108)</f>
        <v>0.52666666666666695</v>
      </c>
    </row>
    <row r="109" spans="1:31" ht="17.25" customHeight="1">
      <c r="G109" s="452" t="s">
        <v>124</v>
      </c>
      <c r="H109" s="454"/>
      <c r="I109" s="470" t="s">
        <v>119</v>
      </c>
      <c r="J109" s="471"/>
      <c r="K109" s="471"/>
      <c r="L109" s="471"/>
      <c r="M109" s="471"/>
      <c r="N109" s="472"/>
      <c r="O109" s="481">
        <f>(O97-O102-O90+O104/2) * 60</f>
        <v>13.865677784592432</v>
      </c>
      <c r="P109" s="482"/>
      <c r="Q109" s="482"/>
      <c r="R109" s="482"/>
      <c r="S109" s="485" t="s">
        <v>116</v>
      </c>
      <c r="T109" s="14"/>
      <c r="U109" s="14"/>
      <c r="V109" s="14"/>
      <c r="W109" s="14"/>
      <c r="X109" s="14"/>
      <c r="Y109" s="14"/>
      <c r="Z109" s="14"/>
      <c r="AC109" s="3" t="s">
        <v>203</v>
      </c>
      <c r="AD109" s="572">
        <f>AE108*AD107</f>
        <v>-0.26333333333333347</v>
      </c>
      <c r="AE109" s="572"/>
    </row>
    <row r="110" spans="1:31" ht="17.25" customHeight="1">
      <c r="G110" s="580"/>
      <c r="H110" s="581"/>
      <c r="I110" s="473" t="s">
        <v>123</v>
      </c>
      <c r="J110" s="474"/>
      <c r="K110" s="474"/>
      <c r="L110" s="474"/>
      <c r="M110" s="474"/>
      <c r="N110" s="475"/>
      <c r="O110" s="483"/>
      <c r="P110" s="484"/>
      <c r="Q110" s="484"/>
      <c r="R110" s="484"/>
      <c r="S110" s="486"/>
      <c r="T110" s="14"/>
      <c r="U110" s="14"/>
      <c r="V110" s="14"/>
      <c r="W110" s="14"/>
      <c r="X110" s="14"/>
      <c r="Y110" s="14"/>
      <c r="Z110" s="14"/>
    </row>
    <row r="111" spans="1:31" ht="17.25" customHeight="1">
      <c r="H111" s="14"/>
      <c r="I111" s="470" t="s">
        <v>120</v>
      </c>
      <c r="J111" s="471"/>
      <c r="K111" s="471"/>
      <c r="L111" s="471"/>
      <c r="M111" s="471"/>
      <c r="N111" s="472"/>
      <c r="O111" s="482">
        <f>(O97-O102+O104/2)*60</f>
        <v>13.865677784592432</v>
      </c>
      <c r="P111" s="482"/>
      <c r="Q111" s="482"/>
      <c r="R111" s="482"/>
      <c r="S111" s="485" t="s">
        <v>116</v>
      </c>
      <c r="T111" s="14"/>
      <c r="U111" s="14"/>
      <c r="V111" s="14"/>
      <c r="W111" s="14"/>
      <c r="X111" s="14"/>
      <c r="Y111" s="14"/>
      <c r="Z111" s="14"/>
    </row>
    <row r="112" spans="1:31" ht="17.25" customHeight="1">
      <c r="H112" s="14"/>
      <c r="I112" s="487" t="s">
        <v>121</v>
      </c>
      <c r="J112" s="488"/>
      <c r="K112" s="488"/>
      <c r="L112" s="488"/>
      <c r="M112" s="488"/>
      <c r="N112" s="489"/>
      <c r="O112" s="484"/>
      <c r="P112" s="484"/>
      <c r="Q112" s="484"/>
      <c r="R112" s="484"/>
      <c r="S112" s="486"/>
      <c r="T112" s="14"/>
      <c r="U112" s="14"/>
      <c r="V112" s="14"/>
      <c r="W112" s="14"/>
      <c r="X112" s="14"/>
      <c r="Y112" s="14"/>
      <c r="Z112" s="14"/>
    </row>
    <row r="113" spans="2:28" ht="17.25" customHeight="1">
      <c r="H113" s="14"/>
      <c r="I113" s="331" t="s">
        <v>71</v>
      </c>
      <c r="J113" s="331"/>
      <c r="K113" s="331"/>
      <c r="L113" s="331"/>
      <c r="M113" s="331"/>
      <c r="N113" s="331"/>
      <c r="O113" s="441">
        <f>O106*60</f>
        <v>-15.800000000000008</v>
      </c>
      <c r="P113" s="442"/>
      <c r="Q113" s="442"/>
      <c r="R113" s="442"/>
      <c r="S113" s="77" t="s">
        <v>116</v>
      </c>
      <c r="T113" s="14"/>
      <c r="U113" s="14"/>
      <c r="V113" s="14"/>
      <c r="W113" s="14"/>
      <c r="X113" s="14"/>
      <c r="Y113" s="14"/>
      <c r="Z113" s="14"/>
    </row>
    <row r="114" spans="2:28" ht="17.25" customHeight="1" thickBot="1"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</row>
    <row r="115" spans="2:28" ht="17.25" customHeight="1" thickTop="1" thickBot="1">
      <c r="H115" s="436" t="s">
        <v>508</v>
      </c>
      <c r="I115" s="437"/>
      <c r="J115" s="437"/>
      <c r="K115" s="437"/>
      <c r="L115" s="437"/>
      <c r="M115" s="437"/>
      <c r="N115" s="438"/>
      <c r="O115" s="439">
        <f>O92-O102+O97+O106</f>
        <v>25.004427963076544</v>
      </c>
      <c r="P115" s="329"/>
      <c r="Q115" s="329"/>
      <c r="R115" s="329"/>
      <c r="S115" s="16" t="s">
        <v>54</v>
      </c>
      <c r="U115" s="327" t="str" cm="1">
        <f t="array" ref="U115">angleDecimal2Txt(O115)</f>
        <v>+25°00.26 (+25.0044) [+25°00'15.94]</v>
      </c>
      <c r="V115" s="327"/>
      <c r="W115" s="327"/>
      <c r="X115" s="327"/>
      <c r="Y115" s="327"/>
      <c r="Z115" s="327"/>
    </row>
    <row r="116" spans="2:28" ht="17.25" customHeight="1" thickTop="1"/>
    <row r="117" spans="2:28" ht="17.25" customHeight="1">
      <c r="F117" s="440" t="s">
        <v>63</v>
      </c>
      <c r="G117" s="440"/>
      <c r="H117" s="440"/>
      <c r="I117" s="440"/>
      <c r="J117" s="329" t="str">
        <f>IF(G86=AD86,O125,"---")</f>
        <v>---</v>
      </c>
      <c r="K117" s="329"/>
      <c r="L117" s="329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</row>
    <row r="118" spans="2:28" ht="17.25" customHeight="1">
      <c r="F118"/>
      <c r="G118"/>
      <c r="H118"/>
      <c r="I118"/>
      <c r="J118"/>
      <c r="K118"/>
      <c r="L118"/>
    </row>
    <row r="119" spans="2:28" ht="17.25" customHeight="1">
      <c r="F119"/>
      <c r="G119"/>
      <c r="H119"/>
      <c r="I119"/>
      <c r="J119"/>
      <c r="K119"/>
      <c r="L119"/>
      <c r="T119" s="113" t="s">
        <v>84</v>
      </c>
      <c r="U119" s="415" t="s">
        <v>33</v>
      </c>
      <c r="V119" s="415"/>
    </row>
    <row r="120" spans="2:28" ht="17.25" customHeight="1">
      <c r="T120" s="114" t="s">
        <v>80</v>
      </c>
      <c r="U120" s="415" t="s">
        <v>82</v>
      </c>
      <c r="V120" s="415"/>
    </row>
    <row r="121" spans="2:28" ht="17.25" customHeight="1">
      <c r="H121" s="16" t="s">
        <v>72</v>
      </c>
      <c r="I121" s="40" t="s">
        <v>74</v>
      </c>
      <c r="J121" s="16" t="s">
        <v>60</v>
      </c>
      <c r="K121" s="417" t="s">
        <v>77</v>
      </c>
      <c r="L121" s="16" t="s">
        <v>59</v>
      </c>
      <c r="N121" s="417" t="s">
        <v>79</v>
      </c>
      <c r="O121" s="40" t="s">
        <v>246</v>
      </c>
      <c r="Q121" s="417" t="s">
        <v>79</v>
      </c>
      <c r="R121" s="16" t="s">
        <v>247</v>
      </c>
      <c r="T121" s="112" t="s">
        <v>81</v>
      </c>
      <c r="U121" s="416" t="s">
        <v>83</v>
      </c>
      <c r="V121" s="416"/>
      <c r="Z121"/>
      <c r="AA121"/>
    </row>
    <row r="122" spans="2:28" ht="17.25" customHeight="1" thickBot="1">
      <c r="I122" s="40"/>
      <c r="J122" s="42">
        <f>O88</f>
        <v>25.3</v>
      </c>
      <c r="K122" s="417"/>
      <c r="L122" s="443">
        <f>O89</f>
        <v>0</v>
      </c>
      <c r="M122" s="444"/>
      <c r="N122" s="417"/>
      <c r="O122" s="447" t="s">
        <v>157</v>
      </c>
      <c r="P122" s="448"/>
      <c r="Q122" s="417"/>
      <c r="R122" s="115" t="s">
        <v>81</v>
      </c>
      <c r="V122"/>
      <c r="W122"/>
      <c r="X122"/>
      <c r="Y122"/>
      <c r="Z122"/>
      <c r="AA122"/>
    </row>
    <row r="123" spans="2:28" ht="17.25" customHeight="1" thickTop="1" thickBot="1">
      <c r="I123" s="40"/>
      <c r="J123"/>
      <c r="K123" s="40" t="s">
        <v>245</v>
      </c>
      <c r="L123" s="445" cm="1">
        <f t="array" ref="L123">angleConvert2Decimal(L122)</f>
        <v>0</v>
      </c>
      <c r="M123" s="446"/>
      <c r="O123" s="570" cm="1">
        <f t="array" ref="O123">angleConvert2Decimal(O122)</f>
        <v>0.17166666666666669</v>
      </c>
      <c r="P123" s="571"/>
      <c r="Q123" s="11"/>
      <c r="R123" s="106" cm="1">
        <f t="array" ref="R123">angleConvert2Decimal(R122)</f>
        <v>-0.53333333333333333</v>
      </c>
      <c r="S123"/>
      <c r="T123" s="7" t="s">
        <v>111</v>
      </c>
      <c r="U123" s="7"/>
      <c r="V123" s="7">
        <f>R123+O123</f>
        <v>-0.36166666666666664</v>
      </c>
      <c r="W123" s="450" t="str" cm="1">
        <f t="array" ref="W123">angleDecimal2Txt(V123)</f>
        <v>-00°21.69 (-00.3616) [-00°21'42.00]</v>
      </c>
      <c r="X123" s="451"/>
      <c r="Y123" s="451"/>
      <c r="Z123" s="451"/>
      <c r="AA123" s="337"/>
    </row>
    <row r="124" spans="2:28" ht="17.25" customHeight="1" thickTop="1" thickBot="1">
      <c r="I124" s="40"/>
      <c r="K124" s="40"/>
      <c r="N124" s="40"/>
      <c r="Q124" s="40"/>
      <c r="R124" s="45"/>
    </row>
    <row r="125" spans="2:28" ht="17.25" customHeight="1" thickTop="1" thickBot="1">
      <c r="H125" s="436" t="s">
        <v>156</v>
      </c>
      <c r="I125" s="437"/>
      <c r="J125" s="437"/>
      <c r="K125" s="437"/>
      <c r="L125" s="437"/>
      <c r="M125" s="437"/>
      <c r="N125" s="438"/>
      <c r="O125" s="439">
        <f>J122-L123+O123+R123</f>
        <v>24.938333333333333</v>
      </c>
      <c r="P125" s="329"/>
      <c r="Q125" s="329"/>
      <c r="R125" s="329"/>
      <c r="S125" s="16" t="s">
        <v>54</v>
      </c>
      <c r="U125" s="327" t="str" cm="1">
        <f t="array" ref="U125">angleDecimal2Txt(O125)</f>
        <v>+24°56.29 (+24.9383) [+24°56'18.00]</v>
      </c>
      <c r="V125" s="327"/>
      <c r="W125" s="327"/>
      <c r="X125" s="327"/>
      <c r="Y125" s="327"/>
      <c r="Z125" s="327"/>
    </row>
    <row r="126" spans="2:28" ht="17.25" customHeight="1" thickTop="1" thickBot="1">
      <c r="D126" s="46"/>
    </row>
    <row r="127" spans="2:28" ht="17.25" customHeight="1" thickBot="1">
      <c r="B127" s="25" t="s">
        <v>44</v>
      </c>
      <c r="C127" s="26"/>
      <c r="D127" s="47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64"/>
    </row>
    <row r="128" spans="2:28" ht="17.25" customHeight="1">
      <c r="C128" s="16"/>
      <c r="D128" s="16"/>
      <c r="E128" s="16"/>
      <c r="F128" s="16"/>
      <c r="G128" s="16"/>
      <c r="O128" s="449" t="s">
        <v>411</v>
      </c>
      <c r="P128" s="449"/>
      <c r="Q128" s="449"/>
      <c r="R128" s="449"/>
      <c r="S128" s="449"/>
      <c r="T128" s="449"/>
      <c r="U128" s="449"/>
      <c r="V128" s="449"/>
      <c r="W128" s="449"/>
      <c r="X128" s="449"/>
      <c r="Y128" s="449"/>
      <c r="Z128" s="449"/>
      <c r="AA128" s="449"/>
    </row>
    <row r="129" spans="1:31" ht="17.25" customHeight="1">
      <c r="C129" s="14"/>
      <c r="D129" s="14"/>
      <c r="E129" s="418" t="s">
        <v>22</v>
      </c>
      <c r="F129" s="419"/>
      <c r="G129" s="419"/>
      <c r="H129" s="419"/>
      <c r="I129" s="351">
        <f>AD131</f>
        <v>25.767307660813756</v>
      </c>
      <c r="J129" s="351"/>
      <c r="K129" s="351"/>
      <c r="L129" s="351"/>
      <c r="M129" s="351"/>
      <c r="O129" s="397" t="s">
        <v>86</v>
      </c>
      <c r="P129" s="397"/>
      <c r="Q129" s="397">
        <f>F44</f>
        <v>16.808124537037038</v>
      </c>
      <c r="R129" s="397"/>
      <c r="S129" s="397"/>
      <c r="T129" s="401" t="s">
        <v>54</v>
      </c>
      <c r="U129" s="357">
        <f>Q129*Outils!$F$4</f>
        <v>0.29335711425654393</v>
      </c>
      <c r="V129" s="358"/>
      <c r="W129" s="399"/>
      <c r="X129" s="401" t="s">
        <v>64</v>
      </c>
      <c r="AC129" s="3" t="s">
        <v>412</v>
      </c>
      <c r="AD129" s="3">
        <f>SIN(U129)*SIN(U130)+COS(U129)*COS(U130)*COS(U131)</f>
        <v>0.43471731660020352</v>
      </c>
      <c r="AE129" s="3"/>
    </row>
    <row r="130" spans="1:31" ht="17.25" customHeight="1" thickBot="1">
      <c r="C130" s="14"/>
      <c r="D130" s="14"/>
      <c r="E130" s="421"/>
      <c r="F130" s="422"/>
      <c r="G130" s="422"/>
      <c r="H130" s="422"/>
      <c r="I130" s="351"/>
      <c r="J130" s="351"/>
      <c r="K130" s="351"/>
      <c r="L130" s="351"/>
      <c r="M130" s="351"/>
      <c r="N130" s="48" t="s">
        <v>125</v>
      </c>
      <c r="O130" s="397" t="s">
        <v>87</v>
      </c>
      <c r="P130" s="397"/>
      <c r="Q130" s="397">
        <f>F35</f>
        <v>48.875500000000002</v>
      </c>
      <c r="R130" s="397"/>
      <c r="S130" s="397"/>
      <c r="T130" s="401"/>
      <c r="U130" s="357">
        <f>Q130*Outils!$F$4</f>
        <v>0.85303839855848862</v>
      </c>
      <c r="V130" s="358"/>
      <c r="W130" s="399"/>
      <c r="X130" s="401"/>
      <c r="AC130" s="3" t="s">
        <v>205</v>
      </c>
      <c r="AD130" s="3">
        <f>ASIN(AD129)</f>
        <v>0.44972435805555827</v>
      </c>
      <c r="AE130" s="3" t="s">
        <v>64</v>
      </c>
    </row>
    <row r="131" spans="1:31" ht="17.25" customHeight="1" thickTop="1" thickBot="1">
      <c r="C131" s="14"/>
      <c r="D131" s="14"/>
      <c r="E131" s="424"/>
      <c r="F131" s="425"/>
      <c r="G131" s="425"/>
      <c r="H131" s="425"/>
      <c r="I131" s="327" t="str" cm="1">
        <f t="array" ref="I131">angleDecimal2Txt(I129)</f>
        <v>+25°46.03 (+25.7673) [+25°46'02.30]</v>
      </c>
      <c r="J131" s="327"/>
      <c r="K131" s="327"/>
      <c r="L131" s="327"/>
      <c r="M131" s="327"/>
      <c r="O131" s="397" t="s">
        <v>43</v>
      </c>
      <c r="P131" s="397"/>
      <c r="Q131" s="397">
        <f>F81</f>
        <v>290.15083935185186</v>
      </c>
      <c r="R131" s="397"/>
      <c r="S131" s="397"/>
      <c r="T131" s="401"/>
      <c r="U131" s="357">
        <f>Q131*Outils!$F$4</f>
        <v>5.0640874741149444</v>
      </c>
      <c r="V131" s="358"/>
      <c r="W131" s="399"/>
      <c r="X131" s="401"/>
      <c r="AC131" s="3"/>
      <c r="AD131" s="3">
        <f>AD130*Outils!F5</f>
        <v>25.767307660813756</v>
      </c>
      <c r="AE131" s="3" t="s">
        <v>54</v>
      </c>
    </row>
    <row r="132" spans="1:31" ht="17.25" customHeight="1" thickTop="1">
      <c r="C132" s="14"/>
      <c r="D132" s="14"/>
      <c r="E132" s="16"/>
      <c r="F132" s="16"/>
      <c r="G132" s="16"/>
    </row>
    <row r="133" spans="1:31" ht="17.25" customHeight="1">
      <c r="C133" s="14"/>
      <c r="D133" s="14"/>
      <c r="E133" s="418" t="s">
        <v>25</v>
      </c>
      <c r="F133" s="419"/>
      <c r="G133" s="419"/>
      <c r="H133" s="419"/>
      <c r="I133" s="351">
        <f>F85</f>
        <v>25.004427963076544</v>
      </c>
      <c r="J133" s="351"/>
      <c r="K133" s="351"/>
      <c r="L133" s="351"/>
      <c r="M133" s="351"/>
    </row>
    <row r="134" spans="1:31" ht="17.25" customHeight="1" thickBot="1">
      <c r="C134" s="14"/>
      <c r="D134" s="14"/>
      <c r="E134" s="421"/>
      <c r="F134" s="422"/>
      <c r="G134" s="422"/>
      <c r="H134" s="422"/>
      <c r="I134" s="351"/>
      <c r="J134" s="351"/>
      <c r="K134" s="351"/>
      <c r="L134" s="351"/>
      <c r="M134" s="351"/>
      <c r="O134" s="321" t="s">
        <v>27</v>
      </c>
      <c r="P134" s="322"/>
      <c r="Q134" s="322"/>
      <c r="R134" s="322"/>
      <c r="S134" s="400"/>
      <c r="T134" s="306">
        <f>I133-I129</f>
        <v>-0.76287969773721187</v>
      </c>
      <c r="U134" s="307" t="s">
        <v>28</v>
      </c>
      <c r="V134" s="308">
        <f>T134*60</f>
        <v>-45.772781864232712</v>
      </c>
      <c r="W134" s="307" t="s">
        <v>112</v>
      </c>
      <c r="X134" s="402" t="str">
        <f>IF(T134&gt;0,"Vers Pg", "Oppose de Pg")</f>
        <v>Oppose de Pg</v>
      </c>
      <c r="Y134" s="402"/>
    </row>
    <row r="135" spans="1:31" ht="17.25" customHeight="1" thickTop="1" thickBot="1">
      <c r="C135" s="14"/>
      <c r="D135" s="14"/>
      <c r="E135" s="424"/>
      <c r="F135" s="425"/>
      <c r="G135" s="425"/>
      <c r="H135" s="425"/>
      <c r="I135" s="327" t="str" cm="1">
        <f t="array" ref="I135">angleDecimal2Txt(I133)</f>
        <v>+25°00.26 (+25.0044) [+25°00'15.94]</v>
      </c>
      <c r="J135" s="327"/>
      <c r="K135" s="327"/>
      <c r="L135" s="327"/>
      <c r="M135" s="327"/>
      <c r="O135"/>
      <c r="P135"/>
      <c r="Q135"/>
      <c r="S135" s="614" t="s">
        <v>416</v>
      </c>
      <c r="T135" s="615" t="s">
        <v>479</v>
      </c>
      <c r="U135" s="615"/>
      <c r="V135" s="615">
        <f>F44</f>
        <v>16.808124537037038</v>
      </c>
      <c r="W135" s="615"/>
      <c r="X135" s="617" t="str">
        <f>latitudeDecimal2Txt(V135)</f>
        <v>N 16°48.48 (N 16.8081) [N 16°48'29.24]</v>
      </c>
      <c r="Y135" s="617"/>
      <c r="Z135" s="617"/>
      <c r="AA135" s="617"/>
      <c r="AB135" s="617"/>
      <c r="AC135" s="617"/>
    </row>
    <row r="136" spans="1:31" ht="17.25" customHeight="1" thickTop="1">
      <c r="C136" s="14"/>
      <c r="D136" s="14"/>
      <c r="E136" s="16"/>
      <c r="F136" s="16"/>
      <c r="G136" s="16"/>
      <c r="O136" s="305"/>
      <c r="P136" s="305"/>
      <c r="Q136" s="305"/>
      <c r="R136" s="305"/>
      <c r="S136" s="614"/>
      <c r="T136" s="616" t="s">
        <v>480</v>
      </c>
      <c r="U136" s="616"/>
      <c r="V136" s="615" cm="1">
        <f t="array" ref="V136">longitudeHoraire2longitude(F62)</f>
        <v>71.943660648148125</v>
      </c>
      <c r="W136" s="616"/>
      <c r="X136" s="618" t="str">
        <f>longitudeDecimal2Txt(V136)</f>
        <v>E 71°56.61 (E 71.9436) [E 71°56'37.17]</v>
      </c>
      <c r="Y136" s="618"/>
      <c r="Z136" s="618"/>
      <c r="AA136" s="618"/>
      <c r="AB136" s="618"/>
      <c r="AC136" s="618"/>
    </row>
    <row r="137" spans="1:31" ht="17.25" customHeight="1">
      <c r="C137" s="16"/>
      <c r="D137" s="16"/>
      <c r="E137" s="16"/>
      <c r="F137" s="16"/>
      <c r="T137" s="14"/>
      <c r="U137" s="14"/>
      <c r="V137" s="14"/>
      <c r="W137" s="14"/>
      <c r="X137" s="14"/>
      <c r="Y137" s="14"/>
    </row>
    <row r="138" spans="1:31" ht="17.25" customHeight="1">
      <c r="E138" s="16"/>
      <c r="F138" s="16"/>
      <c r="G138" s="16"/>
      <c r="T138" s="14"/>
      <c r="U138" s="14"/>
      <c r="V138" s="14"/>
      <c r="W138" s="14"/>
      <c r="X138" s="14"/>
      <c r="Y138" s="14"/>
    </row>
    <row r="139" spans="1:31" ht="17.25" customHeight="1">
      <c r="E139" s="16"/>
    </row>
    <row r="140" spans="1:31" ht="17.25" customHeight="1">
      <c r="E140" s="16"/>
      <c r="F140" s="16"/>
      <c r="G140" s="16"/>
      <c r="O140" s="413" t="s">
        <v>88</v>
      </c>
      <c r="P140" s="414"/>
      <c r="Q140" s="414"/>
      <c r="R140" s="414"/>
      <c r="S140" s="414"/>
      <c r="T140" s="414"/>
      <c r="U140" s="414"/>
      <c r="V140" s="414"/>
      <c r="W140" s="414"/>
      <c r="X140" s="414"/>
      <c r="Y140" s="414"/>
      <c r="Z140" s="414"/>
      <c r="AA140" s="414"/>
      <c r="AC140" s="3" t="s">
        <v>89</v>
      </c>
      <c r="AD140" s="3">
        <f>(SIN(U141)-SIN(U142)*SIN(AD130))/(COS(U142)*COS(AD130))</f>
        <v>-6.4658534051334204E-2</v>
      </c>
      <c r="AE140" s="3"/>
    </row>
    <row r="141" spans="1:31" ht="17.25" customHeight="1">
      <c r="A141" s="14"/>
      <c r="B141" s="14"/>
      <c r="C141" s="14"/>
      <c r="D141" s="14"/>
      <c r="E141" s="418" t="s">
        <v>96</v>
      </c>
      <c r="F141" s="419"/>
      <c r="G141" s="419"/>
      <c r="H141" s="420"/>
      <c r="I141" s="345">
        <f>AD142</f>
        <v>93.707247341336668</v>
      </c>
      <c r="J141" s="345"/>
      <c r="K141" s="345"/>
      <c r="L141" s="345"/>
      <c r="M141" s="346"/>
      <c r="O141" s="397" t="s">
        <v>86</v>
      </c>
      <c r="P141" s="397"/>
      <c r="Q141" s="397">
        <f>F44</f>
        <v>16.808124537037038</v>
      </c>
      <c r="R141" s="397"/>
      <c r="S141" s="397"/>
      <c r="T141" s="401" t="s">
        <v>54</v>
      </c>
      <c r="U141" s="397">
        <f>Q141*Outils!$F$4</f>
        <v>0.29335711425654393</v>
      </c>
      <c r="V141" s="397"/>
      <c r="W141" s="397"/>
      <c r="X141" s="401" t="s">
        <v>64</v>
      </c>
      <c r="AC141" s="3" t="s">
        <v>206</v>
      </c>
      <c r="AD141" s="3">
        <f>ACOS(AD140)</f>
        <v>1.6354999990870276</v>
      </c>
      <c r="AE141" s="3" t="s">
        <v>64</v>
      </c>
    </row>
    <row r="142" spans="1:31" ht="17.25" customHeight="1" thickBot="1">
      <c r="C142" s="14"/>
      <c r="D142" s="14"/>
      <c r="E142" s="421"/>
      <c r="F142" s="422"/>
      <c r="G142" s="422"/>
      <c r="H142" s="423"/>
      <c r="I142" s="347"/>
      <c r="J142" s="347"/>
      <c r="K142" s="347"/>
      <c r="L142" s="347"/>
      <c r="M142" s="348"/>
      <c r="N142" s="48" t="s">
        <v>125</v>
      </c>
      <c r="O142" s="397" t="s">
        <v>87</v>
      </c>
      <c r="P142" s="397"/>
      <c r="Q142" s="397">
        <f>F35</f>
        <v>48.875500000000002</v>
      </c>
      <c r="R142" s="397"/>
      <c r="S142" s="397"/>
      <c r="T142" s="401"/>
      <c r="U142" s="397">
        <f>Q142*Outils!$F$4</f>
        <v>0.85303839855848862</v>
      </c>
      <c r="V142" s="397"/>
      <c r="W142" s="397"/>
      <c r="X142" s="401"/>
      <c r="AC142" s="3"/>
      <c r="AD142" s="3">
        <f>AD141*Outils!$F$5</f>
        <v>93.707247341336668</v>
      </c>
      <c r="AE142" s="3" t="s">
        <v>54</v>
      </c>
    </row>
    <row r="143" spans="1:31" ht="17.25" customHeight="1" thickTop="1" thickBot="1">
      <c r="C143" s="14"/>
      <c r="D143" s="14"/>
      <c r="E143" s="424"/>
      <c r="F143" s="425"/>
      <c r="G143" s="425"/>
      <c r="H143" s="426"/>
      <c r="I143" s="349" t="str" cm="1">
        <f t="array" ref="I143">angleDecimal2Txt(I141)</f>
        <v>+93°42.43 (+93.7072) [+93°42'26.09]</v>
      </c>
      <c r="J143" s="350"/>
      <c r="K143" s="350"/>
      <c r="L143" s="350"/>
      <c r="M143" s="350"/>
      <c r="O143" s="397" t="s">
        <v>43</v>
      </c>
      <c r="P143" s="397"/>
      <c r="Q143" s="397">
        <f>F81</f>
        <v>290.15083935185186</v>
      </c>
      <c r="R143" s="397"/>
      <c r="S143" s="397"/>
      <c r="T143" s="401"/>
      <c r="U143" s="397">
        <f>Q143*Outils!$F$4</f>
        <v>5.0640874741149444</v>
      </c>
      <c r="V143" s="397"/>
      <c r="W143" s="397"/>
      <c r="X143" s="401"/>
    </row>
    <row r="144" spans="1:31" ht="17.25" customHeight="1" thickTop="1">
      <c r="C144" s="14"/>
      <c r="D144" s="14"/>
      <c r="E144" s="16"/>
      <c r="F144" s="16"/>
      <c r="G144" s="16"/>
    </row>
    <row r="145" spans="2:30" ht="17.25" customHeight="1">
      <c r="C145" s="16"/>
      <c r="D145" s="16"/>
      <c r="F145" s="16"/>
      <c r="G145" s="16"/>
      <c r="I145" s="342" t="s">
        <v>154</v>
      </c>
      <c r="J145" s="343"/>
      <c r="K145" s="343"/>
      <c r="L145" s="343"/>
      <c r="M145" s="343"/>
      <c r="N145" s="344"/>
      <c r="O145" s="342" t="s">
        <v>155</v>
      </c>
      <c r="P145" s="343"/>
      <c r="Q145" s="343"/>
      <c r="R145" s="343"/>
      <c r="S145" s="343"/>
      <c r="T145" s="344"/>
    </row>
    <row r="146" spans="2:30" ht="17.25" customHeight="1">
      <c r="F146" s="16"/>
      <c r="G146" s="16"/>
      <c r="I146" s="574"/>
      <c r="J146" s="403" t="s">
        <v>126</v>
      </c>
      <c r="K146" s="404"/>
      <c r="L146" s="405"/>
      <c r="M146" s="409" t="s">
        <v>127</v>
      </c>
      <c r="N146" s="410"/>
      <c r="O146" s="574"/>
      <c r="P146" s="403" t="s">
        <v>126</v>
      </c>
      <c r="Q146" s="404"/>
      <c r="R146" s="405"/>
      <c r="S146" s="409" t="s">
        <v>128</v>
      </c>
      <c r="T146" s="410"/>
    </row>
    <row r="147" spans="2:30" ht="17.25" customHeight="1">
      <c r="F147" s="16"/>
      <c r="G147" s="16"/>
      <c r="I147" s="575"/>
      <c r="J147" s="406" t="s">
        <v>90</v>
      </c>
      <c r="K147" s="407"/>
      <c r="L147" s="408"/>
      <c r="M147" s="411" t="s">
        <v>91</v>
      </c>
      <c r="N147" s="412"/>
      <c r="O147" s="575"/>
      <c r="P147" s="406" t="s">
        <v>90</v>
      </c>
      <c r="Q147" s="407"/>
      <c r="R147" s="408"/>
      <c r="S147" s="411" t="s">
        <v>92</v>
      </c>
      <c r="T147" s="412"/>
    </row>
    <row r="148" spans="2:30" ht="17.25" customHeight="1">
      <c r="F148" s="14"/>
      <c r="G148" s="14"/>
      <c r="H148" s="14"/>
      <c r="I148" s="14"/>
      <c r="J148" s="14"/>
      <c r="K148" s="14"/>
      <c r="Q148" s="14"/>
      <c r="R148" s="14"/>
      <c r="S148" s="14"/>
      <c r="T148" s="396"/>
      <c r="U148" s="396"/>
      <c r="V148" s="396"/>
      <c r="W148" s="14"/>
      <c r="X148" s="396"/>
      <c r="Y148" s="396"/>
      <c r="Z148" s="396"/>
    </row>
    <row r="149" spans="2:30" ht="17.25" customHeight="1">
      <c r="F149" s="14"/>
      <c r="N149" s="398"/>
      <c r="O149" s="398"/>
      <c r="Q149" s="396"/>
      <c r="R149" s="396"/>
      <c r="S149" s="396"/>
      <c r="T149" s="396"/>
      <c r="U149" s="396"/>
      <c r="V149" s="396"/>
      <c r="W149" s="14"/>
      <c r="X149" s="396"/>
      <c r="Y149" s="396"/>
      <c r="Z149" s="396"/>
    </row>
    <row r="150" spans="2:30" ht="17.25" customHeight="1">
      <c r="I150" s="397" t="s">
        <v>87</v>
      </c>
      <c r="J150" s="397"/>
      <c r="K150" s="59">
        <f>F35</f>
        <v>48.875500000000002</v>
      </c>
      <c r="L150" s="329" t="str">
        <f>CONCATENATE("Sens: ",IF(Q142&gt;0,"Nord","Sud"))</f>
        <v>Sens: Nord</v>
      </c>
      <c r="M150" s="329"/>
    </row>
    <row r="151" spans="2:30" ht="17.25" customHeight="1" thickBot="1">
      <c r="I151" s="397" t="s">
        <v>43</v>
      </c>
      <c r="J151" s="397"/>
      <c r="K151" s="59">
        <f>Q143</f>
        <v>290.15083935185186</v>
      </c>
      <c r="L151" s="329" t="str">
        <f>CONCATENATE("Is &gt; 180? ", IF(Q143&gt;180,"Y", "N"))</f>
        <v>Is &gt; 180? Y</v>
      </c>
      <c r="M151" s="329"/>
      <c r="O151" s="321" t="s">
        <v>97</v>
      </c>
      <c r="P151" s="322"/>
      <c r="Q151" s="322"/>
      <c r="R151" s="322"/>
      <c r="S151" s="322"/>
      <c r="T151" s="352">
        <f>ABS(IF(Q130&gt;0,IF(Q131&gt;180,I141,360-I141),IF(Q131&gt;180,180-I141,180+I141)))</f>
        <v>93.707247341336668</v>
      </c>
      <c r="U151" s="353"/>
      <c r="V151" s="50" t="s">
        <v>28</v>
      </c>
      <c r="W151" s="14"/>
    </row>
    <row r="152" spans="2:30" ht="17.25" customHeight="1" thickTop="1" thickBot="1">
      <c r="I152" s="357" t="s">
        <v>129</v>
      </c>
      <c r="J152" s="358"/>
      <c r="K152" s="359"/>
      <c r="L152" s="329" t="str">
        <f>IF(K150&gt;0,IF(K151&gt;180,M146,M147),IF(K151&gt;180,S146,S147))</f>
        <v>Zn = Z</v>
      </c>
      <c r="M152" s="329"/>
      <c r="T152" s="327" t="str" cm="1">
        <f t="array" ref="T152">angleDecimal2Txt(T151)</f>
        <v>+93°42.43 (+93.7072) [+93°42'26.09]</v>
      </c>
      <c r="U152" s="327"/>
      <c r="V152" s="327"/>
      <c r="W152" s="327"/>
      <c r="X152" s="327"/>
      <c r="Y152" s="327"/>
    </row>
    <row r="153" spans="2:30" ht="17.25" customHeight="1" thickTop="1"/>
    <row r="154" spans="2:30" ht="17.25" customHeight="1" thickBot="1"/>
    <row r="155" spans="2:30" ht="17.25" customHeight="1" thickBot="1">
      <c r="B155" s="25" t="s">
        <v>248</v>
      </c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97"/>
      <c r="AB155" s="64"/>
    </row>
    <row r="157" spans="2:30" ht="17.25" customHeight="1" thickBot="1">
      <c r="C157" s="356" t="s">
        <v>249</v>
      </c>
      <c r="D157" s="356"/>
      <c r="E157" s="356"/>
      <c r="F157" s="356"/>
      <c r="G157" s="116"/>
      <c r="H157" s="356" t="s">
        <v>250</v>
      </c>
      <c r="I157" s="356"/>
      <c r="J157" s="356"/>
      <c r="L157" s="360" t="s">
        <v>239</v>
      </c>
      <c r="M157" s="360"/>
      <c r="N157" s="360"/>
      <c r="Q157" s="325" t="s">
        <v>251</v>
      </c>
      <c r="R157" s="325"/>
      <c r="S157" s="325"/>
      <c r="T157" s="325"/>
      <c r="U157" s="102"/>
      <c r="AC157" t="s">
        <v>236</v>
      </c>
      <c r="AD157" s="105">
        <f>I158/60</f>
        <v>-0.76287969773721187</v>
      </c>
    </row>
    <row r="158" spans="2:30" ht="17.25" customHeight="1" thickTop="1" thickBot="1">
      <c r="D158" s="120" t="s">
        <v>41</v>
      </c>
      <c r="E158" s="361">
        <f>F35</f>
        <v>48.875500000000002</v>
      </c>
      <c r="F158" s="361"/>
      <c r="I158" s="361">
        <f>V134</f>
        <v>-45.772781864232712</v>
      </c>
      <c r="J158" s="361"/>
      <c r="K158" s="16" t="s">
        <v>112</v>
      </c>
      <c r="M158" s="361">
        <f>T151</f>
        <v>93.707247341336668</v>
      </c>
      <c r="N158" s="361"/>
      <c r="R158" s="118" t="s">
        <v>41</v>
      </c>
      <c r="S158" s="323">
        <f>AD160</f>
        <v>48.924826682913213</v>
      </c>
      <c r="T158" s="323"/>
      <c r="U158" s="324" t="str" cm="1">
        <f t="array" ref="U158">latitudeDecimal2Txt(S158)</f>
        <v>N 48°55.48 (N 48.9248) [N 48°55'29.37]</v>
      </c>
      <c r="V158" s="324"/>
      <c r="W158" s="324"/>
      <c r="X158" s="324"/>
      <c r="Y158" s="324"/>
      <c r="Z158" s="324"/>
      <c r="AC158" t="s">
        <v>237</v>
      </c>
      <c r="AD158" s="105">
        <f>M158</f>
        <v>93.707247341336668</v>
      </c>
    </row>
    <row r="159" spans="2:30" ht="17.25" customHeight="1" thickTop="1" thickBot="1">
      <c r="D159" s="120" t="s">
        <v>42</v>
      </c>
      <c r="E159" s="361">
        <f>F40</f>
        <v>2.0945</v>
      </c>
      <c r="F159" s="361"/>
      <c r="R159" s="118" t="s">
        <v>42</v>
      </c>
      <c r="S159" s="323">
        <f>AD162</f>
        <v>0.93643111204011986</v>
      </c>
      <c r="T159" s="323"/>
      <c r="U159" s="324" t="str" cm="1">
        <f t="array" ref="U159">longitudeDecimal2Txt(S159)</f>
        <v>E 00°56.18 (E 00.9364) [E 00°56'11.15]</v>
      </c>
      <c r="V159" s="324"/>
      <c r="W159" s="324"/>
      <c r="X159" s="324"/>
      <c r="Y159" s="324"/>
      <c r="Z159" s="324"/>
      <c r="AC159" s="16"/>
      <c r="AD159" s="16"/>
    </row>
    <row r="160" spans="2:30" ht="17.25" customHeight="1" thickTop="1">
      <c r="D160" s="16"/>
      <c r="AC160" t="s">
        <v>253</v>
      </c>
      <c r="AD160">
        <f>E158+AD157*COS(AD158*Outils!$F$4)</f>
        <v>48.924826682913213</v>
      </c>
    </row>
    <row r="161" spans="2:33" ht="17.25" customHeight="1">
      <c r="C161"/>
      <c r="D161"/>
      <c r="E161"/>
      <c r="Q161" s="325" t="s">
        <v>252</v>
      </c>
      <c r="R161" s="325"/>
      <c r="S161" s="325"/>
      <c r="AC161" t="s">
        <v>254</v>
      </c>
      <c r="AD161">
        <f>(E158+AD160)/2</f>
        <v>48.900163341456604</v>
      </c>
    </row>
    <row r="162" spans="2:33" ht="17.25" customHeight="1">
      <c r="R162" s="323">
        <f>M158-90</f>
        <v>3.707247341336668</v>
      </c>
      <c r="S162" s="323"/>
      <c r="T162" s="50" t="s">
        <v>28</v>
      </c>
      <c r="AC162" t="s">
        <v>255</v>
      </c>
      <c r="AD162">
        <f>E159+(AD157*SIN(M158*Outils!$F$4)/COS(AD161*Outils!$F$4))</f>
        <v>0.93643111204011986</v>
      </c>
    </row>
    <row r="163" spans="2:33" customFormat="1" ht="17.25" customHeight="1"/>
    <row r="164" spans="2:33" customFormat="1" ht="17.25" customHeight="1" thickBot="1"/>
    <row r="165" spans="2:33" customFormat="1" ht="17.25" customHeight="1" thickBot="1">
      <c r="B165" s="122" t="s">
        <v>256</v>
      </c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4"/>
    </row>
    <row r="166" spans="2:33" customFormat="1" ht="17.25" customHeight="1">
      <c r="AD166" s="105"/>
    </row>
    <row r="167" spans="2:33" customFormat="1" ht="17.25" customHeight="1" thickBot="1">
      <c r="C167" s="355" t="s">
        <v>251</v>
      </c>
      <c r="D167" s="355"/>
      <c r="E167" s="355"/>
      <c r="F167" s="355"/>
      <c r="G167" s="102"/>
      <c r="H167" s="16"/>
      <c r="I167" s="16"/>
      <c r="J167" s="16"/>
      <c r="K167" s="16"/>
      <c r="L167" s="16"/>
      <c r="Q167" s="117" t="s">
        <v>257</v>
      </c>
      <c r="R167" s="117"/>
      <c r="S167" s="117"/>
      <c r="T167" s="117"/>
      <c r="U167" s="117"/>
      <c r="V167" s="117"/>
      <c r="W167" s="117"/>
      <c r="AC167" t="s">
        <v>302</v>
      </c>
      <c r="AD167" s="105"/>
      <c r="AE167" t="b">
        <f>(ABS(D172-90)&lt;0.1)</f>
        <v>0</v>
      </c>
    </row>
    <row r="168" spans="2:33" customFormat="1" ht="17.25" customHeight="1" thickTop="1" thickBot="1">
      <c r="D168" s="119" t="s">
        <v>41</v>
      </c>
      <c r="E168" s="354">
        <v>46</v>
      </c>
      <c r="F168" s="354"/>
      <c r="G168" s="324" t="str" cm="1">
        <f t="array" ref="G168">latitudeDecimal2Txt(E168)</f>
        <v>N 46°00.00 (N 46.0000) [N 46°00'00.00]</v>
      </c>
      <c r="H168" s="324"/>
      <c r="I168" s="324"/>
      <c r="J168" s="324"/>
      <c r="K168" s="324"/>
      <c r="L168" s="324"/>
      <c r="R168" s="118" t="s">
        <v>41</v>
      </c>
      <c r="S168" s="323">
        <f>AG172</f>
        <v>-31.555030019259515</v>
      </c>
      <c r="T168" s="323"/>
      <c r="U168" s="324" t="str" cm="1">
        <f t="array" ref="U168">latitudeDecimal2Txt(S168)</f>
        <v>S 31°33.30 (S 31.5550) [S 31°33'18.10]</v>
      </c>
      <c r="V168" s="324"/>
      <c r="W168" s="324"/>
      <c r="X168" s="324"/>
      <c r="Y168" s="324"/>
      <c r="Z168" s="324"/>
      <c r="AC168" s="139" t="s">
        <v>303</v>
      </c>
      <c r="AD168" s="140">
        <f>R162</f>
        <v>3.707247341336668</v>
      </c>
    </row>
    <row r="169" spans="2:33" customFormat="1" ht="17.25" customHeight="1" thickTop="1" thickBot="1">
      <c r="D169" s="119" t="s">
        <v>42</v>
      </c>
      <c r="E169" s="354">
        <v>-7</v>
      </c>
      <c r="F169" s="354"/>
      <c r="G169" s="324" t="str" cm="1">
        <f t="array" ref="G169">longitudeDecimal2Txt(E169)</f>
        <v>W 07°00.00 (W 07.0000) [W 07°00'00.00]</v>
      </c>
      <c r="H169" s="324"/>
      <c r="I169" s="324"/>
      <c r="J169" s="324"/>
      <c r="K169" s="324"/>
      <c r="L169" s="324"/>
      <c r="R169" s="118" t="s">
        <v>42</v>
      </c>
      <c r="S169" s="323">
        <f>AG173</f>
        <v>-6.9999999999999858</v>
      </c>
      <c r="T169" s="323"/>
      <c r="U169" s="324" t="str" cm="1">
        <f t="array" ref="U169">longitudeDecimal2Txt(S169)</f>
        <v>W 06°59.99 (W 06.9999) [W 06°59'59.99]</v>
      </c>
      <c r="V169" s="324"/>
      <c r="W169" s="324"/>
      <c r="X169" s="324"/>
      <c r="Y169" s="324"/>
      <c r="Z169" s="324"/>
      <c r="AC169" s="141" t="s">
        <v>305</v>
      </c>
      <c r="AD169" s="140">
        <f>S158</f>
        <v>48.924826682913213</v>
      </c>
    </row>
    <row r="170" spans="2:33" customFormat="1" ht="17.25" customHeight="1" thickTop="1"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AC170" s="139" t="s">
        <v>306</v>
      </c>
      <c r="AD170" s="140">
        <f>S159</f>
        <v>0.93643111204011986</v>
      </c>
    </row>
    <row r="171" spans="2:33" customFormat="1" ht="17.25" customHeight="1">
      <c r="C171" s="355" t="s">
        <v>252</v>
      </c>
      <c r="D171" s="355"/>
      <c r="E171" s="355"/>
      <c r="F171" s="121"/>
      <c r="G171" s="16"/>
      <c r="H171" s="16"/>
      <c r="I171" s="16"/>
      <c r="J171" s="16"/>
      <c r="K171" s="16"/>
      <c r="L171" s="16"/>
      <c r="AC171" s="139" t="s">
        <v>258</v>
      </c>
      <c r="AD171" s="139">
        <f>TAN(AD168*Outils!F4) * (1 / COS(AD169*Outils!F4))</f>
        <v>9.8613882246460879E-2</v>
      </c>
    </row>
    <row r="172" spans="2:33" customFormat="1" ht="17.25" customHeight="1">
      <c r="D172" s="354">
        <v>180</v>
      </c>
      <c r="E172" s="354"/>
      <c r="F172" s="125" t="s">
        <v>28</v>
      </c>
      <c r="G172" s="16"/>
      <c r="H172" s="16"/>
      <c r="I172" s="16"/>
      <c r="J172" s="16"/>
      <c r="K172" s="16"/>
      <c r="L172" s="16"/>
      <c r="AC172" s="139" t="s">
        <v>259</v>
      </c>
      <c r="AD172" s="139">
        <f>AD170-AD169*AD171</f>
        <v>-3.8882359853971904</v>
      </c>
      <c r="AE172" s="320" t="s">
        <v>310</v>
      </c>
      <c r="AF172" s="320"/>
      <c r="AG172" s="142">
        <f>(AD177-AD172)/(AD171-AD176)</f>
        <v>-31.555030019259515</v>
      </c>
    </row>
    <row r="173" spans="2:33" customFormat="1" ht="15">
      <c r="AC173" s="136" t="s">
        <v>304</v>
      </c>
      <c r="AD173" s="137">
        <f>D172</f>
        <v>180</v>
      </c>
      <c r="AE173" s="320"/>
      <c r="AF173" s="320"/>
      <c r="AG173" s="142">
        <f>AD171*AG172+AD172</f>
        <v>-6.9999999999999858</v>
      </c>
    </row>
    <row r="174" spans="2:33" customFormat="1" ht="18.75">
      <c r="S174" s="16"/>
      <c r="T174" s="16"/>
      <c r="AC174" s="138" t="s">
        <v>305</v>
      </c>
      <c r="AD174" s="137">
        <f>E168</f>
        <v>46</v>
      </c>
    </row>
    <row r="175" spans="2:33" customFormat="1" ht="18">
      <c r="AC175" s="136" t="s">
        <v>306</v>
      </c>
      <c r="AD175" s="137">
        <f>E169</f>
        <v>-7</v>
      </c>
      <c r="AE175" s="320" t="s">
        <v>311</v>
      </c>
      <c r="AF175" s="320"/>
      <c r="AG175" s="143">
        <f>E168</f>
        <v>46</v>
      </c>
    </row>
    <row r="176" spans="2:33" customFormat="1" ht="17.25" customHeight="1">
      <c r="P176" s="16"/>
      <c r="Q176" s="16"/>
      <c r="AC176" s="136" t="s">
        <v>307</v>
      </c>
      <c r="AD176" s="136">
        <f>TAN(AD173*Outils!F4) * (1 / COS(AD174*Outils!F4))</f>
        <v>-1.7636704702760584E-16</v>
      </c>
      <c r="AE176" s="320"/>
      <c r="AF176" s="320"/>
      <c r="AG176" s="142">
        <f>E169+(E168-S158)*TAN(R162*Outils!F4)/COS(Outils!F4*S158)</f>
        <v>-7.2884285141001106</v>
      </c>
    </row>
    <row r="177" spans="2:65" customFormat="1" ht="17.25" customHeight="1">
      <c r="AC177" s="136" t="s">
        <v>308</v>
      </c>
      <c r="AD177" s="136">
        <f>AD175-AD174*AD176</f>
        <v>-6.999999999999992</v>
      </c>
    </row>
    <row r="178" spans="2:65" customFormat="1" ht="15">
      <c r="K178" s="16"/>
      <c r="L178" s="16"/>
      <c r="AE178" s="320" t="s">
        <v>309</v>
      </c>
      <c r="AF178" s="320"/>
      <c r="AG178" s="142">
        <f>IF($AE$167,AG175,AG172)</f>
        <v>-31.555030019259515</v>
      </c>
    </row>
    <row r="179" spans="2:65" customFormat="1" ht="15">
      <c r="K179" s="16"/>
      <c r="L179" s="16"/>
      <c r="AC179" s="136"/>
      <c r="AE179" s="320"/>
      <c r="AF179" s="320"/>
      <c r="AG179" s="142">
        <f>IF($AE$167,AG176,AG173)</f>
        <v>-6.9999999999999858</v>
      </c>
    </row>
    <row r="180" spans="2:65" customFormat="1" ht="15">
      <c r="K180" s="16"/>
      <c r="L180" s="16"/>
    </row>
    <row r="181" spans="2:65" customFormat="1" ht="15.75" thickBot="1">
      <c r="K181" s="16"/>
      <c r="L181" s="16"/>
    </row>
    <row r="182" spans="2:65" customFormat="1" ht="15.75" thickBot="1">
      <c r="B182" s="122" t="s">
        <v>500</v>
      </c>
      <c r="C182" s="123"/>
      <c r="D182" s="123"/>
      <c r="E182" s="123"/>
      <c r="F182" s="123"/>
      <c r="G182" s="123"/>
      <c r="H182" s="123"/>
      <c r="I182" s="123"/>
      <c r="J182" s="123"/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4"/>
    </row>
    <row r="183" spans="2:65" s="936" customFormat="1" ht="15">
      <c r="K183" s="939"/>
      <c r="L183" s="939"/>
    </row>
    <row r="184" spans="2:65" s="936" customFormat="1" ht="15">
      <c r="B184" s="960" t="s">
        <v>1</v>
      </c>
      <c r="C184" s="960"/>
      <c r="D184" s="960" t="str">
        <f>E7</f>
        <v>2024/08/05</v>
      </c>
      <c r="E184" s="960"/>
      <c r="F184" s="960"/>
      <c r="G184" s="960"/>
      <c r="H184" s="994" t="s">
        <v>2</v>
      </c>
      <c r="I184" s="960" t="str">
        <f>I7</f>
        <v>07:18:13.00(07.3036)</v>
      </c>
      <c r="J184" s="960"/>
      <c r="K184" s="960"/>
      <c r="L184" s="960"/>
    </row>
    <row r="185" spans="2:65" s="936" customFormat="1" ht="15">
      <c r="B185" s="995" t="s">
        <v>30</v>
      </c>
      <c r="C185" s="995"/>
      <c r="D185" s="996" t="str">
        <f>J21</f>
        <v>Soleil</v>
      </c>
      <c r="E185" s="995"/>
      <c r="F185" s="946"/>
      <c r="G185" s="946"/>
      <c r="H185" s="946"/>
      <c r="I185" s="946"/>
      <c r="J185" s="946"/>
      <c r="K185" s="946"/>
      <c r="L185" s="946"/>
      <c r="AA185" s="937"/>
    </row>
    <row r="186" spans="2:65" s="936" customFormat="1" ht="15">
      <c r="B186" s="943"/>
      <c r="C186" s="943"/>
      <c r="D186" s="944"/>
      <c r="E186" s="943"/>
      <c r="AA186" s="937"/>
    </row>
    <row r="187" spans="2:65" s="939" customFormat="1" ht="17.25" customHeight="1" thickBot="1">
      <c r="B187" s="953" t="s">
        <v>501</v>
      </c>
      <c r="C187" s="953"/>
      <c r="D187" s="953"/>
      <c r="E187" s="953"/>
      <c r="F187" s="952"/>
      <c r="G187" s="952"/>
      <c r="H187" s="951"/>
      <c r="I187" s="951"/>
      <c r="J187" s="951"/>
      <c r="K187" s="951"/>
      <c r="L187" s="951"/>
      <c r="M187" s="951"/>
      <c r="N187" s="951"/>
      <c r="O187" s="951"/>
      <c r="P187" s="951"/>
      <c r="Q187" s="951"/>
      <c r="AB187" s="938"/>
      <c r="AC187" s="936"/>
      <c r="AD187" s="936"/>
      <c r="AE187" s="936"/>
      <c r="AF187" s="936"/>
      <c r="AG187" s="936"/>
      <c r="AH187" s="936"/>
      <c r="AI187" s="936"/>
      <c r="AJ187" s="936"/>
      <c r="AK187" s="936"/>
      <c r="AL187" s="936"/>
      <c r="AM187" s="936"/>
      <c r="AN187" s="936"/>
      <c r="AO187" s="936"/>
      <c r="AP187" s="936"/>
      <c r="AQ187" s="936"/>
      <c r="AR187" s="936"/>
      <c r="AS187" s="936"/>
      <c r="AT187" s="936"/>
      <c r="AU187" s="936"/>
      <c r="AV187" s="936"/>
      <c r="AW187" s="936"/>
      <c r="AX187" s="936"/>
      <c r="AY187" s="936"/>
      <c r="AZ187" s="936"/>
      <c r="BA187" s="936"/>
      <c r="BB187" s="936"/>
      <c r="BC187" s="936"/>
      <c r="BD187" s="936"/>
      <c r="BE187" s="936"/>
      <c r="BF187" s="936"/>
      <c r="BG187" s="936"/>
      <c r="BH187" s="936"/>
      <c r="BI187" s="936"/>
      <c r="BJ187" s="936"/>
      <c r="BK187" s="936"/>
      <c r="BL187" s="936"/>
      <c r="BM187" s="936"/>
    </row>
    <row r="188" spans="2:65" s="939" customFormat="1" ht="17.25" customHeight="1" thickTop="1">
      <c r="C188" s="958" t="s">
        <v>502</v>
      </c>
      <c r="D188" s="958"/>
      <c r="E188" s="958" t="str" cm="1">
        <f t="array" ref="E188">angleDecimal2Txt(angleConvert2Decimal(M20))</f>
        <v>+25°18.00 (+25.3000) [+25°18'00.00]</v>
      </c>
      <c r="F188" s="958"/>
      <c r="G188" s="958"/>
      <c r="H188" s="958"/>
      <c r="I188" s="958"/>
      <c r="AB188" s="938"/>
      <c r="AC188" s="936"/>
      <c r="AD188" s="936"/>
      <c r="AE188" s="936"/>
      <c r="AF188" s="936"/>
      <c r="AG188" s="936"/>
      <c r="AH188" s="936"/>
      <c r="AI188" s="936"/>
      <c r="AJ188" s="936"/>
      <c r="AK188" s="936"/>
      <c r="AL188" s="936"/>
      <c r="AM188" s="936"/>
      <c r="AN188" s="936"/>
      <c r="AO188" s="936"/>
      <c r="AP188" s="936"/>
      <c r="AQ188" s="936"/>
      <c r="AR188" s="936"/>
      <c r="AS188" s="936"/>
      <c r="AT188" s="936"/>
      <c r="AU188" s="936"/>
      <c r="AV188" s="936"/>
      <c r="AW188" s="936"/>
      <c r="AX188" s="936"/>
      <c r="AY188" s="936"/>
      <c r="AZ188" s="936"/>
      <c r="BA188" s="936"/>
      <c r="BB188" s="936"/>
      <c r="BC188" s="936"/>
      <c r="BD188" s="936"/>
      <c r="BE188" s="936"/>
      <c r="BF188" s="936"/>
      <c r="BG188" s="936"/>
      <c r="BH188" s="936"/>
      <c r="BI188" s="936"/>
      <c r="BJ188" s="936"/>
      <c r="BK188" s="936"/>
      <c r="BL188" s="936"/>
      <c r="BM188" s="936"/>
    </row>
    <row r="189" spans="2:65" s="939" customFormat="1" ht="17.25" customHeight="1">
      <c r="C189" s="942" t="s">
        <v>70</v>
      </c>
      <c r="D189" s="942"/>
      <c r="E189" s="942" t="str">
        <f>J22</f>
        <v>BordSup</v>
      </c>
      <c r="F189" s="942"/>
      <c r="G189" s="942"/>
      <c r="H189" s="942"/>
      <c r="I189" s="942"/>
      <c r="AB189" s="938"/>
      <c r="AC189" s="936"/>
      <c r="AD189" s="936"/>
      <c r="AE189" s="936"/>
      <c r="AF189" s="936"/>
      <c r="AG189" s="936"/>
      <c r="AH189" s="936"/>
      <c r="AI189" s="936"/>
      <c r="AJ189" s="936"/>
      <c r="AK189" s="936"/>
      <c r="AL189" s="936"/>
      <c r="AM189" s="936"/>
      <c r="AN189" s="936"/>
      <c r="AO189" s="936"/>
      <c r="AP189" s="936"/>
      <c r="AQ189" s="936"/>
      <c r="AR189" s="936"/>
      <c r="AS189" s="936"/>
      <c r="AT189" s="936"/>
      <c r="AU189" s="936"/>
      <c r="AV189" s="936"/>
      <c r="AW189" s="936"/>
      <c r="AX189" s="936"/>
      <c r="AY189" s="936"/>
      <c r="AZ189" s="936"/>
      <c r="BA189" s="936"/>
      <c r="BB189" s="936"/>
      <c r="BC189" s="936"/>
      <c r="BD189" s="936"/>
      <c r="BE189" s="936"/>
      <c r="BF189" s="936"/>
      <c r="BG189" s="936"/>
      <c r="BH189" s="936"/>
      <c r="BI189" s="936"/>
      <c r="BJ189" s="936"/>
      <c r="BK189" s="936"/>
      <c r="BL189" s="936"/>
      <c r="BM189" s="936"/>
    </row>
    <row r="190" spans="2:65" s="939" customFormat="1" ht="17.25" customHeight="1">
      <c r="C190" s="959" t="s">
        <v>503</v>
      </c>
      <c r="D190" s="959"/>
      <c r="E190" s="962" t="str" cm="1">
        <f t="array" ref="E190">angleDecimal2Txt(angleConvert2Decimal(M19))</f>
        <v>+00°00.00 (+00.0000) [+00°00'00.00]</v>
      </c>
      <c r="F190" s="962"/>
      <c r="G190" s="962"/>
      <c r="H190" s="962"/>
      <c r="I190" s="962"/>
      <c r="AB190" s="938"/>
      <c r="AC190" s="936"/>
      <c r="AD190" s="936"/>
      <c r="AE190" s="936"/>
      <c r="AF190" s="936"/>
      <c r="AG190" s="936"/>
      <c r="AH190" s="936"/>
      <c r="AI190" s="936"/>
      <c r="AJ190" s="936"/>
      <c r="AK190" s="936"/>
      <c r="AL190" s="936"/>
      <c r="AM190" s="936"/>
      <c r="AN190" s="936"/>
      <c r="AO190" s="936"/>
      <c r="AP190" s="936"/>
      <c r="AQ190" s="936"/>
      <c r="AR190" s="936"/>
      <c r="AS190" s="936"/>
      <c r="AT190" s="936"/>
      <c r="AU190" s="936"/>
      <c r="AV190" s="936"/>
      <c r="AW190" s="936"/>
      <c r="AX190" s="936"/>
      <c r="AY190" s="936"/>
      <c r="AZ190" s="936"/>
      <c r="BA190" s="936"/>
      <c r="BB190" s="936"/>
      <c r="BC190" s="936"/>
      <c r="BD190" s="936"/>
      <c r="BE190" s="936"/>
      <c r="BF190" s="936"/>
      <c r="BG190" s="936"/>
      <c r="BH190" s="936"/>
      <c r="BI190" s="936"/>
      <c r="BJ190" s="936"/>
      <c r="BK190" s="936"/>
      <c r="BL190" s="936"/>
      <c r="BM190" s="936"/>
    </row>
    <row r="191" spans="2:65" s="939" customFormat="1" ht="17.25" customHeight="1">
      <c r="C191" s="960" t="s">
        <v>504</v>
      </c>
      <c r="D191" s="960"/>
      <c r="E191" s="963" t="str">
        <f>CONCATENATE(M18, " m")</f>
        <v>0 m</v>
      </c>
      <c r="F191" s="963"/>
      <c r="G191" s="963"/>
      <c r="H191" s="963"/>
      <c r="I191" s="963"/>
      <c r="AB191" s="938"/>
      <c r="AC191" s="936"/>
      <c r="AD191" s="936"/>
      <c r="AE191" s="936"/>
      <c r="AF191" s="936"/>
      <c r="AG191" s="936"/>
      <c r="AH191" s="936"/>
      <c r="AI191" s="936"/>
      <c r="AJ191" s="936"/>
      <c r="AK191" s="936"/>
      <c r="AL191" s="936"/>
      <c r="AM191" s="936"/>
      <c r="AN191" s="936"/>
      <c r="AO191" s="936"/>
      <c r="AP191" s="936"/>
      <c r="AQ191" s="936"/>
      <c r="AR191" s="936"/>
      <c r="AS191" s="936"/>
      <c r="AT191" s="936"/>
      <c r="AU191" s="936"/>
      <c r="AV191" s="936"/>
      <c r="AW191" s="936"/>
      <c r="AX191" s="936"/>
      <c r="AY191" s="936"/>
      <c r="AZ191" s="936"/>
      <c r="BA191" s="936"/>
      <c r="BB191" s="936"/>
      <c r="BC191" s="936"/>
      <c r="BD191" s="936"/>
      <c r="BE191" s="936"/>
      <c r="BF191" s="936"/>
      <c r="BG191" s="936"/>
      <c r="BH191" s="936"/>
      <c r="BI191" s="936"/>
      <c r="BJ191" s="936"/>
      <c r="BK191" s="936"/>
      <c r="BL191" s="936"/>
      <c r="BM191" s="936"/>
    </row>
    <row r="192" spans="2:65" s="939" customFormat="1" ht="17.25" customHeight="1">
      <c r="E192" s="945" t="str" cm="1">
        <f t="array" ref="E192">angleDecimal2Txt(O92)</f>
        <v>+25°18.00 (+25.3000) [+25°18'00.00]</v>
      </c>
      <c r="F192" s="945"/>
      <c r="G192" s="945"/>
      <c r="H192" s="945"/>
      <c r="I192" s="945"/>
      <c r="J192" s="945" t="s">
        <v>506</v>
      </c>
      <c r="K192" s="945"/>
      <c r="L192" s="945"/>
      <c r="AB192" s="938"/>
      <c r="AC192" s="936"/>
      <c r="AD192" s="936"/>
      <c r="AE192" s="936"/>
      <c r="AF192" s="936"/>
      <c r="AG192" s="936"/>
      <c r="AH192" s="936"/>
      <c r="AI192" s="936"/>
      <c r="AJ192" s="936"/>
      <c r="AK192" s="936"/>
      <c r="AL192" s="936"/>
      <c r="AM192" s="936"/>
      <c r="AN192" s="936"/>
      <c r="AO192" s="936"/>
      <c r="AP192" s="936"/>
      <c r="AQ192" s="936"/>
      <c r="AR192" s="936"/>
      <c r="AS192" s="936"/>
      <c r="AT192" s="936"/>
      <c r="AU192" s="936"/>
      <c r="AV192" s="936"/>
      <c r="AW192" s="936"/>
      <c r="AX192" s="936"/>
      <c r="AY192" s="936"/>
      <c r="AZ192" s="936"/>
      <c r="BA192" s="936"/>
      <c r="BB192" s="936"/>
      <c r="BC192" s="936"/>
      <c r="BD192" s="936"/>
      <c r="BE192" s="936"/>
      <c r="BF192" s="936"/>
      <c r="BG192" s="936"/>
      <c r="BH192" s="936"/>
      <c r="BI192" s="936"/>
      <c r="BJ192" s="936"/>
      <c r="BK192" s="936"/>
      <c r="BL192" s="936"/>
      <c r="BM192" s="936"/>
    </row>
    <row r="193" spans="2:65" s="939" customFormat="1" ht="17.25" customHeight="1">
      <c r="E193" s="956"/>
      <c r="F193" s="971" t="s">
        <v>504</v>
      </c>
      <c r="G193" s="972"/>
      <c r="H193" s="973" t="str" cm="1">
        <f t="array" ref="H193">angleDecimal2Txt($O$91)</f>
        <v>+00°00.00 (+00.0000) [+00°00'00.00]</v>
      </c>
      <c r="I193" s="973"/>
      <c r="J193" s="973"/>
      <c r="K193" s="973"/>
      <c r="L193" s="973"/>
      <c r="AB193" s="938"/>
      <c r="AC193" s="936"/>
      <c r="AD193" s="936"/>
      <c r="AE193" s="936"/>
      <c r="AF193" s="936"/>
      <c r="AG193" s="936"/>
      <c r="AH193" s="936"/>
      <c r="AI193" s="936"/>
      <c r="AJ193" s="936"/>
      <c r="AK193" s="936"/>
      <c r="AL193" s="936"/>
      <c r="AM193" s="936"/>
      <c r="AN193" s="936"/>
      <c r="AO193" s="936"/>
      <c r="AP193" s="936"/>
      <c r="AQ193" s="936"/>
      <c r="AR193" s="936"/>
      <c r="AS193" s="936"/>
      <c r="AT193" s="936"/>
      <c r="AU193" s="936"/>
      <c r="AV193" s="936"/>
      <c r="AW193" s="936"/>
      <c r="AX193" s="936"/>
      <c r="AY193" s="936"/>
      <c r="AZ193" s="936"/>
      <c r="BA193" s="936"/>
      <c r="BB193" s="936"/>
      <c r="BC193" s="936"/>
      <c r="BD193" s="936"/>
      <c r="BE193" s="936"/>
      <c r="BF193" s="936"/>
      <c r="BG193" s="936"/>
      <c r="BH193" s="936"/>
      <c r="BI193" s="936"/>
      <c r="BJ193" s="936"/>
      <c r="BK193" s="936"/>
      <c r="BL193" s="936"/>
      <c r="BM193" s="936"/>
    </row>
    <row r="194" spans="2:65" s="939" customFormat="1" ht="17.25" customHeight="1">
      <c r="F194" s="974" t="s">
        <v>511</v>
      </c>
      <c r="G194" s="974"/>
      <c r="H194" s="973" t="str" cm="1">
        <f t="array" ref="H194">angleDecimal2Txt(R94)</f>
        <v>+00°00.00 (+00.0000) [+00°00'00.00]</v>
      </c>
      <c r="I194" s="973"/>
      <c r="J194" s="973"/>
      <c r="K194" s="973"/>
      <c r="L194" s="973"/>
      <c r="AB194" s="938"/>
      <c r="AC194" s="936"/>
      <c r="AD194" s="936"/>
      <c r="AE194" s="936"/>
      <c r="AF194" s="936"/>
      <c r="AG194" s="936"/>
      <c r="AH194" s="936"/>
      <c r="AI194" s="936"/>
      <c r="AJ194" s="936"/>
      <c r="AK194" s="936"/>
      <c r="AL194" s="936"/>
      <c r="AM194" s="936"/>
      <c r="AN194" s="936"/>
      <c r="AO194" s="936"/>
      <c r="AP194" s="936"/>
      <c r="AQ194" s="936"/>
      <c r="AR194" s="936"/>
      <c r="AS194" s="936"/>
      <c r="AT194" s="936"/>
      <c r="AU194" s="936"/>
      <c r="AV194" s="936"/>
      <c r="AW194" s="936"/>
      <c r="AX194" s="936"/>
      <c r="AY194" s="936"/>
      <c r="AZ194" s="936"/>
      <c r="BA194" s="936"/>
      <c r="BB194" s="936"/>
      <c r="BC194" s="936"/>
      <c r="BD194" s="936"/>
      <c r="BE194" s="936"/>
      <c r="BF194" s="936"/>
      <c r="BG194" s="936"/>
      <c r="BH194" s="936"/>
      <c r="BI194" s="936"/>
      <c r="BJ194" s="936"/>
      <c r="BK194" s="936"/>
      <c r="BL194" s="936"/>
      <c r="BM194" s="936"/>
    </row>
    <row r="195" spans="2:65" s="939" customFormat="1" ht="17.25" customHeight="1">
      <c r="F195" s="974" t="s">
        <v>512</v>
      </c>
      <c r="G195" s="974"/>
      <c r="H195" s="974" t="str" cm="1">
        <f t="array" ref="H195">angleDecimal2Txt(O97)</f>
        <v>+00°00.15 (+00.0026) [+00°00'09.38]</v>
      </c>
      <c r="I195" s="974"/>
      <c r="J195" s="974"/>
      <c r="K195" s="974"/>
      <c r="L195" s="974"/>
      <c r="AB195" s="938"/>
      <c r="AC195" s="936"/>
      <c r="AD195" s="936"/>
      <c r="AE195" s="936"/>
      <c r="AF195" s="936"/>
      <c r="AG195" s="936"/>
      <c r="AH195" s="936"/>
      <c r="AI195" s="936"/>
      <c r="AJ195" s="936"/>
      <c r="AK195" s="936"/>
      <c r="AL195" s="936"/>
      <c r="AM195" s="936"/>
      <c r="AN195" s="936"/>
      <c r="AO195" s="936"/>
      <c r="AP195" s="936"/>
      <c r="AQ195" s="936"/>
      <c r="AR195" s="936"/>
      <c r="AS195" s="936"/>
      <c r="AT195" s="936"/>
      <c r="AU195" s="936"/>
      <c r="AV195" s="936"/>
      <c r="AW195" s="936"/>
      <c r="AX195" s="936"/>
      <c r="AY195" s="936"/>
      <c r="AZ195" s="936"/>
      <c r="BA195" s="936"/>
      <c r="BB195" s="936"/>
      <c r="BC195" s="936"/>
      <c r="BD195" s="936"/>
      <c r="BE195" s="936"/>
      <c r="BF195" s="936"/>
      <c r="BG195" s="936"/>
      <c r="BH195" s="936"/>
      <c r="BI195" s="936"/>
      <c r="BJ195" s="936"/>
      <c r="BK195" s="936"/>
      <c r="BL195" s="936"/>
      <c r="BM195" s="936"/>
    </row>
    <row r="196" spans="2:65" s="939" customFormat="1" ht="17.25" customHeight="1">
      <c r="F196" s="974" t="s">
        <v>106</v>
      </c>
      <c r="G196" s="974"/>
      <c r="H196" s="974" t="str" cm="1">
        <f t="array" ref="H196">angleDecimal2Txt(O104)</f>
        <v>+00°31.60 (+00.5266) [+00°31'36.00]</v>
      </c>
      <c r="I196" s="974"/>
      <c r="J196" s="974"/>
      <c r="K196" s="974"/>
      <c r="L196" s="974"/>
      <c r="AB196" s="938"/>
      <c r="AC196" s="936"/>
      <c r="AD196" s="936"/>
      <c r="AE196" s="936"/>
      <c r="AF196" s="936"/>
      <c r="AG196" s="936"/>
      <c r="AH196" s="936"/>
      <c r="AI196" s="936"/>
      <c r="AJ196" s="936"/>
      <c r="AK196" s="936"/>
      <c r="AL196" s="936"/>
      <c r="AM196" s="936"/>
      <c r="AN196" s="936"/>
      <c r="AO196" s="936"/>
      <c r="AP196" s="936"/>
      <c r="AQ196" s="936"/>
      <c r="AR196" s="936"/>
      <c r="AS196" s="936"/>
      <c r="AT196" s="936"/>
      <c r="AU196" s="936"/>
      <c r="AV196" s="936"/>
      <c r="AW196" s="936"/>
      <c r="AX196" s="936"/>
      <c r="AY196" s="936"/>
      <c r="AZ196" s="936"/>
      <c r="BA196" s="936"/>
      <c r="BB196" s="936"/>
      <c r="BC196" s="936"/>
      <c r="BD196" s="936"/>
      <c r="BE196" s="936"/>
      <c r="BF196" s="936"/>
      <c r="BG196" s="936"/>
      <c r="BH196" s="936"/>
      <c r="BI196" s="936"/>
      <c r="BJ196" s="936"/>
      <c r="BK196" s="936"/>
      <c r="BL196" s="936"/>
      <c r="BM196" s="936"/>
    </row>
    <row r="197" spans="2:65" s="939" customFormat="1" ht="17.25" customHeight="1">
      <c r="F197" s="974" t="s">
        <v>71</v>
      </c>
      <c r="G197" s="974"/>
      <c r="H197" s="974" t="str" cm="1">
        <f t="array" ref="H197">angleDecimal2Txt(O106)</f>
        <v>-00°15.80 (-00.2633) [-00°15'48.00]</v>
      </c>
      <c r="I197" s="974"/>
      <c r="J197" s="974"/>
      <c r="K197" s="974"/>
      <c r="L197" s="974"/>
      <c r="AB197" s="938"/>
      <c r="AC197" s="936"/>
      <c r="AD197" s="936"/>
      <c r="AE197" s="936"/>
      <c r="AF197" s="936"/>
      <c r="AG197" s="936"/>
      <c r="AH197" s="936"/>
      <c r="AI197" s="936"/>
      <c r="AJ197" s="936"/>
      <c r="AK197" s="936"/>
      <c r="AL197" s="936"/>
      <c r="AM197" s="936"/>
      <c r="AN197" s="936"/>
      <c r="AO197" s="936"/>
      <c r="AP197" s="936"/>
      <c r="AQ197" s="936"/>
      <c r="AR197" s="936"/>
      <c r="AS197" s="936"/>
      <c r="AT197" s="936"/>
      <c r="AU197" s="936"/>
      <c r="AV197" s="936"/>
      <c r="AW197" s="936"/>
      <c r="AX197" s="936"/>
      <c r="AY197" s="936"/>
      <c r="AZ197" s="936"/>
      <c r="BA197" s="936"/>
      <c r="BB197" s="936"/>
      <c r="BC197" s="936"/>
      <c r="BD197" s="936"/>
      <c r="BE197" s="936"/>
      <c r="BF197" s="936"/>
      <c r="BG197" s="936"/>
      <c r="BH197" s="936"/>
      <c r="BI197" s="936"/>
      <c r="BJ197" s="936"/>
      <c r="BK197" s="936"/>
      <c r="BL197" s="936"/>
      <c r="BM197" s="936"/>
    </row>
    <row r="198" spans="2:65" s="939" customFormat="1" ht="17.25" customHeight="1">
      <c r="D198" s="941"/>
      <c r="E198" s="945" t="str" cm="1">
        <f t="array" ref="E198">angleDecimal2Txt(F85)</f>
        <v>+25°00.26 (+25.0044) [+25°00'15.94]</v>
      </c>
      <c r="F198" s="945"/>
      <c r="G198" s="945"/>
      <c r="H198" s="945"/>
      <c r="I198" s="945"/>
      <c r="J198" s="945" t="s">
        <v>505</v>
      </c>
      <c r="K198" s="945"/>
      <c r="L198" s="945"/>
      <c r="AB198" s="938"/>
      <c r="AC198" s="936"/>
      <c r="AD198" s="936"/>
      <c r="AE198" s="936"/>
      <c r="AF198" s="936"/>
      <c r="AG198" s="936"/>
      <c r="AH198" s="936"/>
      <c r="AI198" s="936"/>
      <c r="AJ198" s="936"/>
      <c r="AK198" s="936"/>
      <c r="AL198" s="936"/>
      <c r="AM198" s="936"/>
      <c r="AN198" s="936"/>
      <c r="AO198" s="936"/>
      <c r="AP198" s="936"/>
      <c r="AQ198" s="936"/>
      <c r="AR198" s="936"/>
      <c r="AS198" s="936"/>
      <c r="AT198" s="936"/>
      <c r="AU198" s="936"/>
      <c r="AV198" s="936"/>
      <c r="AW198" s="936"/>
      <c r="AX198" s="936"/>
      <c r="AY198" s="936"/>
      <c r="AZ198" s="936"/>
      <c r="BA198" s="936"/>
      <c r="BB198" s="936"/>
      <c r="BC198" s="936"/>
      <c r="BD198" s="936"/>
      <c r="BE198" s="936"/>
      <c r="BF198" s="936"/>
      <c r="BG198" s="936"/>
      <c r="BH198" s="936"/>
      <c r="BI198" s="936"/>
      <c r="BJ198" s="936"/>
      <c r="BK198" s="936"/>
      <c r="BL198" s="936"/>
      <c r="BM198" s="936"/>
    </row>
    <row r="199" spans="2:65" s="939" customFormat="1" ht="17.25" customHeight="1">
      <c r="D199" s="941"/>
      <c r="F199" s="974" t="str" cm="1">
        <f t="array" ref="F199">angleDecimal2Txt(-1*(O90+O102-O97))</f>
        <v>-00°01.93 (-00.0322) [-00°01'56.05]</v>
      </c>
      <c r="G199" s="974"/>
      <c r="H199" s="974"/>
      <c r="I199" s="974"/>
      <c r="J199" s="974"/>
      <c r="K199" s="974" t="s">
        <v>513</v>
      </c>
      <c r="L199" s="974"/>
      <c r="M199" s="974"/>
      <c r="N199" s="976" t="s">
        <v>529</v>
      </c>
      <c r="O199" s="976"/>
      <c r="P199" s="976"/>
      <c r="AB199" s="938"/>
      <c r="AC199" s="936"/>
      <c r="AD199" s="936"/>
      <c r="AE199" s="936"/>
      <c r="AF199" s="936"/>
      <c r="AG199" s="936"/>
      <c r="AH199" s="936"/>
      <c r="AI199" s="936"/>
      <c r="AJ199" s="936"/>
      <c r="AK199" s="936"/>
      <c r="AL199" s="936"/>
      <c r="AM199" s="936"/>
      <c r="AN199" s="936"/>
      <c r="AO199" s="936"/>
      <c r="AP199" s="936"/>
      <c r="AQ199" s="936"/>
      <c r="AR199" s="936"/>
      <c r="AS199" s="936"/>
      <c r="AT199" s="936"/>
      <c r="AU199" s="936"/>
      <c r="AV199" s="936"/>
      <c r="AW199" s="936"/>
      <c r="AX199" s="936"/>
      <c r="AY199" s="936"/>
      <c r="AZ199" s="936"/>
      <c r="BA199" s="936"/>
      <c r="BB199" s="936"/>
      <c r="BC199" s="936"/>
      <c r="BD199" s="936"/>
      <c r="BE199" s="936"/>
      <c r="BF199" s="936"/>
      <c r="BG199" s="936"/>
      <c r="BH199" s="936"/>
      <c r="BI199" s="936"/>
      <c r="BJ199" s="936"/>
      <c r="BK199" s="936"/>
      <c r="BL199" s="936"/>
      <c r="BM199" s="936"/>
    </row>
    <row r="200" spans="2:65" s="939" customFormat="1" ht="17.25" customHeight="1">
      <c r="D200" s="941"/>
      <c r="F200" s="974" t="str" cm="1">
        <f t="array" ref="F200">angleDecimal2Txt(-1*O90-O102+O97+O106)</f>
        <v>-00°17.73 (-00.2955) [-00°17'44.05]</v>
      </c>
      <c r="G200" s="974"/>
      <c r="H200" s="974"/>
      <c r="I200" s="974"/>
      <c r="J200" s="974"/>
      <c r="K200" s="974" t="s">
        <v>509</v>
      </c>
      <c r="L200" s="974"/>
      <c r="M200" s="974"/>
      <c r="N200" s="976"/>
      <c r="O200" s="976"/>
      <c r="P200" s="976"/>
      <c r="AB200" s="938"/>
      <c r="AC200" s="936"/>
      <c r="AD200" s="936"/>
      <c r="AE200" s="936"/>
      <c r="AF200" s="936"/>
      <c r="AG200" s="936"/>
      <c r="AH200" s="936"/>
      <c r="AI200" s="936"/>
      <c r="AJ200" s="936"/>
      <c r="AK200" s="936"/>
      <c r="AL200" s="936"/>
      <c r="AM200" s="936"/>
      <c r="AN200" s="936"/>
      <c r="AO200" s="936"/>
      <c r="AP200" s="936"/>
      <c r="AQ200" s="936"/>
      <c r="AR200" s="936"/>
      <c r="AS200" s="936"/>
      <c r="AT200" s="936"/>
      <c r="AU200" s="936"/>
      <c r="AV200" s="936"/>
      <c r="AW200" s="936"/>
      <c r="AX200" s="936"/>
      <c r="AY200" s="936"/>
      <c r="AZ200" s="936"/>
      <c r="BA200" s="936"/>
      <c r="BB200" s="936"/>
      <c r="BC200" s="936"/>
      <c r="BD200" s="936"/>
      <c r="BE200" s="936"/>
      <c r="BF200" s="936"/>
      <c r="BG200" s="936"/>
      <c r="BH200" s="936"/>
      <c r="BI200" s="936"/>
      <c r="BJ200" s="936"/>
      <c r="BK200" s="936"/>
      <c r="BL200" s="936"/>
      <c r="BM200" s="936"/>
    </row>
    <row r="201" spans="2:65" s="939" customFormat="1" ht="17.25" customHeight="1">
      <c r="D201" s="941"/>
      <c r="F201" s="974" t="str" cm="1">
        <f t="array" ref="F201">angleDecimal2Txt(O97-O102+O106)</f>
        <v>-00°17.73 (-00.2955) [-00°17'44.05]</v>
      </c>
      <c r="G201" s="974"/>
      <c r="H201" s="974"/>
      <c r="I201" s="974"/>
      <c r="J201" s="974"/>
      <c r="K201" s="974" t="s">
        <v>510</v>
      </c>
      <c r="L201" s="974"/>
      <c r="M201" s="974"/>
      <c r="N201" s="976"/>
      <c r="O201" s="976"/>
      <c r="P201" s="976"/>
      <c r="AB201" s="938"/>
      <c r="AC201" s="936"/>
      <c r="AD201" s="936"/>
      <c r="AE201" s="936"/>
      <c r="AF201" s="936"/>
      <c r="AG201" s="936"/>
      <c r="AH201" s="936"/>
      <c r="AI201" s="936"/>
      <c r="AJ201" s="936"/>
      <c r="AK201" s="936"/>
      <c r="AL201" s="936"/>
      <c r="AM201" s="936"/>
      <c r="AN201" s="936"/>
      <c r="AO201" s="936"/>
      <c r="AP201" s="936"/>
      <c r="AQ201" s="936"/>
      <c r="AR201" s="936"/>
      <c r="AS201" s="936"/>
      <c r="AT201" s="936"/>
      <c r="AU201" s="936"/>
      <c r="AV201" s="936"/>
      <c r="AW201" s="936"/>
      <c r="AX201" s="936"/>
      <c r="AY201" s="936"/>
      <c r="AZ201" s="936"/>
      <c r="BA201" s="936"/>
      <c r="BB201" s="936"/>
      <c r="BC201" s="936"/>
      <c r="BD201" s="936"/>
      <c r="BE201" s="936"/>
      <c r="BF201" s="936"/>
      <c r="BG201" s="936"/>
      <c r="BH201" s="936"/>
      <c r="BI201" s="936"/>
      <c r="BJ201" s="936"/>
      <c r="BK201" s="936"/>
      <c r="BL201" s="936"/>
      <c r="BM201" s="936"/>
    </row>
    <row r="202" spans="2:65" s="939" customFormat="1" ht="17.25" customHeight="1">
      <c r="AB202" s="938"/>
      <c r="AC202" s="936"/>
      <c r="AD202" s="936"/>
      <c r="AE202" s="936"/>
      <c r="AF202" s="936"/>
      <c r="AG202" s="936"/>
      <c r="AH202" s="936"/>
      <c r="AI202" s="936"/>
      <c r="AJ202" s="936"/>
      <c r="AK202" s="936"/>
      <c r="AL202" s="936"/>
      <c r="AM202" s="936"/>
      <c r="AN202" s="936"/>
      <c r="AO202" s="936"/>
      <c r="AP202" s="936"/>
      <c r="AQ202" s="936"/>
      <c r="AR202" s="936"/>
      <c r="AS202" s="936"/>
      <c r="AT202" s="936"/>
      <c r="AU202" s="936"/>
      <c r="AV202" s="936"/>
      <c r="AW202" s="936"/>
      <c r="AX202" s="936"/>
      <c r="AY202" s="936"/>
      <c r="AZ202" s="936"/>
      <c r="BA202" s="936"/>
      <c r="BB202" s="936"/>
      <c r="BC202" s="936"/>
      <c r="BD202" s="936"/>
      <c r="BE202" s="936"/>
      <c r="BF202" s="936"/>
      <c r="BG202" s="936"/>
      <c r="BH202" s="936"/>
      <c r="BI202" s="936"/>
      <c r="BJ202" s="936"/>
      <c r="BK202" s="936"/>
      <c r="BL202" s="936"/>
      <c r="BM202" s="936"/>
    </row>
    <row r="203" spans="2:65" s="939" customFormat="1" ht="17.25" customHeight="1">
      <c r="C203" s="941"/>
      <c r="AB203" s="938"/>
      <c r="AC203" s="936"/>
      <c r="AD203" s="936"/>
      <c r="AE203" s="936"/>
      <c r="AF203" s="936"/>
      <c r="AG203" s="936"/>
      <c r="AH203" s="936"/>
      <c r="AI203" s="936"/>
      <c r="AJ203" s="936"/>
      <c r="AK203" s="936"/>
      <c r="AL203" s="936"/>
      <c r="AM203" s="936"/>
      <c r="AN203" s="936"/>
      <c r="AO203" s="936"/>
      <c r="AP203" s="936"/>
      <c r="AQ203" s="936"/>
      <c r="AR203" s="936"/>
      <c r="AS203" s="936"/>
      <c r="AT203" s="936"/>
      <c r="AU203" s="936"/>
      <c r="AV203" s="936"/>
      <c r="AW203" s="936"/>
      <c r="AX203" s="936"/>
      <c r="AY203" s="936"/>
      <c r="AZ203" s="936"/>
      <c r="BA203" s="936"/>
      <c r="BB203" s="936"/>
      <c r="BC203" s="936"/>
      <c r="BD203" s="936"/>
      <c r="BE203" s="936"/>
      <c r="BF203" s="936"/>
      <c r="BG203" s="936"/>
      <c r="BH203" s="936"/>
      <c r="BI203" s="936"/>
      <c r="BJ203" s="936"/>
      <c r="BK203" s="936"/>
      <c r="BL203" s="936"/>
      <c r="BM203" s="936"/>
    </row>
    <row r="204" spans="2:65" s="939" customFormat="1" ht="17.25" customHeight="1" thickBot="1">
      <c r="B204" s="951" t="s">
        <v>62</v>
      </c>
      <c r="C204" s="952"/>
      <c r="D204" s="952"/>
      <c r="E204" s="952"/>
      <c r="F204" s="952"/>
      <c r="G204" s="952"/>
      <c r="H204" s="951"/>
      <c r="I204" s="951"/>
      <c r="J204" s="951"/>
      <c r="K204" s="951"/>
      <c r="L204" s="951"/>
      <c r="M204" s="951"/>
      <c r="N204" s="951"/>
      <c r="O204" s="951"/>
      <c r="P204" s="951"/>
      <c r="Q204" s="951"/>
      <c r="AB204" s="938"/>
      <c r="AC204" s="936"/>
      <c r="AD204" s="936"/>
      <c r="AE204" s="936"/>
      <c r="AF204" s="936"/>
      <c r="AG204" s="936"/>
      <c r="AH204" s="936"/>
      <c r="AI204" s="936"/>
      <c r="AJ204" s="936"/>
      <c r="AK204" s="936"/>
      <c r="AL204" s="936"/>
      <c r="AM204" s="936"/>
      <c r="AN204" s="936"/>
      <c r="AO204" s="936"/>
      <c r="AP204" s="936"/>
      <c r="AQ204" s="936"/>
      <c r="AR204" s="936"/>
      <c r="AS204" s="936"/>
      <c r="AT204" s="936"/>
      <c r="AU204" s="936"/>
      <c r="AV204" s="936"/>
      <c r="AW204" s="936"/>
      <c r="AX204" s="936"/>
      <c r="AY204" s="936"/>
      <c r="AZ204" s="936"/>
      <c r="BA204" s="936"/>
      <c r="BB204" s="936"/>
      <c r="BC204" s="936"/>
      <c r="BD204" s="936"/>
      <c r="BE204" s="936"/>
      <c r="BF204" s="936"/>
      <c r="BG204" s="936"/>
      <c r="BH204" s="936"/>
      <c r="BI204" s="936"/>
      <c r="BJ204" s="936"/>
      <c r="BK204" s="936"/>
      <c r="BL204" s="936"/>
      <c r="BM204" s="936"/>
    </row>
    <row r="205" spans="2:65" s="939" customFormat="1" ht="17.25" customHeight="1" thickTop="1">
      <c r="C205" s="964" t="s">
        <v>514</v>
      </c>
      <c r="D205" s="964"/>
      <c r="E205" s="964" t="str" cm="1">
        <f t="array" ref="E205">latitudeDecimal2Txt(F35)</f>
        <v>N 48°52.53 (N 48.8755) [N 48°52'31.80]</v>
      </c>
      <c r="F205" s="964"/>
      <c r="G205" s="964"/>
      <c r="H205" s="964"/>
      <c r="I205" s="964"/>
      <c r="J205" s="964"/>
      <c r="AB205" s="938"/>
      <c r="AC205" s="936"/>
      <c r="AD205" s="936"/>
      <c r="AE205" s="936"/>
      <c r="AF205" s="936"/>
      <c r="AG205" s="936"/>
      <c r="AH205" s="936"/>
      <c r="AI205" s="936"/>
      <c r="AJ205" s="936"/>
      <c r="AK205" s="936"/>
      <c r="AL205" s="936"/>
      <c r="AM205" s="936"/>
      <c r="AN205" s="936"/>
      <c r="AO205" s="936"/>
      <c r="AP205" s="936"/>
      <c r="AQ205" s="936"/>
      <c r="AR205" s="936"/>
      <c r="AS205" s="936"/>
      <c r="AT205" s="936"/>
      <c r="AU205" s="936"/>
      <c r="AV205" s="936"/>
      <c r="AW205" s="936"/>
      <c r="AX205" s="936"/>
      <c r="AY205" s="936"/>
      <c r="AZ205" s="936"/>
      <c r="BA205" s="936"/>
      <c r="BB205" s="936"/>
      <c r="BC205" s="936"/>
      <c r="BD205" s="936"/>
      <c r="BE205" s="936"/>
      <c r="BF205" s="936"/>
      <c r="BG205" s="936"/>
      <c r="BH205" s="936"/>
      <c r="BI205" s="936"/>
      <c r="BJ205" s="936"/>
      <c r="BK205" s="936"/>
      <c r="BL205" s="936"/>
      <c r="BM205" s="936"/>
    </row>
    <row r="206" spans="2:65" s="939" customFormat="1" ht="17.25" customHeight="1">
      <c r="C206" s="942" t="s">
        <v>515</v>
      </c>
      <c r="D206" s="942"/>
      <c r="E206" s="942" t="str" cm="1">
        <f t="array" ref="E206">longitudeDecimal2Txt(F40)</f>
        <v>E 02°05.66 (E 02.0945) [E 02°05'40.19]</v>
      </c>
      <c r="F206" s="942"/>
      <c r="G206" s="942"/>
      <c r="H206" s="942"/>
      <c r="I206" s="942"/>
      <c r="J206" s="942"/>
      <c r="AB206" s="938"/>
      <c r="AC206" s="936"/>
      <c r="AD206" s="936"/>
      <c r="AE206" s="936"/>
      <c r="AF206" s="936"/>
      <c r="AG206" s="936"/>
      <c r="AH206" s="936"/>
      <c r="AI206" s="936"/>
      <c r="AJ206" s="936"/>
      <c r="AK206" s="936"/>
      <c r="AL206" s="936"/>
      <c r="AM206" s="936"/>
      <c r="AN206" s="936"/>
      <c r="AO206" s="936"/>
      <c r="AP206" s="936"/>
      <c r="AQ206" s="936"/>
      <c r="AR206" s="936"/>
      <c r="AS206" s="936"/>
      <c r="AT206" s="936"/>
      <c r="AU206" s="936"/>
      <c r="AV206" s="936"/>
      <c r="AW206" s="936"/>
      <c r="AX206" s="936"/>
      <c r="AY206" s="936"/>
      <c r="AZ206" s="936"/>
      <c r="BA206" s="936"/>
      <c r="BB206" s="936"/>
      <c r="BC206" s="936"/>
      <c r="BD206" s="936"/>
      <c r="BE206" s="936"/>
      <c r="BF206" s="936"/>
      <c r="BG206" s="936"/>
      <c r="BH206" s="936"/>
      <c r="BI206" s="936"/>
      <c r="BJ206" s="936"/>
      <c r="BK206" s="936"/>
      <c r="BL206" s="936"/>
      <c r="BM206" s="936"/>
    </row>
    <row r="207" spans="2:65" s="939" customFormat="1" ht="17.25" customHeight="1">
      <c r="F207" s="976" t="str">
        <f>CONCATENATE("GHA - ", G63)</f>
        <v>GHA - Par interval</v>
      </c>
      <c r="G207" s="976"/>
      <c r="H207" s="974">
        <f>IF($G$63=$AD$63,M67,CONCATENATE("T0:",M75))</f>
        <v>7</v>
      </c>
      <c r="I207" s="974"/>
      <c r="J207" s="974"/>
      <c r="K207" s="974" t="str" cm="1">
        <f t="array" ref="K207">IF($G$63=$AD$63,angleDecimal2Txt(angleConvert2Decimal(Q67),0),CONCATENATE("Pos. à T0:",angleDecimal2Txt(angleConvert2Decimal(Q75),0)))</f>
        <v>+283°30.10</v>
      </c>
      <c r="L207" s="974"/>
      <c r="M207" s="974"/>
      <c r="AB207" s="938"/>
      <c r="AC207" s="936"/>
      <c r="AD207" s="936"/>
      <c r="AE207" s="936"/>
      <c r="AF207" s="936"/>
      <c r="AG207" s="936"/>
      <c r="AH207" s="936"/>
      <c r="AI207" s="936"/>
      <c r="AJ207" s="936"/>
      <c r="AK207" s="936"/>
      <c r="AL207" s="936"/>
      <c r="AM207" s="936"/>
      <c r="AN207" s="936"/>
      <c r="AO207" s="936"/>
      <c r="AP207" s="936"/>
      <c r="AQ207" s="936"/>
      <c r="AR207" s="936"/>
      <c r="AS207" s="936"/>
      <c r="AT207" s="936"/>
      <c r="AU207" s="936"/>
      <c r="AV207" s="936"/>
      <c r="AW207" s="936"/>
      <c r="AX207" s="936"/>
      <c r="AY207" s="936"/>
      <c r="AZ207" s="936"/>
      <c r="BA207" s="936"/>
      <c r="BB207" s="936"/>
      <c r="BC207" s="936"/>
      <c r="BD207" s="936"/>
      <c r="BE207" s="936"/>
      <c r="BF207" s="936"/>
      <c r="BG207" s="936"/>
      <c r="BH207" s="936"/>
      <c r="BI207" s="936"/>
      <c r="BJ207" s="936"/>
      <c r="BK207" s="936"/>
      <c r="BL207" s="936"/>
      <c r="BM207" s="936"/>
    </row>
    <row r="208" spans="2:65" s="939" customFormat="1" ht="17.25" customHeight="1">
      <c r="F208" s="976"/>
      <c r="G208" s="976"/>
      <c r="H208" s="974">
        <f>IF($G$63=$AD$63,M69,CONCATENATE("V:",AD76,0))</f>
        <v>8</v>
      </c>
      <c r="I208" s="974"/>
      <c r="J208" s="974"/>
      <c r="K208" s="974" t="str" cm="1">
        <f t="array" ref="K208">IF($G$63=$AD$63,angleDecimal2Txt(angleConvert2Decimal(Q69),0),CONCATENATE("dt:",TEXT((I75-M75),"0.000")," h"))</f>
        <v>+298°30.19</v>
      </c>
      <c r="L208" s="974"/>
      <c r="M208" s="974"/>
      <c r="AB208" s="938"/>
      <c r="AC208" s="936"/>
      <c r="AD208" s="936"/>
      <c r="AE208" s="936"/>
      <c r="AF208" s="936"/>
      <c r="AG208" s="936"/>
      <c r="AH208" s="936"/>
      <c r="AI208" s="936"/>
      <c r="AJ208" s="936"/>
      <c r="AK208" s="936"/>
      <c r="AL208" s="936"/>
      <c r="AM208" s="936"/>
      <c r="AN208" s="936"/>
      <c r="AO208" s="936"/>
      <c r="AP208" s="936"/>
      <c r="AQ208" s="936"/>
      <c r="AR208" s="936"/>
      <c r="AS208" s="936"/>
      <c r="AT208" s="936"/>
      <c r="AU208" s="936"/>
      <c r="AV208" s="936"/>
      <c r="AW208" s="936"/>
      <c r="AX208" s="936"/>
      <c r="AY208" s="936"/>
      <c r="AZ208" s="936"/>
      <c r="BA208" s="936"/>
      <c r="BB208" s="936"/>
      <c r="BC208" s="936"/>
      <c r="BD208" s="936"/>
      <c r="BE208" s="936"/>
      <c r="BF208" s="936"/>
      <c r="BG208" s="936"/>
      <c r="BH208" s="936"/>
      <c r="BI208" s="936"/>
      <c r="BJ208" s="936"/>
      <c r="BK208" s="936"/>
      <c r="BL208" s="936"/>
      <c r="BM208" s="936"/>
    </row>
    <row r="209" spans="3:65" s="939" customFormat="1" ht="17.25" customHeight="1">
      <c r="C209" s="940" t="s">
        <v>516</v>
      </c>
      <c r="D209" s="940"/>
      <c r="E209" s="940" t="str" cm="1">
        <f t="array" ref="E209">angleDecimal2Txt(F62)</f>
        <v>+288°03.38 (+288.0563) [+288°03'22.82]</v>
      </c>
      <c r="F209" s="940"/>
      <c r="G209" s="940"/>
      <c r="H209" s="940"/>
      <c r="I209" s="940"/>
      <c r="J209" s="940"/>
      <c r="AB209" s="938"/>
      <c r="AC209" s="936"/>
      <c r="AD209" s="936"/>
      <c r="AE209" s="936"/>
      <c r="AF209" s="936"/>
      <c r="AG209" s="936"/>
      <c r="AH209" s="936"/>
      <c r="AI209" s="936"/>
      <c r="AJ209" s="936"/>
      <c r="AK209" s="936"/>
      <c r="AL209" s="936"/>
      <c r="AM209" s="936"/>
      <c r="AN209" s="936"/>
      <c r="AO209" s="936"/>
      <c r="AP209" s="936"/>
      <c r="AQ209" s="936"/>
      <c r="AR209" s="936"/>
      <c r="AS209" s="936"/>
      <c r="AT209" s="936"/>
      <c r="AU209" s="936"/>
      <c r="AV209" s="936"/>
      <c r="AW209" s="936"/>
      <c r="AX209" s="936"/>
      <c r="AY209" s="936"/>
      <c r="AZ209" s="936"/>
      <c r="BA209" s="936"/>
      <c r="BB209" s="936"/>
      <c r="BC209" s="936"/>
      <c r="BD209" s="936"/>
      <c r="BE209" s="936"/>
      <c r="BF209" s="936"/>
      <c r="BG209" s="936"/>
      <c r="BH209" s="936"/>
      <c r="BI209" s="936"/>
      <c r="BJ209" s="936"/>
      <c r="BK209" s="936"/>
      <c r="BL209" s="936"/>
      <c r="BM209" s="936"/>
    </row>
    <row r="210" spans="3:65" s="939" customFormat="1" ht="17.25" customHeight="1">
      <c r="C210" s="940" t="s">
        <v>43</v>
      </c>
      <c r="D210" s="940"/>
      <c r="E210" s="940" t="str" cm="1">
        <f t="array" ref="E210">angleDecimal2Txt(F81)</f>
        <v>+290°09.05 (+290.1508) [+290°09'03.02]</v>
      </c>
      <c r="F210" s="940"/>
      <c r="G210" s="940"/>
      <c r="H210" s="940"/>
      <c r="I210" s="940"/>
      <c r="J210" s="940"/>
      <c r="AB210" s="938"/>
      <c r="AC210" s="936"/>
      <c r="AD210" s="936"/>
      <c r="AE210" s="936"/>
      <c r="AF210" s="936"/>
      <c r="AG210" s="936"/>
      <c r="AH210" s="936"/>
      <c r="AI210" s="936"/>
      <c r="AJ210" s="936"/>
      <c r="AK210" s="936"/>
      <c r="AL210" s="936"/>
      <c r="AM210" s="936"/>
      <c r="AN210" s="936"/>
      <c r="AO210" s="936"/>
      <c r="AP210" s="936"/>
      <c r="AQ210" s="936"/>
      <c r="AR210" s="936"/>
      <c r="AS210" s="936"/>
      <c r="AT210" s="936"/>
      <c r="AU210" s="936"/>
      <c r="AV210" s="936"/>
      <c r="AW210" s="936"/>
      <c r="AX210" s="936"/>
      <c r="AY210" s="936"/>
      <c r="AZ210" s="936"/>
      <c r="BA210" s="936"/>
      <c r="BB210" s="936"/>
      <c r="BC210" s="936"/>
      <c r="BD210" s="936"/>
      <c r="BE210" s="936"/>
      <c r="BF210" s="936"/>
      <c r="BG210" s="936"/>
      <c r="BH210" s="936"/>
      <c r="BI210" s="936"/>
      <c r="BJ210" s="936"/>
      <c r="BK210" s="936"/>
      <c r="BL210" s="936"/>
      <c r="BM210" s="936"/>
    </row>
    <row r="211" spans="3:65" s="939" customFormat="1" ht="17.25" customHeight="1">
      <c r="F211" s="976" t="str">
        <f>CONCATENATE("Déc. - ", G45)</f>
        <v>Déc. - Par interval</v>
      </c>
      <c r="G211" s="976"/>
      <c r="H211" s="974">
        <f>IF($G$45=$AD$45,M49,CONCATENATE("T0:",M57))</f>
        <v>7</v>
      </c>
      <c r="I211" s="974"/>
      <c r="J211" s="974" t="str" cm="1">
        <f t="array" ref="J211">IF($G$45=$AD$45,angleDecimal2Txt(AE48,0),CONCATENATE("Pos. à T0:",AD56,0))</f>
        <v>+16°48.70</v>
      </c>
      <c r="K211" s="974"/>
      <c r="L211" s="974"/>
      <c r="M211" s="974"/>
      <c r="AB211" s="938"/>
      <c r="AC211" s="936"/>
      <c r="AD211" s="936"/>
      <c r="AE211" s="936"/>
      <c r="AF211" s="936"/>
      <c r="AG211" s="936"/>
      <c r="AH211" s="936"/>
      <c r="AI211" s="936"/>
      <c r="AJ211" s="936"/>
      <c r="AK211" s="936"/>
      <c r="AL211" s="936"/>
      <c r="AM211" s="936"/>
      <c r="AN211" s="936"/>
      <c r="AO211" s="936"/>
      <c r="AP211" s="936"/>
      <c r="AQ211" s="936"/>
      <c r="AR211" s="936"/>
      <c r="AS211" s="936"/>
      <c r="AT211" s="936"/>
      <c r="AU211" s="936"/>
      <c r="AV211" s="936"/>
      <c r="AW211" s="936"/>
      <c r="AX211" s="936"/>
      <c r="AY211" s="936"/>
      <c r="AZ211" s="936"/>
      <c r="BA211" s="936"/>
      <c r="BB211" s="936"/>
      <c r="BC211" s="936"/>
      <c r="BD211" s="936"/>
      <c r="BE211" s="936"/>
      <c r="BF211" s="936"/>
      <c r="BG211" s="936"/>
      <c r="BH211" s="936"/>
      <c r="BI211" s="936"/>
      <c r="BJ211" s="936"/>
      <c r="BK211" s="936"/>
      <c r="BL211" s="936"/>
      <c r="BM211" s="936"/>
    </row>
    <row r="212" spans="3:65" s="939" customFormat="1" ht="17.25" customHeight="1">
      <c r="F212" s="976"/>
      <c r="G212" s="976"/>
      <c r="H212" s="974" cm="1">
        <f t="array" ref="H212">IF($G$45=$AD$45,M51,CONCATENATE("V:",angleDecimal2Txt(AD58,0)))</f>
        <v>8</v>
      </c>
      <c r="I212" s="974"/>
      <c r="J212" s="974" t="str" cm="1">
        <f t="array" ref="J212">IF($G$45=$AD$45,angleDecimal2Txt(AE49,0),CONCATENATE("dt:",TEXT((I57-M57),"0.000")," h"))</f>
        <v>+16°48.00</v>
      </c>
      <c r="K212" s="974"/>
      <c r="L212" s="974"/>
      <c r="M212" s="974"/>
      <c r="AB212" s="938"/>
      <c r="AC212" s="936"/>
      <c r="AD212" s="936"/>
      <c r="AE212" s="936"/>
      <c r="AF212" s="936"/>
      <c r="AG212" s="936"/>
      <c r="AH212" s="936"/>
      <c r="AI212" s="936"/>
      <c r="AJ212" s="936"/>
      <c r="AK212" s="936"/>
      <c r="AL212" s="936"/>
      <c r="AM212" s="936"/>
      <c r="AN212" s="936"/>
      <c r="AO212" s="936"/>
      <c r="AP212" s="936"/>
      <c r="AQ212" s="936"/>
      <c r="AR212" s="936"/>
      <c r="AS212" s="936"/>
      <c r="AT212" s="936"/>
      <c r="AU212" s="936"/>
      <c r="AV212" s="936"/>
      <c r="AW212" s="936"/>
      <c r="AX212" s="936"/>
      <c r="AY212" s="936"/>
      <c r="AZ212" s="936"/>
      <c r="BA212" s="936"/>
      <c r="BB212" s="936"/>
      <c r="BC212" s="936"/>
      <c r="BD212" s="936"/>
      <c r="BE212" s="936"/>
      <c r="BF212" s="936"/>
      <c r="BG212" s="936"/>
      <c r="BH212" s="936"/>
      <c r="BI212" s="936"/>
      <c r="BJ212" s="936"/>
      <c r="BK212" s="936"/>
      <c r="BL212" s="936"/>
      <c r="BM212" s="936"/>
    </row>
    <row r="213" spans="3:65" s="939" customFormat="1" ht="17.25" customHeight="1">
      <c r="C213" s="940" t="s">
        <v>9</v>
      </c>
      <c r="D213" s="940"/>
      <c r="E213" s="940" t="str" cm="1">
        <f t="array" ref="E213">latitudeDecimal2Txt(F44)</f>
        <v>N 16°48.48 (N 16.8081) [N 16°48'29.24]</v>
      </c>
      <c r="F213" s="940"/>
      <c r="G213" s="940"/>
      <c r="H213" s="940"/>
      <c r="I213" s="940"/>
      <c r="J213" s="940"/>
      <c r="AB213" s="938"/>
      <c r="AC213" s="936"/>
      <c r="AD213" s="936"/>
      <c r="AE213" s="936"/>
      <c r="AF213" s="936"/>
      <c r="AG213" s="936"/>
      <c r="AH213" s="936"/>
      <c r="AI213" s="936"/>
      <c r="AJ213" s="936"/>
      <c r="AK213" s="936"/>
      <c r="AL213" s="936"/>
      <c r="AM213" s="936"/>
      <c r="AN213" s="936"/>
      <c r="AO213" s="936"/>
      <c r="AP213" s="936"/>
      <c r="AQ213" s="936"/>
      <c r="AR213" s="936"/>
      <c r="AS213" s="936"/>
      <c r="AT213" s="936"/>
      <c r="AU213" s="936"/>
      <c r="AV213" s="936"/>
      <c r="AW213" s="936"/>
      <c r="AX213" s="936"/>
      <c r="AY213" s="936"/>
      <c r="AZ213" s="936"/>
      <c r="BA213" s="936"/>
      <c r="BB213" s="936"/>
      <c r="BC213" s="936"/>
      <c r="BD213" s="936"/>
      <c r="BE213" s="936"/>
      <c r="BF213" s="936"/>
      <c r="BG213" s="936"/>
      <c r="BH213" s="936"/>
      <c r="BI213" s="936"/>
      <c r="BJ213" s="936"/>
      <c r="BK213" s="936"/>
      <c r="BL213" s="936"/>
      <c r="BM213" s="936"/>
    </row>
    <row r="214" spans="3:65" s="939" customFormat="1" ht="17.25" customHeight="1">
      <c r="F214" s="974" t="s">
        <v>518</v>
      </c>
      <c r="G214" s="974"/>
      <c r="H214" s="974">
        <f>SIN(U129)</f>
        <v>0.28916754186780119</v>
      </c>
      <c r="I214" s="974"/>
      <c r="J214" s="974">
        <f>SIN(U142)</f>
        <v>0.75328222603667561</v>
      </c>
      <c r="K214" s="974"/>
      <c r="L214" s="974" t="s">
        <v>519</v>
      </c>
      <c r="M214" s="974"/>
      <c r="AB214" s="938"/>
      <c r="AC214" s="936"/>
      <c r="AD214" s="936"/>
      <c r="AE214" s="936"/>
      <c r="AF214" s="936"/>
      <c r="AG214" s="936"/>
      <c r="AH214" s="936"/>
      <c r="AI214" s="936"/>
      <c r="AJ214" s="936"/>
      <c r="AK214" s="936"/>
      <c r="AL214" s="936"/>
      <c r="AM214" s="936"/>
      <c r="AN214" s="936"/>
      <c r="AO214" s="936"/>
      <c r="AP214" s="936"/>
      <c r="AQ214" s="936"/>
      <c r="AR214" s="936"/>
      <c r="AS214" s="936"/>
      <c r="AT214" s="936"/>
      <c r="AU214" s="936"/>
      <c r="AV214" s="936"/>
      <c r="AW214" s="936"/>
      <c r="AX214" s="936"/>
      <c r="AY214" s="936"/>
      <c r="AZ214" s="936"/>
      <c r="BA214" s="936"/>
      <c r="BB214" s="936"/>
      <c r="BC214" s="936"/>
      <c r="BD214" s="936"/>
      <c r="BE214" s="936"/>
      <c r="BF214" s="936"/>
      <c r="BG214" s="936"/>
      <c r="BH214" s="936"/>
      <c r="BI214" s="936"/>
      <c r="BJ214" s="936"/>
      <c r="BK214" s="936"/>
      <c r="BL214" s="936"/>
      <c r="BM214" s="936"/>
    </row>
    <row r="215" spans="3:65" s="939" customFormat="1" ht="17.25" customHeight="1">
      <c r="F215" s="974" t="s">
        <v>517</v>
      </c>
      <c r="G215" s="974"/>
      <c r="H215" s="974">
        <f>COS(U141)</f>
        <v>0.95727850322157215</v>
      </c>
      <c r="I215" s="974"/>
      <c r="J215" s="974">
        <f>COS(U142)</f>
        <v>0.65769741366165546</v>
      </c>
      <c r="K215" s="974"/>
      <c r="L215" s="974" t="s">
        <v>520</v>
      </c>
      <c r="M215" s="974"/>
      <c r="AB215" s="938"/>
      <c r="AC215" s="936"/>
      <c r="AD215" s="936"/>
      <c r="AE215" s="936"/>
      <c r="AF215" s="936"/>
      <c r="AG215" s="936"/>
      <c r="AH215" s="936"/>
      <c r="AI215" s="936"/>
      <c r="AJ215" s="936"/>
      <c r="AK215" s="936"/>
      <c r="AL215" s="936"/>
      <c r="AM215" s="936"/>
      <c r="AN215" s="936"/>
      <c r="AO215" s="936"/>
      <c r="AP215" s="936"/>
      <c r="AQ215" s="936"/>
      <c r="AR215" s="936"/>
      <c r="AS215" s="936"/>
      <c r="AT215" s="936"/>
      <c r="AU215" s="936"/>
      <c r="AV215" s="936"/>
      <c r="AW215" s="936"/>
      <c r="AX215" s="936"/>
      <c r="AY215" s="936"/>
      <c r="AZ215" s="936"/>
      <c r="BA215" s="936"/>
      <c r="BB215" s="936"/>
      <c r="BC215" s="936"/>
      <c r="BD215" s="936"/>
      <c r="BE215" s="936"/>
      <c r="BF215" s="936"/>
      <c r="BG215" s="936"/>
      <c r="BH215" s="936"/>
      <c r="BI215" s="936"/>
      <c r="BJ215" s="936"/>
      <c r="BK215" s="936"/>
      <c r="BL215" s="936"/>
      <c r="BM215" s="936"/>
    </row>
    <row r="216" spans="3:65" s="939" customFormat="1" ht="17.25" customHeight="1">
      <c r="F216" s="997" t="s">
        <v>521</v>
      </c>
      <c r="G216" s="997"/>
      <c r="H216" s="997">
        <f>COS(U131)</f>
        <v>0.34449283074189041</v>
      </c>
      <c r="I216" s="997"/>
      <c r="J216" s="977"/>
      <c r="K216" s="977"/>
      <c r="L216" s="977"/>
      <c r="M216" s="977"/>
      <c r="AB216" s="938"/>
      <c r="AC216" s="936"/>
      <c r="AD216" s="936"/>
      <c r="AE216" s="936"/>
      <c r="AF216" s="936"/>
      <c r="AG216" s="936"/>
      <c r="AH216" s="936"/>
      <c r="AI216" s="936"/>
      <c r="AJ216" s="936"/>
      <c r="AK216" s="936"/>
      <c r="AL216" s="936"/>
      <c r="AM216" s="936"/>
      <c r="AN216" s="936"/>
      <c r="AO216" s="936"/>
      <c r="AP216" s="936"/>
      <c r="AQ216" s="936"/>
      <c r="AR216" s="936"/>
      <c r="AS216" s="936"/>
      <c r="AT216" s="936"/>
      <c r="AU216" s="936"/>
      <c r="AV216" s="936"/>
      <c r="AW216" s="936"/>
      <c r="AX216" s="936"/>
      <c r="AY216" s="936"/>
      <c r="AZ216" s="936"/>
      <c r="BA216" s="936"/>
      <c r="BB216" s="936"/>
      <c r="BC216" s="936"/>
      <c r="BD216" s="936"/>
      <c r="BE216" s="936"/>
      <c r="BF216" s="936"/>
      <c r="BG216" s="936"/>
      <c r="BH216" s="936"/>
      <c r="BI216" s="936"/>
      <c r="BJ216" s="936"/>
      <c r="BK216" s="936"/>
      <c r="BL216" s="936"/>
      <c r="BM216" s="936"/>
    </row>
    <row r="217" spans="3:65" s="939" customFormat="1" ht="17.25" customHeight="1">
      <c r="F217" s="974" t="s">
        <v>522</v>
      </c>
      <c r="G217" s="974"/>
      <c r="H217" s="974"/>
      <c r="I217" s="974"/>
      <c r="J217" s="974"/>
      <c r="K217" s="974"/>
      <c r="L217" s="974"/>
      <c r="M217" s="974"/>
      <c r="AB217" s="938"/>
      <c r="AC217" s="936"/>
      <c r="AD217" s="936"/>
      <c r="AE217" s="936"/>
      <c r="AF217" s="936"/>
      <c r="AG217" s="936"/>
      <c r="AH217" s="936"/>
      <c r="AI217" s="936"/>
      <c r="AJ217" s="936"/>
      <c r="AK217" s="936"/>
      <c r="AL217" s="936"/>
      <c r="AM217" s="936"/>
      <c r="AN217" s="936"/>
      <c r="AO217" s="936"/>
      <c r="AP217" s="936"/>
      <c r="AQ217" s="936"/>
      <c r="AR217" s="936"/>
      <c r="AS217" s="936"/>
      <c r="AT217" s="936"/>
      <c r="AU217" s="936"/>
      <c r="AV217" s="936"/>
      <c r="AW217" s="936"/>
      <c r="AX217" s="936"/>
      <c r="AY217" s="936"/>
      <c r="AZ217" s="936"/>
      <c r="BA217" s="936"/>
      <c r="BB217" s="936"/>
      <c r="BC217" s="936"/>
      <c r="BD217" s="936"/>
      <c r="BE217" s="936"/>
      <c r="BF217" s="936"/>
      <c r="BG217" s="936"/>
      <c r="BH217" s="936"/>
      <c r="BI217" s="936"/>
      <c r="BJ217" s="936"/>
      <c r="BK217" s="936"/>
      <c r="BL217" s="936"/>
      <c r="BM217" s="936"/>
    </row>
    <row r="218" spans="3:65" s="939" customFormat="1" ht="17.25" customHeight="1">
      <c r="F218" s="974" t="s">
        <v>530</v>
      </c>
      <c r="G218" s="974"/>
      <c r="H218" s="974">
        <f>AD129</f>
        <v>0.43471731660020352</v>
      </c>
      <c r="I218" s="974"/>
      <c r="J218" s="974"/>
      <c r="K218" s="974"/>
      <c r="L218" s="974"/>
      <c r="M218" s="974"/>
      <c r="AB218" s="938"/>
      <c r="AC218" s="936"/>
      <c r="AD218" s="936"/>
      <c r="AE218" s="936"/>
      <c r="AF218" s="936"/>
      <c r="AG218" s="936"/>
      <c r="AH218" s="936"/>
      <c r="AI218" s="936"/>
      <c r="AJ218" s="936"/>
      <c r="AK218" s="936"/>
      <c r="AL218" s="936"/>
      <c r="AM218" s="936"/>
      <c r="AN218" s="936"/>
      <c r="AO218" s="936"/>
      <c r="AP218" s="936"/>
      <c r="AQ218" s="936"/>
      <c r="AR218" s="936"/>
      <c r="AS218" s="936"/>
      <c r="AT218" s="936"/>
      <c r="AU218" s="936"/>
      <c r="AV218" s="936"/>
      <c r="AW218" s="936"/>
      <c r="AX218" s="936"/>
      <c r="AY218" s="936"/>
      <c r="AZ218" s="936"/>
      <c r="BA218" s="936"/>
      <c r="BB218" s="936"/>
      <c r="BC218" s="936"/>
      <c r="BD218" s="936"/>
      <c r="BE218" s="936"/>
      <c r="BF218" s="936"/>
      <c r="BG218" s="936"/>
      <c r="BH218" s="936"/>
      <c r="BI218" s="936"/>
      <c r="BJ218" s="936"/>
      <c r="BK218" s="936"/>
      <c r="BL218" s="936"/>
      <c r="BM218" s="936"/>
    </row>
    <row r="219" spans="3:65" s="939" customFormat="1" ht="17.25" customHeight="1">
      <c r="C219" s="945" t="s">
        <v>523</v>
      </c>
      <c r="D219" s="945"/>
      <c r="E219" s="945" t="str" cm="1">
        <f t="array" ref="E219">angleDecimal2Txt(I129,0)</f>
        <v>+25°46.03</v>
      </c>
      <c r="F219" s="945"/>
      <c r="G219" s="945"/>
      <c r="H219" s="945"/>
      <c r="I219" s="945"/>
      <c r="J219" s="945"/>
      <c r="AB219" s="938"/>
      <c r="AC219" s="936"/>
      <c r="AD219" s="936"/>
      <c r="AE219" s="936"/>
      <c r="AF219" s="936"/>
      <c r="AG219" s="936"/>
      <c r="AH219" s="936"/>
      <c r="AI219" s="936"/>
      <c r="AJ219" s="936"/>
      <c r="AK219" s="936"/>
      <c r="AL219" s="936"/>
      <c r="AM219" s="936"/>
      <c r="AN219" s="936"/>
      <c r="AO219" s="936"/>
      <c r="AP219" s="936"/>
      <c r="AQ219" s="936"/>
      <c r="AR219" s="936"/>
      <c r="AS219" s="936"/>
      <c r="AT219" s="936"/>
      <c r="AU219" s="936"/>
      <c r="AV219" s="936"/>
      <c r="AW219" s="936"/>
      <c r="AX219" s="936"/>
      <c r="AY219" s="936"/>
      <c r="AZ219" s="936"/>
      <c r="BA219" s="936"/>
      <c r="BB219" s="936"/>
      <c r="BC219" s="936"/>
      <c r="BD219" s="936"/>
      <c r="BE219" s="936"/>
      <c r="BF219" s="936"/>
      <c r="BG219" s="936"/>
      <c r="BH219" s="936"/>
      <c r="BI219" s="936"/>
      <c r="BJ219" s="936"/>
      <c r="BK219" s="936"/>
      <c r="BL219" s="936"/>
      <c r="BM219" s="936"/>
    </row>
    <row r="220" spans="3:65" s="939" customFormat="1" ht="17.25" customHeight="1">
      <c r="C220" s="965" t="s">
        <v>531</v>
      </c>
      <c r="D220" s="966"/>
      <c r="E220" s="945" t="str" cm="1">
        <f t="array" ref="E220">angleDecimal2Txt((F85-I129),0)</f>
        <v>-00°45.77</v>
      </c>
      <c r="F220" s="945"/>
      <c r="G220" s="945"/>
      <c r="H220" s="945"/>
      <c r="I220" s="945"/>
      <c r="J220" s="945"/>
      <c r="AB220" s="938"/>
      <c r="AC220" s="936"/>
      <c r="AD220" s="936"/>
      <c r="AE220" s="936"/>
      <c r="AF220" s="936"/>
      <c r="AG220" s="936"/>
      <c r="AH220" s="936"/>
      <c r="AI220" s="936"/>
      <c r="AJ220" s="936"/>
      <c r="AK220" s="936"/>
      <c r="AL220" s="936"/>
      <c r="AM220" s="936"/>
      <c r="AN220" s="936"/>
      <c r="AO220" s="936"/>
      <c r="AP220" s="936"/>
      <c r="AQ220" s="936"/>
      <c r="AR220" s="936"/>
      <c r="AS220" s="936"/>
      <c r="AT220" s="936"/>
      <c r="AU220" s="936"/>
      <c r="AV220" s="936"/>
      <c r="AW220" s="936"/>
      <c r="AX220" s="936"/>
      <c r="AY220" s="936"/>
      <c r="AZ220" s="936"/>
      <c r="BA220" s="936"/>
      <c r="BB220" s="936"/>
      <c r="BC220" s="936"/>
      <c r="BD220" s="936"/>
      <c r="BE220" s="936"/>
      <c r="BF220" s="936"/>
      <c r="BG220" s="936"/>
      <c r="BH220" s="936"/>
      <c r="BI220" s="936"/>
      <c r="BJ220" s="936"/>
      <c r="BK220" s="936"/>
      <c r="BL220" s="936"/>
      <c r="BM220" s="936"/>
    </row>
    <row r="221" spans="3:65" ht="17.25" customHeight="1">
      <c r="C221" s="967"/>
      <c r="D221" s="968"/>
      <c r="E221" s="945" t="str">
        <f>CONCATENATE(TEXT(V134,"0.00"),"  Mn")</f>
        <v>-45.77  Mn</v>
      </c>
      <c r="F221" s="945"/>
      <c r="G221" s="945"/>
      <c r="H221" s="945"/>
      <c r="I221" s="945"/>
      <c r="J221" s="945"/>
      <c r="O221" s="1012" t="s">
        <v>416</v>
      </c>
      <c r="P221" s="1012" t="str" cm="1">
        <f t="array" ref="P221">latitudeDecimal2Txt(V135,0)</f>
        <v>N 16°48.48</v>
      </c>
      <c r="Q221" s="1012"/>
    </row>
    <row r="222" spans="3:65" ht="17.25" customHeight="1">
      <c r="C222" s="969"/>
      <c r="D222" s="970"/>
      <c r="E222" s="945" t="str">
        <f>X134</f>
        <v>Oppose de Pg</v>
      </c>
      <c r="F222" s="998"/>
      <c r="G222" s="998"/>
      <c r="H222" s="998"/>
      <c r="I222" s="998"/>
      <c r="J222" s="998"/>
      <c r="O222" s="1012"/>
      <c r="P222" s="1012" t="str" cm="1">
        <f t="array" ref="P222">longitudeDecimal2Txt(V136,0)</f>
        <v>E 71°56.61</v>
      </c>
      <c r="Q222" s="1012"/>
    </row>
    <row r="223" spans="3:65" ht="17.25" customHeight="1">
      <c r="F223" s="974" t="s">
        <v>524</v>
      </c>
      <c r="G223" s="974"/>
      <c r="H223" s="974"/>
      <c r="I223" s="974"/>
      <c r="J223" s="974"/>
      <c r="K223" s="974"/>
      <c r="L223" s="974"/>
      <c r="M223" s="974"/>
      <c r="N223" s="978"/>
      <c r="O223" s="978"/>
      <c r="P223" s="978"/>
      <c r="Q223" s="978"/>
    </row>
    <row r="224" spans="3:65" ht="17.25" customHeight="1">
      <c r="F224" s="974" t="s">
        <v>525</v>
      </c>
      <c r="G224" s="974"/>
      <c r="H224" s="974">
        <f>AD140</f>
        <v>-6.4658534051334204E-2</v>
      </c>
      <c r="I224" s="974"/>
      <c r="J224" s="974"/>
      <c r="K224" s="974"/>
      <c r="L224" s="974"/>
      <c r="M224" s="974"/>
      <c r="N224" s="978"/>
      <c r="O224" s="978"/>
      <c r="P224" s="978"/>
      <c r="Q224" s="978"/>
    </row>
    <row r="225" spans="3:17" ht="17.25" customHeight="1">
      <c r="F225" s="974" t="s">
        <v>96</v>
      </c>
      <c r="G225" s="974"/>
      <c r="H225" s="974" t="str" cm="1">
        <f t="array" ref="H225">angleDecimal2Txt(I141,0)</f>
        <v>+93°42.43</v>
      </c>
      <c r="I225" s="974"/>
      <c r="J225" s="974"/>
      <c r="K225" s="974"/>
      <c r="L225" s="974"/>
      <c r="M225" s="974"/>
      <c r="N225" s="978"/>
      <c r="O225" s="978"/>
      <c r="P225" s="978"/>
      <c r="Q225" s="978"/>
    </row>
    <row r="226" spans="3:17" ht="17.25" customHeight="1">
      <c r="F226" s="979" t="s">
        <v>154</v>
      </c>
      <c r="G226" s="980"/>
      <c r="H226" s="980"/>
      <c r="I226" s="980"/>
      <c r="J226" s="980"/>
      <c r="K226" s="981"/>
      <c r="L226" s="979" t="s">
        <v>155</v>
      </c>
      <c r="M226" s="980"/>
      <c r="N226" s="980"/>
      <c r="O226" s="980"/>
      <c r="P226" s="980"/>
      <c r="Q226" s="981"/>
    </row>
    <row r="227" spans="3:17" ht="17.25" customHeight="1">
      <c r="F227" s="982"/>
      <c r="G227" s="983" t="s">
        <v>126</v>
      </c>
      <c r="H227" s="984"/>
      <c r="I227" s="985"/>
      <c r="J227" s="986" t="s">
        <v>127</v>
      </c>
      <c r="K227" s="987"/>
      <c r="L227" s="982"/>
      <c r="M227" s="983" t="s">
        <v>126</v>
      </c>
      <c r="N227" s="984"/>
      <c r="O227" s="985"/>
      <c r="P227" s="986" t="s">
        <v>128</v>
      </c>
      <c r="Q227" s="987"/>
    </row>
    <row r="228" spans="3:17" ht="17.25" customHeight="1">
      <c r="F228" s="988"/>
      <c r="G228" s="989" t="s">
        <v>90</v>
      </c>
      <c r="H228" s="990"/>
      <c r="I228" s="991"/>
      <c r="J228" s="992" t="s">
        <v>91</v>
      </c>
      <c r="K228" s="993"/>
      <c r="L228" s="988"/>
      <c r="M228" s="989" t="s">
        <v>90</v>
      </c>
      <c r="N228" s="990"/>
      <c r="O228" s="991"/>
      <c r="P228" s="992" t="s">
        <v>92</v>
      </c>
      <c r="Q228" s="993"/>
    </row>
    <row r="229" spans="3:17" ht="17.25" customHeight="1">
      <c r="F229" s="974" t="s">
        <v>528</v>
      </c>
      <c r="G229" s="974"/>
      <c r="H229" s="974" t="str">
        <f>IF(F35&gt;0,"Nord","Sud")</f>
        <v>Nord</v>
      </c>
      <c r="I229" s="974"/>
      <c r="J229" s="974"/>
      <c r="K229" s="974"/>
      <c r="L229" s="974"/>
      <c r="M229" s="974"/>
      <c r="N229" s="978"/>
      <c r="O229" s="978"/>
      <c r="P229" s="978"/>
      <c r="Q229" s="978"/>
    </row>
    <row r="230" spans="3:17" ht="17.25" customHeight="1">
      <c r="F230" s="974" t="s">
        <v>527</v>
      </c>
      <c r="G230" s="974"/>
      <c r="H230" s="974" t="b">
        <f>(F81&gt;180)</f>
        <v>1</v>
      </c>
      <c r="I230" s="974"/>
      <c r="J230" s="974"/>
      <c r="K230" s="974"/>
      <c r="L230" s="974"/>
      <c r="M230" s="974"/>
      <c r="N230" s="978"/>
      <c r="O230" s="978"/>
      <c r="P230" s="978"/>
      <c r="Q230" s="978"/>
    </row>
    <row r="231" spans="3:17" ht="17.25" customHeight="1">
      <c r="C231" s="945" t="s">
        <v>526</v>
      </c>
      <c r="D231" s="945"/>
      <c r="E231" s="945" t="str" cm="1">
        <f t="array" ref="E231">angleDecimal2Txt(T151,0)</f>
        <v>+93°42.43</v>
      </c>
      <c r="F231" s="945"/>
      <c r="G231" s="945"/>
      <c r="H231" s="945"/>
      <c r="I231" s="945"/>
      <c r="J231" s="945"/>
    </row>
    <row r="236" spans="3:17" ht="17.25" customHeight="1">
      <c r="P236" s="939"/>
    </row>
  </sheetData>
  <sheetProtection selectLockedCells="1"/>
  <protectedRanges>
    <protectedRange sqref="I11:Y11" name="Heure visee" securityDescriptor="O:WDG:WDD:(A;;CC;;;WD)"/>
  </protectedRanges>
  <dataConsolidate link="1"/>
  <mergeCells count="436">
    <mergeCell ref="O221:O222"/>
    <mergeCell ref="P221:Q221"/>
    <mergeCell ref="P222:Q222"/>
    <mergeCell ref="F226:K226"/>
    <mergeCell ref="L226:Q226"/>
    <mergeCell ref="F227:F228"/>
    <mergeCell ref="G227:I227"/>
    <mergeCell ref="J227:K227"/>
    <mergeCell ref="L227:L228"/>
    <mergeCell ref="M227:O227"/>
    <mergeCell ref="P227:Q227"/>
    <mergeCell ref="G228:I228"/>
    <mergeCell ref="J228:K228"/>
    <mergeCell ref="M228:O228"/>
    <mergeCell ref="P228:Q228"/>
    <mergeCell ref="C219:D219"/>
    <mergeCell ref="E219:J219"/>
    <mergeCell ref="F223:M223"/>
    <mergeCell ref="F224:G224"/>
    <mergeCell ref="H224:M224"/>
    <mergeCell ref="F225:G225"/>
    <mergeCell ref="H225:M225"/>
    <mergeCell ref="C231:D231"/>
    <mergeCell ref="E231:J231"/>
    <mergeCell ref="F229:G229"/>
    <mergeCell ref="H229:M229"/>
    <mergeCell ref="F230:G230"/>
    <mergeCell ref="H230:M230"/>
    <mergeCell ref="E220:J220"/>
    <mergeCell ref="E221:J221"/>
    <mergeCell ref="E222:J222"/>
    <mergeCell ref="C220:D222"/>
    <mergeCell ref="E205:J205"/>
    <mergeCell ref="E206:J206"/>
    <mergeCell ref="H207:J207"/>
    <mergeCell ref="H208:J208"/>
    <mergeCell ref="E209:J209"/>
    <mergeCell ref="E210:J210"/>
    <mergeCell ref="J211:M211"/>
    <mergeCell ref="J212:M212"/>
    <mergeCell ref="E213:J213"/>
    <mergeCell ref="F214:G214"/>
    <mergeCell ref="F215:G215"/>
    <mergeCell ref="F216:G216"/>
    <mergeCell ref="F218:G218"/>
    <mergeCell ref="H214:I214"/>
    <mergeCell ref="J214:K214"/>
    <mergeCell ref="L214:M214"/>
    <mergeCell ref="L215:M215"/>
    <mergeCell ref="H215:I215"/>
    <mergeCell ref="J215:K215"/>
    <mergeCell ref="H216:I216"/>
    <mergeCell ref="F217:M217"/>
    <mergeCell ref="H218:M218"/>
    <mergeCell ref="C205:D205"/>
    <mergeCell ref="C206:D206"/>
    <mergeCell ref="C213:D213"/>
    <mergeCell ref="C209:D209"/>
    <mergeCell ref="K199:M199"/>
    <mergeCell ref="K200:M200"/>
    <mergeCell ref="K201:M201"/>
    <mergeCell ref="J198:L198"/>
    <mergeCell ref="K207:M207"/>
    <mergeCell ref="K208:M208"/>
    <mergeCell ref="F207:G208"/>
    <mergeCell ref="C210:D210"/>
    <mergeCell ref="F211:G212"/>
    <mergeCell ref="H211:I211"/>
    <mergeCell ref="H212:I212"/>
    <mergeCell ref="F194:G194"/>
    <mergeCell ref="F195:G195"/>
    <mergeCell ref="F196:G196"/>
    <mergeCell ref="C189:D189"/>
    <mergeCell ref="F197:G197"/>
    <mergeCell ref="H197:L197"/>
    <mergeCell ref="F199:J199"/>
    <mergeCell ref="F200:J200"/>
    <mergeCell ref="F201:J201"/>
    <mergeCell ref="H193:L193"/>
    <mergeCell ref="F193:G193"/>
    <mergeCell ref="C190:D190"/>
    <mergeCell ref="C191:D191"/>
    <mergeCell ref="E192:I192"/>
    <mergeCell ref="H194:L194"/>
    <mergeCell ref="H195:L195"/>
    <mergeCell ref="H196:L196"/>
    <mergeCell ref="E198:I198"/>
    <mergeCell ref="E189:I189"/>
    <mergeCell ref="I184:L184"/>
    <mergeCell ref="D184:G184"/>
    <mergeCell ref="J192:L192"/>
    <mergeCell ref="C188:D188"/>
    <mergeCell ref="B184:C184"/>
    <mergeCell ref="B185:C185"/>
    <mergeCell ref="D185:E185"/>
    <mergeCell ref="E188:I188"/>
    <mergeCell ref="E190:I190"/>
    <mergeCell ref="E191:I191"/>
    <mergeCell ref="N199:P201"/>
    <mergeCell ref="S135:S136"/>
    <mergeCell ref="T135:U135"/>
    <mergeCell ref="T136:U136"/>
    <mergeCell ref="V135:W135"/>
    <mergeCell ref="V136:W136"/>
    <mergeCell ref="X135:AC135"/>
    <mergeCell ref="X136:AC136"/>
    <mergeCell ref="P26:X26"/>
    <mergeCell ref="C19:I19"/>
    <mergeCell ref="C22:I22"/>
    <mergeCell ref="C21:I21"/>
    <mergeCell ref="J21:L21"/>
    <mergeCell ref="A35:C35"/>
    <mergeCell ref="C20:I20"/>
    <mergeCell ref="C23:D23"/>
    <mergeCell ref="C45:F45"/>
    <mergeCell ref="P19:X19"/>
    <mergeCell ref="E33:H34"/>
    <mergeCell ref="F85:H85"/>
    <mergeCell ref="I82:L82"/>
    <mergeCell ref="I47:L48"/>
    <mergeCell ref="M51:O52"/>
    <mergeCell ref="P51:P52"/>
    <mergeCell ref="Q51:T52"/>
    <mergeCell ref="AC63:AC64"/>
    <mergeCell ref="AC45:AC46"/>
    <mergeCell ref="AC86:AC87"/>
    <mergeCell ref="C82:H82"/>
    <mergeCell ref="I57:L58"/>
    <mergeCell ref="M57:O58"/>
    <mergeCell ref="I55:L56"/>
    <mergeCell ref="M55:O56"/>
    <mergeCell ref="Q75:T76"/>
    <mergeCell ref="V57:Y58"/>
    <mergeCell ref="Q57:T58"/>
    <mergeCell ref="P55:T56"/>
    <mergeCell ref="U59:Y59"/>
    <mergeCell ref="U77:Y77"/>
    <mergeCell ref="P77:T77"/>
    <mergeCell ref="J87:L87"/>
    <mergeCell ref="S85:U85"/>
    <mergeCell ref="V85:Z85"/>
    <mergeCell ref="I65:L66"/>
    <mergeCell ref="M69:O70"/>
    <mergeCell ref="M67:O68"/>
    <mergeCell ref="G63:I63"/>
    <mergeCell ref="P65:T66"/>
    <mergeCell ref="P67:P68"/>
    <mergeCell ref="U67:Y68"/>
    <mergeCell ref="U69:Y70"/>
    <mergeCell ref="C18:I18"/>
    <mergeCell ref="F71:K71"/>
    <mergeCell ref="F67:H70"/>
    <mergeCell ref="F59:K59"/>
    <mergeCell ref="J20:L20"/>
    <mergeCell ref="D24:I26"/>
    <mergeCell ref="P17:X17"/>
    <mergeCell ref="P59:T59"/>
    <mergeCell ref="F57:H58"/>
    <mergeCell ref="J17:L17"/>
    <mergeCell ref="I67:L70"/>
    <mergeCell ref="M65:O66"/>
    <mergeCell ref="U55:Y56"/>
    <mergeCell ref="P49:P50"/>
    <mergeCell ref="Q49:T50"/>
    <mergeCell ref="I49:L52"/>
    <mergeCell ref="M49:O50"/>
    <mergeCell ref="M85:N85"/>
    <mergeCell ref="O123:P123"/>
    <mergeCell ref="AD105:AE105"/>
    <mergeCell ref="AD106:AE106"/>
    <mergeCell ref="AD107:AE107"/>
    <mergeCell ref="AD109:AE109"/>
    <mergeCell ref="D85:E85"/>
    <mergeCell ref="I146:I147"/>
    <mergeCell ref="O146:O147"/>
    <mergeCell ref="S100:U100"/>
    <mergeCell ref="S101:U101"/>
    <mergeCell ref="U88:Z88"/>
    <mergeCell ref="H100:N100"/>
    <mergeCell ref="O88:R88"/>
    <mergeCell ref="O111:R112"/>
    <mergeCell ref="U115:Z115"/>
    <mergeCell ref="U106:Z106"/>
    <mergeCell ref="U89:Z89"/>
    <mergeCell ref="M91:P91"/>
    <mergeCell ref="U92:Z92"/>
    <mergeCell ref="U96:Z96"/>
    <mergeCell ref="O89:R89"/>
    <mergeCell ref="H101:N101"/>
    <mergeCell ref="H88:N88"/>
    <mergeCell ref="Q67:T68"/>
    <mergeCell ref="P69:P70"/>
    <mergeCell ref="Q69:T70"/>
    <mergeCell ref="J81:L81"/>
    <mergeCell ref="G86:I86"/>
    <mergeCell ref="I83:N83"/>
    <mergeCell ref="F87:I87"/>
    <mergeCell ref="E8:G8"/>
    <mergeCell ref="U49:Y50"/>
    <mergeCell ref="M21:O21"/>
    <mergeCell ref="F44:H44"/>
    <mergeCell ref="I35:I36"/>
    <mergeCell ref="F53:K53"/>
    <mergeCell ref="C27:I30"/>
    <mergeCell ref="J23:L26"/>
    <mergeCell ref="M23:O26"/>
    <mergeCell ref="P23:R24"/>
    <mergeCell ref="J27:L30"/>
    <mergeCell ref="M27:O30"/>
    <mergeCell ref="P27:R28"/>
    <mergeCell ref="I40:I41"/>
    <mergeCell ref="V11:Y11"/>
    <mergeCell ref="L11:P11"/>
    <mergeCell ref="Q11:U11"/>
    <mergeCell ref="M15:O15"/>
    <mergeCell ref="V9:Y10"/>
    <mergeCell ref="U51:Y52"/>
    <mergeCell ref="M22:O22"/>
    <mergeCell ref="J22:L22"/>
    <mergeCell ref="O35:X36"/>
    <mergeCell ref="O40:X41"/>
    <mergeCell ref="F35:H36"/>
    <mergeCell ref="F40:H41"/>
    <mergeCell ref="E38:H39"/>
    <mergeCell ref="F47:H48"/>
    <mergeCell ref="P30:X30"/>
    <mergeCell ref="M20:O20"/>
    <mergeCell ref="J35:N36"/>
    <mergeCell ref="S29:X29"/>
    <mergeCell ref="P25:R25"/>
    <mergeCell ref="P29:R29"/>
    <mergeCell ref="I11:K11"/>
    <mergeCell ref="I9:K10"/>
    <mergeCell ref="E12:H12"/>
    <mergeCell ref="P15:X15"/>
    <mergeCell ref="L9:P10"/>
    <mergeCell ref="M19:O19"/>
    <mergeCell ref="M18:O18"/>
    <mergeCell ref="Q9:U10"/>
    <mergeCell ref="C17:I17"/>
    <mergeCell ref="G108:S108"/>
    <mergeCell ref="S109:S110"/>
    <mergeCell ref="U102:Z102"/>
    <mergeCell ref="H90:N90"/>
    <mergeCell ref="F65:H66"/>
    <mergeCell ref="F77:K77"/>
    <mergeCell ref="V75:Y76"/>
    <mergeCell ref="U75:U76"/>
    <mergeCell ref="P75:P76"/>
    <mergeCell ref="P73:T74"/>
    <mergeCell ref="U73:Y74"/>
    <mergeCell ref="I73:L74"/>
    <mergeCell ref="F73:H74"/>
    <mergeCell ref="M73:O74"/>
    <mergeCell ref="J19:L19"/>
    <mergeCell ref="J18:L18"/>
    <mergeCell ref="F49:H52"/>
    <mergeCell ref="C15:I15"/>
    <mergeCell ref="J15:L15"/>
    <mergeCell ref="R92:S92"/>
    <mergeCell ref="I109:N109"/>
    <mergeCell ref="I111:N111"/>
    <mergeCell ref="I110:N110"/>
    <mergeCell ref="S99:U99"/>
    <mergeCell ref="O104:R104"/>
    <mergeCell ref="H89:N89"/>
    <mergeCell ref="U90:Z90"/>
    <mergeCell ref="O109:R110"/>
    <mergeCell ref="S111:S112"/>
    <mergeCell ref="I112:N112"/>
    <mergeCell ref="O105:R105"/>
    <mergeCell ref="O100:R100"/>
    <mergeCell ref="G109:H110"/>
    <mergeCell ref="E129:H131"/>
    <mergeCell ref="E133:H135"/>
    <mergeCell ref="Q129:S129"/>
    <mergeCell ref="Q130:S130"/>
    <mergeCell ref="H97:N97"/>
    <mergeCell ref="O97:R97"/>
    <mergeCell ref="O101:R101"/>
    <mergeCell ref="H102:N102"/>
    <mergeCell ref="O102:R102"/>
    <mergeCell ref="H106:N106"/>
    <mergeCell ref="O106:R106"/>
    <mergeCell ref="H115:N115"/>
    <mergeCell ref="O115:R115"/>
    <mergeCell ref="H125:N125"/>
    <mergeCell ref="O125:R125"/>
    <mergeCell ref="F117:I117"/>
    <mergeCell ref="H104:N104"/>
    <mergeCell ref="O113:R113"/>
    <mergeCell ref="L122:M122"/>
    <mergeCell ref="L123:M123"/>
    <mergeCell ref="O122:P122"/>
    <mergeCell ref="O128:AA128"/>
    <mergeCell ref="U125:Z125"/>
    <mergeCell ref="W123:AA123"/>
    <mergeCell ref="X141:X143"/>
    <mergeCell ref="O142:P142"/>
    <mergeCell ref="Q142:S142"/>
    <mergeCell ref="U142:W142"/>
    <mergeCell ref="O143:P143"/>
    <mergeCell ref="Q143:S143"/>
    <mergeCell ref="U143:W143"/>
    <mergeCell ref="O141:P141"/>
    <mergeCell ref="Q141:S141"/>
    <mergeCell ref="T141:T143"/>
    <mergeCell ref="U141:W141"/>
    <mergeCell ref="X149:Z149"/>
    <mergeCell ref="I150:J150"/>
    <mergeCell ref="I151:J151"/>
    <mergeCell ref="N149:O149"/>
    <mergeCell ref="U129:W129"/>
    <mergeCell ref="U130:W130"/>
    <mergeCell ref="U131:W131"/>
    <mergeCell ref="O129:P129"/>
    <mergeCell ref="O130:P130"/>
    <mergeCell ref="O131:P131"/>
    <mergeCell ref="O134:S134"/>
    <mergeCell ref="X129:X131"/>
    <mergeCell ref="T129:T131"/>
    <mergeCell ref="I131:M131"/>
    <mergeCell ref="X134:Y134"/>
    <mergeCell ref="X148:Z148"/>
    <mergeCell ref="J146:L146"/>
    <mergeCell ref="J147:L147"/>
    <mergeCell ref="M146:N146"/>
    <mergeCell ref="M147:N147"/>
    <mergeCell ref="P146:R146"/>
    <mergeCell ref="P147:R147"/>
    <mergeCell ref="S146:T146"/>
    <mergeCell ref="O140:AA140"/>
    <mergeCell ref="G1:Y2"/>
    <mergeCell ref="C8:D8"/>
    <mergeCell ref="C9:D11"/>
    <mergeCell ref="G3:I4"/>
    <mergeCell ref="J3:L4"/>
    <mergeCell ref="C1:F4"/>
    <mergeCell ref="L62:M62"/>
    <mergeCell ref="C63:F63"/>
    <mergeCell ref="F62:H62"/>
    <mergeCell ref="M47:O48"/>
    <mergeCell ref="E9:H10"/>
    <mergeCell ref="G45:I45"/>
    <mergeCell ref="M17:O17"/>
    <mergeCell ref="U57:U58"/>
    <mergeCell ref="F55:H56"/>
    <mergeCell ref="P20:X20"/>
    <mergeCell ref="J40:N41"/>
    <mergeCell ref="P47:T48"/>
    <mergeCell ref="P57:P58"/>
    <mergeCell ref="S25:X25"/>
    <mergeCell ref="N3:P4"/>
    <mergeCell ref="Q3:S4"/>
    <mergeCell ref="I8:K8"/>
    <mergeCell ref="L8:O8"/>
    <mergeCell ref="E169:F169"/>
    <mergeCell ref="G169:L169"/>
    <mergeCell ref="C171:E171"/>
    <mergeCell ref="D172:E172"/>
    <mergeCell ref="C157:F157"/>
    <mergeCell ref="L152:M152"/>
    <mergeCell ref="I152:K152"/>
    <mergeCell ref="H157:J157"/>
    <mergeCell ref="L157:N157"/>
    <mergeCell ref="E158:F158"/>
    <mergeCell ref="E159:F159"/>
    <mergeCell ref="I158:J158"/>
    <mergeCell ref="M158:N158"/>
    <mergeCell ref="C167:F167"/>
    <mergeCell ref="E168:F168"/>
    <mergeCell ref="G168:L168"/>
    <mergeCell ref="L150:M150"/>
    <mergeCell ref="L151:M151"/>
    <mergeCell ref="O145:T145"/>
    <mergeCell ref="I145:N145"/>
    <mergeCell ref="I141:M142"/>
    <mergeCell ref="O90:R90"/>
    <mergeCell ref="H96:N96"/>
    <mergeCell ref="I143:M143"/>
    <mergeCell ref="I133:M134"/>
    <mergeCell ref="I135:M135"/>
    <mergeCell ref="I129:M130"/>
    <mergeCell ref="T151:U151"/>
    <mergeCell ref="U119:V119"/>
    <mergeCell ref="U120:V120"/>
    <mergeCell ref="U121:V121"/>
    <mergeCell ref="K121:K122"/>
    <mergeCell ref="N121:N122"/>
    <mergeCell ref="Q121:Q122"/>
    <mergeCell ref="T148:V148"/>
    <mergeCell ref="T149:V149"/>
    <mergeCell ref="S147:T147"/>
    <mergeCell ref="Q149:S149"/>
    <mergeCell ref="Q131:S131"/>
    <mergeCell ref="E141:H143"/>
    <mergeCell ref="T7:V7"/>
    <mergeCell ref="U97:Z97"/>
    <mergeCell ref="H92:N92"/>
    <mergeCell ref="J117:L117"/>
    <mergeCell ref="H105:N105"/>
    <mergeCell ref="I113:N113"/>
    <mergeCell ref="E11:H11"/>
    <mergeCell ref="X7:Y7"/>
    <mergeCell ref="AC28:AN28"/>
    <mergeCell ref="P16:X16"/>
    <mergeCell ref="M16:O16"/>
    <mergeCell ref="J16:L16"/>
    <mergeCell ref="C16:I16"/>
    <mergeCell ref="I75:L76"/>
    <mergeCell ref="M75:O76"/>
    <mergeCell ref="F81:H81"/>
    <mergeCell ref="F75:H76"/>
    <mergeCell ref="N82:Q82"/>
    <mergeCell ref="O92:P92"/>
    <mergeCell ref="M81:O81"/>
    <mergeCell ref="M94:P94"/>
    <mergeCell ref="M95:P95"/>
    <mergeCell ref="O96:R96"/>
    <mergeCell ref="C86:F86"/>
    <mergeCell ref="AE172:AF173"/>
    <mergeCell ref="AE175:AF176"/>
    <mergeCell ref="AE178:AF179"/>
    <mergeCell ref="O151:S151"/>
    <mergeCell ref="S169:T169"/>
    <mergeCell ref="U169:Z169"/>
    <mergeCell ref="S158:T158"/>
    <mergeCell ref="S159:T159"/>
    <mergeCell ref="R162:S162"/>
    <mergeCell ref="Q157:T157"/>
    <mergeCell ref="Q161:S161"/>
    <mergeCell ref="U158:Z158"/>
    <mergeCell ref="U159:Z159"/>
    <mergeCell ref="S168:T168"/>
    <mergeCell ref="U168:Z168"/>
    <mergeCell ref="T152:Y152"/>
  </mergeCells>
  <dataValidations disablePrompts="1" count="7">
    <dataValidation type="list" allowBlank="1" showInputMessage="1" showErrorMessage="1" sqref="G45:I45" xr:uid="{00000000-0002-0000-0000-000001000000}">
      <formula1>$AD$45:$AD$46</formula1>
    </dataValidation>
    <dataValidation type="list" allowBlank="1" showInputMessage="1" showErrorMessage="1" sqref="G63:I63" xr:uid="{50D1CF2E-A52D-457F-A9A8-4919FA8F17C2}">
      <formula1>$AD$63:$AD$64</formula1>
    </dataValidation>
    <dataValidation type="list" allowBlank="1" showInputMessage="1" showErrorMessage="1" sqref="G86:I86" xr:uid="{00000000-0002-0000-0000-000005000000}">
      <formula1>$AD$86:$AD$87</formula1>
    </dataValidation>
    <dataValidation type="list" allowBlank="1" showInputMessage="1" showErrorMessage="1" sqref="M21:O21" xr:uid="{00000000-0002-0000-0000-000000000000}">
      <formula1>$AD$22:$AF$22</formula1>
    </dataValidation>
    <dataValidation type="list" allowBlank="1" showInputMessage="1" showErrorMessage="1" sqref="M22:O22" xr:uid="{00000000-0002-0000-0000-000004000000}">
      <formula1>$AD$26:$AF$26</formula1>
    </dataValidation>
    <dataValidation type="list" allowBlank="1" showInputMessage="1" showErrorMessage="1" sqref="I35:I36 P80 P49:P52 U57:U58 P57:P58 U80" xr:uid="{00000000-0002-0000-0000-000002000000}">
      <formula1>$A$37:$A$38</formula1>
    </dataValidation>
    <dataValidation type="list" allowBlank="1" showInputMessage="1" showErrorMessage="1" sqref="M42 U75 P67 P69 P75 R42 I40 I42" xr:uid="{00000000-0002-0000-0000-000003000000}">
      <formula1>$B$37:$B$38</formula1>
    </dataValidation>
  </dataValidations>
  <printOptions horizontalCentered="1" verticalCentered="1"/>
  <pageMargins left="0.25" right="0.25" top="0.1" bottom="0.1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180</xdr:row>
                    <xdr:rowOff>104775</xdr:rowOff>
                  </from>
                  <to>
                    <xdr:col>7</xdr:col>
                    <xdr:colOff>295275</xdr:colOff>
                    <xdr:row>181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7"/>
  <sheetViews>
    <sheetView topLeftCell="A225" zoomScaleNormal="100" workbookViewId="0">
      <selection activeCell="O219" sqref="O219"/>
    </sheetView>
  </sheetViews>
  <sheetFormatPr defaultColWidth="6" defaultRowHeight="15"/>
  <cols>
    <col min="6" max="6" width="8.42578125" bestFit="1" customWidth="1"/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144" customWidth="1"/>
    <col min="29" max="30" width="16.140625" customWidth="1"/>
    <col min="33" max="33" width="9.5703125" bestFit="1" customWidth="1"/>
  </cols>
  <sheetData>
    <row r="1" spans="1:66" s="16" customFormat="1" ht="9" customHeight="1">
      <c r="C1" s="375" t="s">
        <v>143</v>
      </c>
      <c r="D1" s="375"/>
      <c r="E1" s="375"/>
      <c r="F1" s="375"/>
      <c r="G1" s="362" t="s">
        <v>144</v>
      </c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AB1" s="133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375"/>
      <c r="D2" s="375"/>
      <c r="E2" s="375"/>
      <c r="F2" s="375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AB2" s="133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375"/>
      <c r="D3" s="375"/>
      <c r="E3" s="375"/>
      <c r="F3" s="375"/>
      <c r="G3" s="371" t="s">
        <v>148</v>
      </c>
      <c r="H3" s="371"/>
      <c r="I3" s="371"/>
      <c r="J3" s="373" t="s">
        <v>147</v>
      </c>
      <c r="K3" s="373"/>
      <c r="L3" s="373"/>
      <c r="N3" s="393" t="s">
        <v>242</v>
      </c>
      <c r="O3" s="393"/>
      <c r="P3" s="393"/>
      <c r="Q3" s="394" t="s">
        <v>207</v>
      </c>
      <c r="R3" s="394"/>
      <c r="S3" s="394"/>
      <c r="AB3" s="13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375"/>
      <c r="D4" s="375"/>
      <c r="E4" s="375"/>
      <c r="F4" s="375"/>
      <c r="G4" s="372"/>
      <c r="H4" s="372"/>
      <c r="I4" s="372"/>
      <c r="J4" s="374"/>
      <c r="K4" s="374"/>
      <c r="L4" s="374"/>
      <c r="N4" s="393"/>
      <c r="O4" s="393"/>
      <c r="P4" s="393"/>
      <c r="Q4" s="394"/>
      <c r="R4" s="394"/>
      <c r="S4" s="394"/>
      <c r="AB4" s="133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61"/>
      <c r="D5" s="61"/>
      <c r="E5" s="61"/>
      <c r="F5" s="61"/>
      <c r="G5" s="61"/>
      <c r="AB5" s="133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145" t="s">
        <v>281</v>
      </c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07" t="str">
        <f>dateDecimale2txt(dateConvert2Decimal(E8),0)</f>
        <v>2025/06/30</v>
      </c>
      <c r="O7" s="107"/>
      <c r="P7" s="108"/>
      <c r="Q7" s="109"/>
      <c r="R7" s="135"/>
      <c r="S7" s="135"/>
      <c r="T7" s="135"/>
      <c r="U7" s="146"/>
      <c r="V7" s="146"/>
      <c r="W7" s="146"/>
      <c r="X7" s="146"/>
      <c r="Y7" s="146"/>
      <c r="Z7" s="146"/>
      <c r="AA7" s="146"/>
      <c r="AB7" s="134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>
      <c r="C8" s="363" t="s">
        <v>1</v>
      </c>
      <c r="D8" s="364"/>
      <c r="E8" s="540" t="s">
        <v>243</v>
      </c>
      <c r="F8" s="541"/>
      <c r="G8" s="541"/>
      <c r="H8"/>
      <c r="I8"/>
      <c r="J8"/>
      <c r="K8"/>
      <c r="L8"/>
      <c r="M8"/>
      <c r="N8"/>
      <c r="O8"/>
      <c r="AB8" s="6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>
      <c r="C9" s="14"/>
      <c r="D9" s="14"/>
      <c r="E9" s="632" t="s">
        <v>7</v>
      </c>
      <c r="F9" s="632"/>
      <c r="G9" s="632"/>
      <c r="H9" s="632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AB9" s="133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Bot="1">
      <c r="C10" s="14"/>
      <c r="D10" s="14"/>
      <c r="E10" s="632"/>
      <c r="F10" s="632"/>
      <c r="G10" s="632"/>
      <c r="H10" s="632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AB10" s="133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 s="626" t="s">
        <v>34</v>
      </c>
      <c r="B11" s="627"/>
      <c r="C11" s="628"/>
      <c r="D11" s="14"/>
      <c r="E11" s="14"/>
      <c r="F11" s="462">
        <f>AD12</f>
        <v>46.1</v>
      </c>
      <c r="G11" s="525"/>
      <c r="H11" s="525"/>
      <c r="I11" s="387" t="s">
        <v>3</v>
      </c>
      <c r="J11" s="389" t="s">
        <v>299</v>
      </c>
      <c r="K11" s="387"/>
      <c r="L11" s="387"/>
      <c r="M11" s="387"/>
      <c r="N11" s="387"/>
      <c r="O11" s="350" t="str" cm="1">
        <f t="array" ref="O11">angleDecimal2Txt(F11)</f>
        <v>+46°06.00 (+46.1000) [+46°06'00.00]</v>
      </c>
      <c r="P11" s="350"/>
      <c r="Q11" s="350"/>
      <c r="R11" s="350"/>
      <c r="S11" s="350"/>
      <c r="T11" s="350"/>
      <c r="U11" s="350"/>
      <c r="V11" s="350"/>
      <c r="W11" s="350"/>
      <c r="X11" s="350"/>
      <c r="Y11" s="14"/>
      <c r="Z11" s="14"/>
      <c r="AB11" s="133"/>
      <c r="AC11" s="131" t="s">
        <v>179</v>
      </c>
      <c r="AD11" s="3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A12" s="17" t="s">
        <v>41</v>
      </c>
      <c r="B12" s="32" t="s">
        <v>42</v>
      </c>
      <c r="C12" s="18"/>
      <c r="D12" s="14"/>
      <c r="E12" s="14"/>
      <c r="F12" s="525"/>
      <c r="G12" s="525"/>
      <c r="H12" s="525"/>
      <c r="I12" s="387"/>
      <c r="J12" s="387"/>
      <c r="K12" s="387"/>
      <c r="L12" s="387"/>
      <c r="M12" s="387"/>
      <c r="N12" s="387"/>
      <c r="O12" s="350"/>
      <c r="P12" s="350"/>
      <c r="Q12" s="350"/>
      <c r="R12" s="350"/>
      <c r="S12" s="350"/>
      <c r="T12" s="350"/>
      <c r="U12" s="350"/>
      <c r="V12" s="350"/>
      <c r="W12" s="350"/>
      <c r="X12" s="350"/>
      <c r="Y12" s="14"/>
      <c r="Z12" s="14"/>
      <c r="AB12" s="133"/>
      <c r="AC12" s="131" t="s">
        <v>180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>
      <c r="A13" s="17" t="s">
        <v>3</v>
      </c>
      <c r="B13" s="32" t="s">
        <v>5</v>
      </c>
      <c r="C13" s="18">
        <v>1</v>
      </c>
      <c r="D13" s="14"/>
      <c r="E13" s="14"/>
      <c r="F13" s="14"/>
      <c r="G13" s="14"/>
      <c r="H13" s="14"/>
      <c r="AB13" s="13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Bot="1">
      <c r="A14" s="19" t="s">
        <v>4</v>
      </c>
      <c r="B14" s="20" t="s">
        <v>6</v>
      </c>
      <c r="C14" s="21">
        <v>-1</v>
      </c>
      <c r="D14" s="14"/>
      <c r="E14" s="526" t="s">
        <v>8</v>
      </c>
      <c r="F14" s="526"/>
      <c r="G14" s="526"/>
      <c r="H14" s="526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133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Bot="1">
      <c r="C15" s="14"/>
      <c r="D15" s="14"/>
      <c r="E15" s="526"/>
      <c r="F15" s="526"/>
      <c r="G15" s="526"/>
      <c r="H15" s="526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133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2" customHeight="1" thickTop="1" thickBot="1">
      <c r="B16" s="14"/>
      <c r="C16" s="14"/>
      <c r="D16" s="14"/>
      <c r="E16" s="14"/>
      <c r="F16" s="462">
        <f>AD17</f>
        <v>-7.083333333333333</v>
      </c>
      <c r="G16" s="525"/>
      <c r="H16" s="525"/>
      <c r="I16" s="387" t="s">
        <v>6</v>
      </c>
      <c r="J16" s="389" t="s">
        <v>300</v>
      </c>
      <c r="K16" s="387"/>
      <c r="L16" s="387"/>
      <c r="M16" s="387"/>
      <c r="N16" s="387"/>
      <c r="O16" s="350" t="str" cm="1">
        <f t="array" ref="O16">angleDecimal2Txt(F16)</f>
        <v>-07°05.00 (-07.0833) [-07°05'00.00]</v>
      </c>
      <c r="P16" s="350"/>
      <c r="Q16" s="350"/>
      <c r="R16" s="350"/>
      <c r="S16" s="350"/>
      <c r="T16" s="350"/>
      <c r="U16" s="350"/>
      <c r="V16" s="350"/>
      <c r="W16" s="350"/>
      <c r="X16" s="350"/>
      <c r="Y16" s="14"/>
      <c r="Z16" s="14"/>
      <c r="AB16" s="133"/>
      <c r="AC16" s="131" t="s">
        <v>181</v>
      </c>
      <c r="AD16" s="3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2" customHeight="1" thickTop="1" thickBot="1">
      <c r="C17" s="14"/>
      <c r="D17" s="14"/>
      <c r="E17" s="14"/>
      <c r="F17" s="525"/>
      <c r="G17" s="525"/>
      <c r="H17" s="525"/>
      <c r="I17" s="387"/>
      <c r="J17" s="387"/>
      <c r="K17" s="387"/>
      <c r="L17" s="387"/>
      <c r="M17" s="387"/>
      <c r="N17" s="387"/>
      <c r="O17" s="350"/>
      <c r="P17" s="350"/>
      <c r="Q17" s="350"/>
      <c r="R17" s="350"/>
      <c r="S17" s="350"/>
      <c r="T17" s="350"/>
      <c r="U17" s="350"/>
      <c r="V17" s="350"/>
      <c r="W17" s="350"/>
      <c r="X17" s="350"/>
      <c r="Y17" s="14"/>
      <c r="Z17" s="14"/>
      <c r="AB17" s="133"/>
      <c r="AC17" s="131" t="s">
        <v>182</v>
      </c>
      <c r="AD17" s="3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ht="12" customHeight="1" thickTop="1"/>
    <row r="19" spans="2:66" ht="12" customHeight="1">
      <c r="E19" s="526" t="s">
        <v>266</v>
      </c>
      <c r="F19" s="526"/>
      <c r="G19" s="526"/>
      <c r="H19" s="526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16"/>
    </row>
    <row r="20" spans="2:66" ht="12" customHeight="1" thickBot="1">
      <c r="E20" s="526"/>
      <c r="F20" s="526"/>
      <c r="G20" s="526"/>
      <c r="H20" s="526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16"/>
    </row>
    <row r="21" spans="2:66" ht="12" customHeight="1" thickTop="1" thickBot="1">
      <c r="E21" s="14"/>
      <c r="F21" s="462">
        <f>heureConvert2Decimal(I21)</f>
        <v>10.340277777777779</v>
      </c>
      <c r="G21" s="525"/>
      <c r="H21" s="525"/>
      <c r="I21" s="753" t="s">
        <v>235</v>
      </c>
      <c r="J21" s="610"/>
      <c r="K21" s="610"/>
      <c r="L21" s="610"/>
      <c r="M21" s="610"/>
      <c r="N21" s="740"/>
      <c r="O21" s="350" t="str">
        <f>heureDecimal2Txt(F21)</f>
        <v>10:20:25.00(10.3402)</v>
      </c>
      <c r="P21" s="350"/>
      <c r="Q21" s="350"/>
      <c r="R21" s="350"/>
      <c r="S21" s="350"/>
      <c r="T21" s="350"/>
      <c r="U21" s="350"/>
      <c r="V21" s="350"/>
      <c r="W21" s="350"/>
      <c r="X21" s="350"/>
    </row>
    <row r="22" spans="2:66" ht="12" customHeight="1" thickTop="1" thickBot="1">
      <c r="E22" s="14"/>
      <c r="F22" s="525"/>
      <c r="G22" s="525"/>
      <c r="H22" s="525"/>
      <c r="I22" s="459"/>
      <c r="J22" s="460"/>
      <c r="K22" s="460"/>
      <c r="L22" s="460"/>
      <c r="M22" s="460"/>
      <c r="N22" s="742"/>
      <c r="O22" s="350"/>
      <c r="P22" s="350"/>
      <c r="Q22" s="350"/>
      <c r="R22" s="350"/>
      <c r="S22" s="350"/>
      <c r="T22" s="350"/>
      <c r="U22" s="350"/>
      <c r="V22" s="350"/>
      <c r="W22" s="350"/>
      <c r="X22" s="350"/>
    </row>
    <row r="23" spans="2:66" ht="15.75" thickTop="1"/>
    <row r="24" spans="2:66" ht="15.75" thickBot="1"/>
    <row r="25" spans="2:66" s="16" customFormat="1" ht="17.25" customHeight="1" thickBot="1">
      <c r="B25" s="25" t="s">
        <v>282</v>
      </c>
      <c r="C25" s="26"/>
      <c r="D25" s="26"/>
      <c r="E25" s="79"/>
      <c r="F25" s="79"/>
      <c r="G25" s="79"/>
      <c r="H25" s="79"/>
      <c r="I25" s="79"/>
      <c r="J25" s="79"/>
      <c r="K25" s="79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134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2:66" ht="12.75" customHeight="1">
      <c r="E26" s="727" t="s">
        <v>285</v>
      </c>
      <c r="F26" s="728"/>
      <c r="G26" s="728"/>
      <c r="H26" s="728"/>
      <c r="I26" s="728"/>
      <c r="J26" s="728"/>
      <c r="K26" s="729"/>
    </row>
    <row r="27" spans="2:66" ht="12.75" customHeight="1" thickBot="1">
      <c r="E27" s="730"/>
      <c r="F27" s="731"/>
      <c r="G27" s="731"/>
      <c r="H27" s="731"/>
      <c r="I27" s="731"/>
      <c r="J27" s="731"/>
      <c r="K27" s="732"/>
    </row>
    <row r="28" spans="2:66" ht="12.75" customHeight="1" thickTop="1" thickBot="1">
      <c r="F28" s="461">
        <f>angleConvert2Decimal(I28)</f>
        <v>260</v>
      </c>
      <c r="G28" s="736"/>
      <c r="H28" s="736"/>
      <c r="I28" s="738">
        <v>260</v>
      </c>
      <c r="J28" s="739"/>
      <c r="K28" s="739"/>
      <c r="L28" s="610"/>
      <c r="M28" s="610"/>
      <c r="N28" s="740"/>
      <c r="O28" s="350" t="str" cm="1">
        <f t="array" ref="O28">angleDecimal2Txt(F28)</f>
        <v>+260°00.00 (+260.0000) [+260°00'00.00]</v>
      </c>
      <c r="P28" s="350"/>
      <c r="Q28" s="350"/>
      <c r="R28" s="350"/>
      <c r="S28" s="350"/>
      <c r="T28" s="350"/>
      <c r="U28" s="350"/>
      <c r="V28" s="350"/>
      <c r="W28" s="350"/>
      <c r="X28" s="350"/>
    </row>
    <row r="29" spans="2:66" ht="12.75" customHeight="1" thickTop="1" thickBot="1">
      <c r="F29" s="737"/>
      <c r="G29" s="737"/>
      <c r="H29" s="737"/>
      <c r="I29" s="741"/>
      <c r="J29" s="739"/>
      <c r="K29" s="739"/>
      <c r="L29" s="460"/>
      <c r="M29" s="460"/>
      <c r="N29" s="742"/>
      <c r="O29" s="350"/>
      <c r="P29" s="350"/>
      <c r="Q29" s="350"/>
      <c r="R29" s="350"/>
      <c r="S29" s="350"/>
      <c r="T29" s="350"/>
      <c r="U29" s="350"/>
      <c r="V29" s="350"/>
      <c r="W29" s="350"/>
      <c r="X29" s="350"/>
    </row>
    <row r="30" spans="2:66" ht="12.75" customHeight="1" thickTop="1">
      <c r="E30" s="365" t="s">
        <v>286</v>
      </c>
      <c r="F30" s="381"/>
      <c r="G30" s="381"/>
      <c r="H30" s="381"/>
      <c r="I30" s="381"/>
      <c r="J30" s="381"/>
      <c r="K30" s="366"/>
    </row>
    <row r="31" spans="2:66" ht="12.75" customHeight="1" thickBot="1">
      <c r="E31" s="369"/>
      <c r="F31" s="382"/>
      <c r="G31" s="382"/>
      <c r="H31" s="382"/>
      <c r="I31" s="382"/>
      <c r="J31" s="382"/>
      <c r="K31" s="370"/>
    </row>
    <row r="32" spans="2:66" ht="12.75" customHeight="1" thickTop="1" thickBot="1">
      <c r="F32" s="461">
        <f>I32</f>
        <v>5</v>
      </c>
      <c r="G32" s="736"/>
      <c r="H32" s="736"/>
      <c r="I32" s="738">
        <v>5</v>
      </c>
      <c r="J32" s="739"/>
      <c r="K32" s="739"/>
      <c r="L32" s="610"/>
      <c r="M32" s="610"/>
      <c r="N32" s="740"/>
      <c r="O32" s="350" t="str" cm="1">
        <f t="array" ref="O32">angleDecimal2Txt(F32)</f>
        <v>+05°00.00 (+05.0000) [+05°00'00.00]</v>
      </c>
      <c r="P32" s="350"/>
      <c r="Q32" s="350"/>
      <c r="R32" s="350"/>
      <c r="S32" s="350"/>
      <c r="T32" s="350"/>
      <c r="U32" s="350"/>
      <c r="V32" s="350"/>
      <c r="W32" s="350"/>
      <c r="X32" s="350"/>
    </row>
    <row r="33" spans="2:30" ht="12.75" customHeight="1" thickTop="1" thickBot="1">
      <c r="F33" s="737"/>
      <c r="G33" s="737"/>
      <c r="H33" s="737"/>
      <c r="I33" s="741"/>
      <c r="J33" s="739"/>
      <c r="K33" s="739"/>
      <c r="L33" s="739"/>
      <c r="M33" s="739"/>
      <c r="N33" s="742"/>
      <c r="O33" s="350"/>
      <c r="P33" s="350"/>
      <c r="Q33" s="350"/>
      <c r="R33" s="350"/>
      <c r="S33" s="350"/>
      <c r="T33" s="350"/>
      <c r="U33" s="350"/>
      <c r="V33" s="350"/>
      <c r="W33" s="350"/>
      <c r="X33" s="350"/>
    </row>
    <row r="34" spans="2:30" ht="12.75" customHeight="1" thickTop="1">
      <c r="E34" s="721" t="s">
        <v>532</v>
      </c>
      <c r="F34" s="722"/>
      <c r="G34" s="722"/>
      <c r="H34" s="722"/>
      <c r="I34" s="722"/>
      <c r="J34" s="722"/>
      <c r="K34" s="722"/>
      <c r="L34" s="722"/>
      <c r="M34" s="723"/>
    </row>
    <row r="35" spans="2:30" ht="12.75" customHeight="1" thickBot="1">
      <c r="E35" s="724"/>
      <c r="F35" s="725"/>
      <c r="G35" s="725"/>
      <c r="H35" s="725"/>
      <c r="I35" s="725"/>
      <c r="J35" s="725"/>
      <c r="K35" s="725"/>
      <c r="L35" s="725"/>
      <c r="M35" s="726"/>
    </row>
    <row r="36" spans="2:30" s="147" customFormat="1" ht="12.75" customHeight="1" thickTop="1" thickBot="1">
      <c r="F36" s="763">
        <f>AD37</f>
        <v>46.1</v>
      </c>
      <c r="G36" s="764"/>
      <c r="H36" s="764"/>
      <c r="I36" s="758" t="str">
        <f>I11</f>
        <v>N</v>
      </c>
      <c r="J36" s="760" t="str">
        <f>J11</f>
        <v>46°06</v>
      </c>
      <c r="K36" s="758"/>
      <c r="L36" s="758"/>
      <c r="M36" s="758"/>
      <c r="N36" s="759"/>
      <c r="O36" s="766" t="str" cm="1">
        <f t="array" ref="O36">angleDecimal2Txt(F36)</f>
        <v>+46°06.00 (+46.1000) [+46°06'00.00]</v>
      </c>
      <c r="P36" s="766"/>
      <c r="Q36" s="766"/>
      <c r="R36" s="766"/>
      <c r="S36" s="766"/>
      <c r="T36" s="766"/>
      <c r="U36" s="766"/>
      <c r="V36" s="766"/>
      <c r="W36" s="766"/>
      <c r="X36" s="766"/>
      <c r="AB36" s="148"/>
      <c r="AC36" s="132" t="s">
        <v>179</v>
      </c>
      <c r="AD36" s="126">
        <f>VLOOKUP(I36,$A$13:$C$14,3)</f>
        <v>1</v>
      </c>
    </row>
    <row r="37" spans="2:30" s="147" customFormat="1" ht="12.75" customHeight="1" thickTop="1" thickBot="1">
      <c r="F37" s="765"/>
      <c r="G37" s="765"/>
      <c r="H37" s="765"/>
      <c r="I37" s="759"/>
      <c r="J37" s="759"/>
      <c r="K37" s="759"/>
      <c r="L37" s="759"/>
      <c r="M37" s="759"/>
      <c r="N37" s="759"/>
      <c r="O37" s="766"/>
      <c r="P37" s="766"/>
      <c r="Q37" s="766"/>
      <c r="R37" s="766"/>
      <c r="S37" s="766"/>
      <c r="T37" s="766"/>
      <c r="U37" s="766"/>
      <c r="V37" s="766"/>
      <c r="W37" s="766"/>
      <c r="X37" s="766"/>
      <c r="AB37" s="148"/>
      <c r="AC37" s="132" t="s">
        <v>180</v>
      </c>
      <c r="AD37" s="126" cm="1">
        <f t="array" ref="AD37">angleConvert2Decimal(J36)*AD36</f>
        <v>46.1</v>
      </c>
    </row>
    <row r="38" spans="2:30" s="147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144"/>
      <c r="AC38"/>
      <c r="AD38"/>
    </row>
    <row r="39" spans="2:30" ht="15.75" thickBot="1"/>
    <row r="40" spans="2:30" ht="15.75" thickBot="1">
      <c r="B40" s="25" t="s">
        <v>283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134"/>
    </row>
    <row r="41" spans="2:30" ht="12" customHeight="1">
      <c r="E41" s="754" t="s">
        <v>267</v>
      </c>
      <c r="F41" s="755"/>
      <c r="G41" s="755"/>
      <c r="H41" s="755"/>
      <c r="I41" s="755"/>
      <c r="J41" s="755"/>
      <c r="K41" s="755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16"/>
    </row>
    <row r="42" spans="2:30" ht="12" customHeight="1" thickBot="1">
      <c r="E42" s="756"/>
      <c r="F42" s="757"/>
      <c r="G42" s="757"/>
      <c r="H42" s="757"/>
      <c r="I42" s="757"/>
      <c r="J42" s="757"/>
      <c r="K42" s="757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16"/>
    </row>
    <row r="43" spans="2:30" ht="12" customHeight="1" thickTop="1" thickBot="1">
      <c r="E43" s="14"/>
      <c r="F43" s="462">
        <f>heureConvert2Decimal(I43)</f>
        <v>12.051666666666668</v>
      </c>
      <c r="G43" s="525"/>
      <c r="H43" s="525"/>
      <c r="I43" s="753" t="s">
        <v>268</v>
      </c>
      <c r="J43" s="610"/>
      <c r="K43" s="610"/>
      <c r="L43" s="610"/>
      <c r="M43" s="610"/>
      <c r="N43" s="740"/>
      <c r="O43" s="350" t="str">
        <f>heureDecimal2Txt(F43)</f>
        <v>12:03:06.00(12.0516)</v>
      </c>
      <c r="P43" s="350"/>
      <c r="Q43" s="350"/>
      <c r="R43" s="350"/>
      <c r="S43" s="350"/>
      <c r="T43" s="350"/>
      <c r="U43" s="350"/>
      <c r="V43" s="350"/>
      <c r="W43" s="350"/>
      <c r="X43" s="350"/>
    </row>
    <row r="44" spans="2:30" ht="12" customHeight="1" thickTop="1" thickBot="1">
      <c r="E44" s="14"/>
      <c r="F44" s="525"/>
      <c r="G44" s="525"/>
      <c r="H44" s="525"/>
      <c r="I44" s="459"/>
      <c r="J44" s="460"/>
      <c r="K44" s="460"/>
      <c r="L44" s="460"/>
      <c r="M44" s="460"/>
      <c r="N44" s="742"/>
      <c r="O44" s="350"/>
      <c r="P44" s="350"/>
      <c r="Q44" s="350"/>
      <c r="R44" s="350"/>
      <c r="S44" s="350"/>
      <c r="T44" s="350"/>
      <c r="U44" s="350"/>
      <c r="V44" s="350"/>
      <c r="W44" s="350"/>
      <c r="X44" s="350"/>
    </row>
    <row r="45" spans="2:30" ht="15.75" thickTop="1"/>
    <row r="46" spans="2:30" ht="15.75" thickBot="1"/>
    <row r="47" spans="2:30" ht="15.75" thickBot="1">
      <c r="B47" s="716" t="s">
        <v>289</v>
      </c>
      <c r="C47" s="717"/>
      <c r="D47" s="717"/>
      <c r="E47" s="717"/>
      <c r="F47" s="717"/>
      <c r="G47" s="717"/>
      <c r="H47" s="717"/>
      <c r="I47" s="717"/>
      <c r="J47" s="717"/>
      <c r="K47" s="717"/>
      <c r="L47" s="717"/>
      <c r="M47" s="717"/>
      <c r="N47" s="717"/>
      <c r="O47" s="717"/>
      <c r="P47" s="717"/>
      <c r="Q47" s="717"/>
      <c r="R47" s="717"/>
      <c r="S47" s="717"/>
      <c r="T47" s="717"/>
      <c r="U47" s="717"/>
      <c r="V47" s="717"/>
      <c r="W47" s="717"/>
      <c r="X47" s="717"/>
      <c r="Y47" s="717"/>
      <c r="Z47" s="717"/>
      <c r="AA47" s="717"/>
      <c r="AB47" s="134"/>
    </row>
    <row r="49" spans="3:27">
      <c r="C49" s="733" t="s">
        <v>287</v>
      </c>
      <c r="D49" s="734"/>
      <c r="E49" s="734"/>
      <c r="F49" s="734"/>
      <c r="G49" s="734"/>
      <c r="H49" s="734"/>
      <c r="I49" s="734"/>
      <c r="J49" s="734"/>
      <c r="K49" s="734"/>
      <c r="L49" s="734"/>
      <c r="M49" s="734"/>
      <c r="N49" s="734"/>
      <c r="O49" s="734"/>
      <c r="P49" s="734"/>
      <c r="Q49" s="734"/>
      <c r="R49" s="735"/>
    </row>
    <row r="50" spans="3:27">
      <c r="C50" s="646" t="s">
        <v>114</v>
      </c>
      <c r="D50" s="646"/>
      <c r="E50" s="646">
        <f>F28</f>
        <v>260</v>
      </c>
      <c r="F50" s="646"/>
      <c r="G50" s="646"/>
      <c r="I50" s="751" t="s">
        <v>288</v>
      </c>
      <c r="J50" s="751"/>
      <c r="K50" s="714" t="b">
        <f>IF(E50&lt;180,TRUE,FALSE)</f>
        <v>0</v>
      </c>
      <c r="L50" s="714"/>
      <c r="N50" s="743" t="s">
        <v>262</v>
      </c>
      <c r="O50" s="743"/>
      <c r="P50" s="745">
        <f>E51*ABS(SIN(Outils!$F$4*Meridienne!E50))*(IF(K50,1,-1))</f>
        <v>-4.9240387650610398</v>
      </c>
      <c r="Q50" s="746"/>
      <c r="R50" s="749" t="s">
        <v>261</v>
      </c>
    </row>
    <row r="51" spans="3:27">
      <c r="C51" s="397" t="s">
        <v>113</v>
      </c>
      <c r="D51" s="397"/>
      <c r="E51" s="397">
        <f>F32</f>
        <v>5</v>
      </c>
      <c r="F51" s="397"/>
      <c r="G51" s="397"/>
      <c r="I51" s="752"/>
      <c r="J51" s="752"/>
      <c r="K51" s="715"/>
      <c r="L51" s="715"/>
      <c r="N51" s="744"/>
      <c r="O51" s="744"/>
      <c r="P51" s="747"/>
      <c r="Q51" s="748"/>
      <c r="R51" s="750"/>
    </row>
    <row r="54" spans="3:27">
      <c r="C54" s="733" t="s">
        <v>264</v>
      </c>
      <c r="D54" s="734"/>
      <c r="E54" s="734"/>
      <c r="F54" s="734"/>
      <c r="G54" s="734"/>
      <c r="H54" s="734"/>
      <c r="I54" s="734"/>
      <c r="J54" s="734"/>
      <c r="K54" s="771"/>
      <c r="L54" s="771"/>
      <c r="M54" s="771"/>
      <c r="N54" s="771"/>
      <c r="O54" s="772"/>
    </row>
    <row r="55" spans="3:27">
      <c r="C55" s="646" t="s">
        <v>254</v>
      </c>
      <c r="D55" s="646"/>
      <c r="E55" s="646">
        <f>F36</f>
        <v>46.1</v>
      </c>
      <c r="F55" s="646"/>
      <c r="G55" s="646"/>
      <c r="I55" s="776" t="s">
        <v>263</v>
      </c>
      <c r="J55" s="776"/>
      <c r="K55" s="773" t="s">
        <v>74</v>
      </c>
      <c r="L55" s="774">
        <f>$P$50/(60 * COS($E$55*Outils!$F$4))</f>
        <v>-0.11835462412189314</v>
      </c>
      <c r="M55" s="774"/>
      <c r="N55" s="774"/>
      <c r="O55" s="775" t="s">
        <v>265</v>
      </c>
      <c r="P55" s="744" t="str">
        <f>IF(K50,"Vers l'Est","Vers l'Ouest")</f>
        <v>Vers l'Ouest</v>
      </c>
      <c r="Q55" s="744"/>
      <c r="R55" s="744"/>
      <c r="U55" s="777" t="s">
        <v>292</v>
      </c>
      <c r="V55" s="778"/>
      <c r="W55" s="779"/>
      <c r="X55" s="783">
        <f>IF(K50,-1*ABS(L55),ABS(L55))</f>
        <v>0.11835462412189314</v>
      </c>
      <c r="Y55" s="784"/>
      <c r="Z55" s="784"/>
      <c r="AA55" s="719" t="s">
        <v>265</v>
      </c>
    </row>
    <row r="56" spans="3:27">
      <c r="C56" s="397" t="str">
        <f>N50</f>
        <v>VLong.</v>
      </c>
      <c r="D56" s="397"/>
      <c r="E56" s="397">
        <f>P50</f>
        <v>-4.9240387650610398</v>
      </c>
      <c r="F56" s="397"/>
      <c r="G56" s="397"/>
      <c r="I56" s="776"/>
      <c r="J56" s="776"/>
      <c r="K56" s="773"/>
      <c r="L56" s="774"/>
      <c r="M56" s="774"/>
      <c r="N56" s="774"/>
      <c r="O56" s="775"/>
      <c r="P56" s="744"/>
      <c r="Q56" s="744"/>
      <c r="R56" s="744"/>
      <c r="U56" s="780"/>
      <c r="V56" s="781"/>
      <c r="W56" s="782"/>
      <c r="X56" s="785"/>
      <c r="Y56" s="786"/>
      <c r="Z56" s="786"/>
      <c r="AA56" s="720"/>
    </row>
    <row r="59" spans="3:27" ht="18.75" customHeight="1">
      <c r="C59" s="768" t="s">
        <v>291</v>
      </c>
      <c r="D59" s="769"/>
      <c r="E59" s="769"/>
      <c r="F59" s="769"/>
      <c r="G59" s="769"/>
      <c r="H59" s="769"/>
      <c r="I59" s="769"/>
      <c r="J59" s="769"/>
      <c r="K59" s="769"/>
      <c r="L59" s="769"/>
      <c r="M59" s="769"/>
      <c r="N59" s="769"/>
      <c r="O59" s="770"/>
    </row>
    <row r="60" spans="3:27" ht="15" customHeight="1">
      <c r="C60" s="646" t="s">
        <v>182</v>
      </c>
      <c r="D60" s="646"/>
      <c r="E60" s="646">
        <f>F16</f>
        <v>-7.083333333333333</v>
      </c>
      <c r="F60" s="646"/>
      <c r="G60" s="646"/>
      <c r="I60" s="761" t="s">
        <v>269</v>
      </c>
      <c r="J60" s="762"/>
      <c r="K60" s="767">
        <f>longitude2LongitudeHoraire(E60)</f>
        <v>7.083333333333333</v>
      </c>
      <c r="L60" s="767"/>
      <c r="M60" s="767"/>
      <c r="N60" s="767"/>
      <c r="O60" s="128" t="s">
        <v>28</v>
      </c>
    </row>
    <row r="63" spans="3:27">
      <c r="C63" s="718" t="s">
        <v>270</v>
      </c>
      <c r="D63" s="718"/>
      <c r="E63" s="718"/>
      <c r="F63" s="718"/>
      <c r="G63" s="718"/>
      <c r="H63" s="718"/>
      <c r="I63" s="718"/>
      <c r="J63" s="718"/>
      <c r="K63" s="718"/>
      <c r="L63" s="718"/>
      <c r="M63" s="718"/>
      <c r="N63" s="718"/>
      <c r="O63" s="718"/>
    </row>
    <row r="64" spans="3:27" ht="15" customHeight="1" thickBot="1">
      <c r="C64" s="712" t="s">
        <v>290</v>
      </c>
      <c r="D64" s="712"/>
      <c r="E64" s="712"/>
      <c r="F64" s="712"/>
      <c r="G64" s="712"/>
      <c r="H64" s="712"/>
      <c r="I64" s="712"/>
      <c r="J64" s="712"/>
      <c r="K64" s="712"/>
      <c r="L64" s="712"/>
      <c r="M64" s="712"/>
      <c r="N64" s="712"/>
      <c r="O64" s="712"/>
      <c r="P64" s="149" t="s">
        <v>294</v>
      </c>
      <c r="Q64" s="713" t="s">
        <v>293</v>
      </c>
      <c r="R64" s="713"/>
      <c r="S64" s="713"/>
      <c r="T64" s="713"/>
      <c r="U64" s="713"/>
      <c r="V64" s="129">
        <v>15.002000000000001</v>
      </c>
      <c r="W64" s="130" t="s">
        <v>265</v>
      </c>
    </row>
    <row r="65" spans="2:66" ht="15.75" thickTop="1">
      <c r="C65" s="712"/>
      <c r="D65" s="712"/>
      <c r="E65" s="712"/>
      <c r="F65" s="712"/>
      <c r="G65" s="712"/>
      <c r="H65" s="712"/>
      <c r="I65" s="712"/>
      <c r="J65" s="712"/>
      <c r="K65" s="712"/>
      <c r="L65" s="712"/>
      <c r="M65" s="712"/>
      <c r="N65" s="712"/>
      <c r="O65" s="712"/>
    </row>
    <row r="66" spans="2:66">
      <c r="C66" s="712"/>
      <c r="D66" s="712"/>
      <c r="E66" s="712"/>
      <c r="F66" s="712"/>
      <c r="G66" s="712"/>
      <c r="H66" s="712"/>
      <c r="I66" s="712"/>
      <c r="J66" s="712"/>
      <c r="K66" s="712"/>
      <c r="L66" s="712"/>
      <c r="M66" s="712"/>
      <c r="N66" s="712"/>
      <c r="O66" s="712"/>
    </row>
    <row r="70" spans="2:66" ht="15" customHeight="1">
      <c r="H70" s="706" t="s">
        <v>295</v>
      </c>
      <c r="I70" s="706"/>
      <c r="J70" s="706"/>
      <c r="K70" s="706"/>
      <c r="L70" s="706"/>
      <c r="M70" s="706"/>
      <c r="N70" s="706"/>
      <c r="O70" s="706"/>
      <c r="P70" s="706"/>
      <c r="Q70" s="706"/>
      <c r="R70" s="706"/>
      <c r="S70" s="706"/>
      <c r="T70" s="706"/>
      <c r="U70" s="706"/>
      <c r="V70" s="704">
        <f>$K$60/($V$64-$L$55)</f>
        <v>0.46846343947734581</v>
      </c>
      <c r="W70" s="704"/>
      <c r="X70" s="704" t="s">
        <v>280</v>
      </c>
    </row>
    <row r="71" spans="2:66">
      <c r="H71" s="706"/>
      <c r="I71" s="706"/>
      <c r="J71" s="706"/>
      <c r="K71" s="706"/>
      <c r="L71" s="706"/>
      <c r="M71" s="706"/>
      <c r="N71" s="706"/>
      <c r="O71" s="706"/>
      <c r="P71" s="706"/>
      <c r="Q71" s="706"/>
      <c r="R71" s="706"/>
      <c r="S71" s="706"/>
      <c r="T71" s="706"/>
      <c r="U71" s="706"/>
      <c r="V71" s="704"/>
      <c r="W71" s="704"/>
      <c r="X71" s="705"/>
    </row>
    <row r="72" spans="2:66">
      <c r="H72" s="707" t="s">
        <v>296</v>
      </c>
      <c r="I72" s="707"/>
      <c r="J72" s="707"/>
      <c r="K72" s="707"/>
      <c r="L72" s="707"/>
      <c r="M72" s="707"/>
      <c r="N72" s="707"/>
      <c r="O72" s="707"/>
      <c r="P72" s="707"/>
      <c r="Q72" s="707"/>
      <c r="R72" s="707"/>
      <c r="S72" s="707"/>
      <c r="T72" s="707"/>
      <c r="U72" s="707"/>
      <c r="V72" s="710">
        <f>F43+V70</f>
        <v>12.520130106144013</v>
      </c>
      <c r="W72" s="711"/>
      <c r="X72" s="708" t="str">
        <f>heureDecimal2Txt(V72)</f>
        <v>12:31:12.46(12.5201)</v>
      </c>
      <c r="Y72" s="709"/>
      <c r="Z72" s="709"/>
      <c r="AA72" s="709"/>
      <c r="AB72" s="709"/>
      <c r="AC72" s="709"/>
    </row>
    <row r="73" spans="2:66">
      <c r="H73" s="707"/>
      <c r="I73" s="707"/>
      <c r="J73" s="707"/>
      <c r="K73" s="707"/>
      <c r="L73" s="707"/>
      <c r="M73" s="707"/>
      <c r="N73" s="707"/>
      <c r="O73" s="707"/>
      <c r="P73" s="707"/>
      <c r="Q73" s="707"/>
      <c r="R73" s="707"/>
      <c r="S73" s="707"/>
      <c r="T73" s="707"/>
      <c r="U73" s="707"/>
      <c r="V73" s="711"/>
      <c r="W73" s="711"/>
      <c r="X73" s="708"/>
      <c r="Y73" s="709"/>
      <c r="Z73" s="709"/>
      <c r="AA73" s="709"/>
      <c r="AB73" s="709"/>
      <c r="AC73" s="709"/>
    </row>
    <row r="74" spans="2:66">
      <c r="H74" s="706" t="s">
        <v>297</v>
      </c>
      <c r="I74" s="706"/>
      <c r="J74" s="706"/>
      <c r="K74" s="706"/>
      <c r="L74" s="706"/>
      <c r="M74" s="706"/>
      <c r="N74" s="706"/>
      <c r="O74" s="706"/>
      <c r="P74" s="706"/>
      <c r="Q74" s="706"/>
      <c r="R74" s="706"/>
      <c r="S74" s="706"/>
      <c r="T74" s="706"/>
      <c r="U74" s="706"/>
      <c r="V74" s="703">
        <f>V72-F21</f>
        <v>2.1798523283662341</v>
      </c>
      <c r="W74" s="704"/>
      <c r="X74" s="704" t="s">
        <v>280</v>
      </c>
    </row>
    <row r="75" spans="2:66">
      <c r="H75" s="706"/>
      <c r="I75" s="706"/>
      <c r="J75" s="706"/>
      <c r="K75" s="706"/>
      <c r="L75" s="706"/>
      <c r="M75" s="706"/>
      <c r="N75" s="706"/>
      <c r="O75" s="706"/>
      <c r="P75" s="706"/>
      <c r="Q75" s="706"/>
      <c r="R75" s="706"/>
      <c r="S75" s="706"/>
      <c r="T75" s="706"/>
      <c r="U75" s="706"/>
      <c r="V75" s="704"/>
      <c r="W75" s="704"/>
      <c r="X75" s="705"/>
    </row>
    <row r="76" spans="2:66">
      <c r="H76" s="707" t="s">
        <v>301</v>
      </c>
      <c r="I76" s="707"/>
      <c r="J76" s="707"/>
      <c r="K76" s="707"/>
      <c r="L76" s="707"/>
      <c r="M76" s="707"/>
      <c r="N76" s="707"/>
      <c r="O76" s="707"/>
      <c r="P76" s="707"/>
      <c r="Q76" s="707"/>
      <c r="R76" s="707"/>
      <c r="S76" s="707"/>
      <c r="T76" s="707"/>
      <c r="U76" s="707"/>
      <c r="V76" s="710">
        <f>V74*E51</f>
        <v>10.899261641831171</v>
      </c>
      <c r="W76" s="711"/>
      <c r="X76" s="701" t="s">
        <v>112</v>
      </c>
    </row>
    <row r="77" spans="2:66">
      <c r="H77" s="707"/>
      <c r="I77" s="707"/>
      <c r="J77" s="707"/>
      <c r="K77" s="707"/>
      <c r="L77" s="707"/>
      <c r="M77" s="707"/>
      <c r="N77" s="707"/>
      <c r="O77" s="707"/>
      <c r="P77" s="707"/>
      <c r="Q77" s="707"/>
      <c r="R77" s="707"/>
      <c r="S77" s="707"/>
      <c r="T77" s="707"/>
      <c r="U77" s="707"/>
      <c r="V77" s="711"/>
      <c r="W77" s="711"/>
      <c r="X77" s="702"/>
    </row>
    <row r="79" spans="2:66" ht="15.75" thickBot="1"/>
    <row r="80" spans="2:66" s="16" customFormat="1" ht="17.25" customHeight="1" thickBot="1">
      <c r="B80" s="25" t="s">
        <v>0</v>
      </c>
      <c r="C80" s="26"/>
      <c r="D80" s="26"/>
      <c r="E80" s="107" t="str">
        <f>N7</f>
        <v>2025/06/30</v>
      </c>
      <c r="F80" s="107"/>
      <c r="G80" s="108"/>
      <c r="H80" s="109"/>
      <c r="I80" s="107" t="str">
        <f>heureDecimal2Txt(E84)</f>
        <v>12:31:12.46(12.5201)</v>
      </c>
      <c r="J80" s="107"/>
      <c r="K80" s="107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97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363" t="s">
        <v>1</v>
      </c>
      <c r="D81" s="364"/>
      <c r="E81" s="699" t="s">
        <v>243</v>
      </c>
      <c r="F81" s="700"/>
      <c r="G81" s="700"/>
      <c r="H81" s="61"/>
      <c r="AB81" s="63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>
      <c r="C82" s="365" t="s">
        <v>11</v>
      </c>
      <c r="D82" s="366"/>
      <c r="E82" s="365" t="s">
        <v>2</v>
      </c>
      <c r="F82" s="381"/>
      <c r="G82" s="381"/>
      <c r="H82" s="366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AB82" s="65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Bot="1">
      <c r="C83" s="367"/>
      <c r="D83" s="368"/>
      <c r="E83" s="369"/>
      <c r="F83" s="382"/>
      <c r="G83" s="382"/>
      <c r="H83" s="370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AB83" s="6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69"/>
      <c r="D84" s="370"/>
      <c r="E84" s="686">
        <f>V72</f>
        <v>12.520130106144013</v>
      </c>
      <c r="F84" s="686"/>
      <c r="G84" s="686"/>
      <c r="H84" s="686"/>
      <c r="I84" s="582" t="str" cm="1">
        <f t="array" ref="I84">heureDecimal2Txt(E84)</f>
        <v>12:31:12.46(12.5201)</v>
      </c>
      <c r="J84" s="583"/>
      <c r="K84" s="583"/>
      <c r="L84" s="584"/>
      <c r="M84"/>
      <c r="N84"/>
      <c r="O84"/>
      <c r="P84"/>
      <c r="Q84"/>
      <c r="R84"/>
      <c r="S84"/>
      <c r="T84"/>
      <c r="U84"/>
      <c r="V84"/>
      <c r="W84"/>
      <c r="X84"/>
      <c r="Y84"/>
      <c r="AB84" s="63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ht="17.25" customHeight="1" thickTop="1">
      <c r="B85" s="16"/>
      <c r="I85" s="11"/>
      <c r="J85" s="11"/>
      <c r="K85" s="11"/>
      <c r="V85" s="11"/>
      <c r="W85" s="11"/>
      <c r="X85" s="11"/>
      <c r="Y85" s="11"/>
      <c r="Z85" s="16"/>
      <c r="AA85" s="16"/>
      <c r="AB85" s="63"/>
      <c r="BN85" s="24"/>
    </row>
    <row r="86" spans="2:66" s="16" customFormat="1" ht="17.25" customHeight="1" thickBot="1">
      <c r="C86" s="15"/>
      <c r="D86" s="15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AB86" s="6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Bot="1">
      <c r="B87" s="25" t="s">
        <v>18</v>
      </c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8" customHeight="1" thickBot="1">
      <c r="B88"/>
      <c r="C88" s="687" t="s">
        <v>176</v>
      </c>
      <c r="D88" s="688"/>
      <c r="E88" s="688"/>
      <c r="F88" s="688"/>
      <c r="G88" s="688"/>
      <c r="H88" s="688"/>
      <c r="I88" s="689"/>
      <c r="J88" s="690" t="s">
        <v>178</v>
      </c>
      <c r="K88" s="691"/>
      <c r="L88" s="691"/>
      <c r="M88" s="691"/>
      <c r="N88" s="691"/>
      <c r="O88" s="692"/>
      <c r="P88"/>
      <c r="Q88"/>
      <c r="R88"/>
      <c r="S88"/>
      <c r="T88"/>
      <c r="U88"/>
      <c r="V88"/>
      <c r="W88"/>
      <c r="X88"/>
      <c r="Y88"/>
      <c r="Z88"/>
      <c r="AA88"/>
      <c r="AB88" s="63"/>
      <c r="AC88" s="70" t="s">
        <v>177</v>
      </c>
      <c r="AD88" s="70" t="s">
        <v>178</v>
      </c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8" customHeight="1" thickTop="1" thickBot="1">
      <c r="B89" s="14"/>
      <c r="C89" s="687" t="s">
        <v>139</v>
      </c>
      <c r="D89" s="688"/>
      <c r="E89" s="688"/>
      <c r="F89" s="688"/>
      <c r="G89" s="688"/>
      <c r="H89" s="688"/>
      <c r="I89" s="689"/>
      <c r="J89" s="693" cm="1">
        <f t="array" ref="J89">angleConvert2Decimal(M89)</f>
        <v>0.9</v>
      </c>
      <c r="K89" s="694"/>
      <c r="L89" s="695"/>
      <c r="M89" s="696" t="s">
        <v>105</v>
      </c>
      <c r="N89" s="697"/>
      <c r="O89" s="698"/>
      <c r="P89" s="450" t="str" cm="1">
        <f t="array" ref="P89">angleDecimal2Txt(J89)</f>
        <v>+00°54.00 (+00.9000) [+00°54'00.00]</v>
      </c>
      <c r="Q89" s="451"/>
      <c r="R89" s="451"/>
      <c r="S89" s="451"/>
      <c r="T89" s="451"/>
      <c r="U89" s="451"/>
      <c r="V89" s="451"/>
      <c r="W89" s="451"/>
      <c r="X89" s="337"/>
      <c r="Y89" s="14"/>
      <c r="AB89" s="63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8" customHeight="1" thickTop="1" thickBot="1">
      <c r="C90" s="341" t="s">
        <v>138</v>
      </c>
      <c r="D90" s="341"/>
      <c r="E90" s="341"/>
      <c r="F90" s="341"/>
      <c r="G90" s="341"/>
      <c r="H90" s="341"/>
      <c r="I90" s="341"/>
      <c r="J90" s="463" cm="1">
        <f t="array" ref="J90">angleConvert2Decimal(M90)</f>
        <v>33.4</v>
      </c>
      <c r="K90" s="516"/>
      <c r="L90" s="439"/>
      <c r="M90" s="683" t="s">
        <v>226</v>
      </c>
      <c r="N90" s="684"/>
      <c r="O90" s="685"/>
      <c r="P90" s="327" t="str" cm="1">
        <f t="array" ref="P90">angleDecimal2Txt(J90)</f>
        <v>+33°24.00 (+33.3999) [+33°24'00.00]</v>
      </c>
      <c r="Q90" s="327"/>
      <c r="R90" s="327"/>
      <c r="S90" s="327"/>
      <c r="T90" s="327"/>
      <c r="U90" s="327"/>
      <c r="V90" s="327"/>
      <c r="W90" s="327"/>
      <c r="X90" s="327"/>
      <c r="Y90" s="14"/>
      <c r="AB90" s="63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16" customFormat="1" ht="18" customHeight="1" thickTop="1" thickBot="1">
      <c r="C91" s="341" t="s">
        <v>146</v>
      </c>
      <c r="D91" s="341"/>
      <c r="E91" s="341"/>
      <c r="F91" s="341"/>
      <c r="G91" s="341"/>
      <c r="H91" s="341"/>
      <c r="I91" s="341"/>
      <c r="J91" s="463" cm="1">
        <f t="array" ref="J91">angleConvert2Decimal(M91)</f>
        <v>16.25</v>
      </c>
      <c r="K91" s="516"/>
      <c r="L91" s="439"/>
      <c r="M91" s="683">
        <f>(J90-J89)/2</f>
        <v>16.25</v>
      </c>
      <c r="N91" s="684"/>
      <c r="O91" s="685"/>
      <c r="P91" s="327" t="str" cm="1">
        <f t="array" ref="P91">angleDecimal2Txt(J91)</f>
        <v>+16°15.00 (+16.2500) [+16°15'00.00]</v>
      </c>
      <c r="Q91" s="327"/>
      <c r="R91" s="327"/>
      <c r="S91" s="327"/>
      <c r="T91" s="327"/>
      <c r="U91" s="327"/>
      <c r="V91" s="327"/>
      <c r="W91" s="327"/>
      <c r="X91" s="327"/>
      <c r="Y91" s="14"/>
      <c r="AB91" s="63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 s="24"/>
    </row>
    <row r="92" spans="2:66" s="16" customFormat="1" ht="18" customHeight="1" thickTop="1" thickBot="1">
      <c r="C92" s="585" t="s">
        <v>19</v>
      </c>
      <c r="D92" s="585"/>
      <c r="E92" s="585"/>
      <c r="F92" s="585"/>
      <c r="G92" s="585"/>
      <c r="H92" s="585"/>
      <c r="I92" s="585"/>
      <c r="J92" s="513">
        <f>M92</f>
        <v>2</v>
      </c>
      <c r="K92" s="514"/>
      <c r="L92" s="515"/>
      <c r="M92" s="492">
        <v>2</v>
      </c>
      <c r="N92" s="492"/>
      <c r="O92" s="492"/>
      <c r="P92" s="14"/>
      <c r="Q92" s="14"/>
      <c r="R92" s="14"/>
      <c r="S92" s="14"/>
      <c r="T92" s="14"/>
      <c r="U92" s="14"/>
      <c r="V92" s="14"/>
      <c r="W92" s="14"/>
      <c r="X92" s="14"/>
      <c r="Y92" s="14"/>
      <c r="AB92" s="63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8" customHeight="1" thickTop="1" thickBot="1">
      <c r="B93" s="14"/>
      <c r="C93" s="619" t="s">
        <v>20</v>
      </c>
      <c r="D93" s="620"/>
      <c r="E93" s="620"/>
      <c r="F93" s="620"/>
      <c r="G93" s="620"/>
      <c r="H93" s="620"/>
      <c r="I93" s="621"/>
      <c r="J93" s="463" cm="1">
        <f t="array" ref="J93">angleConvert2Decimal(M93)</f>
        <v>2.1666666666666667E-2</v>
      </c>
      <c r="K93" s="516"/>
      <c r="L93" s="439"/>
      <c r="M93" s="491" t="s">
        <v>260</v>
      </c>
      <c r="N93" s="492"/>
      <c r="O93" s="492"/>
      <c r="P93" s="327" t="str" cm="1">
        <f t="array" ref="P93">angleDecimal2Txt(J93)</f>
        <v>+00°01.30 (+00.0216) [+00°01'18.00]</v>
      </c>
      <c r="Q93" s="327"/>
      <c r="R93" s="327"/>
      <c r="S93" s="327"/>
      <c r="T93" s="327"/>
      <c r="U93" s="327"/>
      <c r="V93" s="327"/>
      <c r="W93" s="327"/>
      <c r="X93" s="327"/>
      <c r="Y93" s="14"/>
      <c r="AB93" s="6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8" customHeight="1" thickTop="1" thickBot="1">
      <c r="C94" s="629" t="s">
        <v>26</v>
      </c>
      <c r="D94" s="629"/>
      <c r="E94" s="629"/>
      <c r="F94" s="629"/>
      <c r="G94" s="629"/>
      <c r="H94" s="629"/>
      <c r="I94" s="629"/>
      <c r="J94" s="671" cm="1">
        <f t="array" ref="J94">IF(J88=AC88,J91,angleConvert2Decimal(M94))</f>
        <v>66.95</v>
      </c>
      <c r="K94" s="672"/>
      <c r="L94" s="673"/>
      <c r="M94" s="491" t="s">
        <v>271</v>
      </c>
      <c r="N94" s="492"/>
      <c r="O94" s="492"/>
      <c r="P94" s="327" t="str" cm="1">
        <f t="array" ref="P94">angleDecimal2Txt(J94)</f>
        <v>+66°57.00 (+66.9500) [+66°57'00.00]</v>
      </c>
      <c r="Q94" s="327"/>
      <c r="R94" s="327"/>
      <c r="S94" s="327"/>
      <c r="T94" s="327"/>
      <c r="U94" s="327"/>
      <c r="V94" s="327"/>
      <c r="W94" s="327"/>
      <c r="X94" s="327"/>
      <c r="Y94" s="14"/>
      <c r="AB94" s="63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8" customHeight="1" thickTop="1">
      <c r="C95" s="622" t="s">
        <v>30</v>
      </c>
      <c r="D95" s="622"/>
      <c r="E95" s="622"/>
      <c r="F95" s="622"/>
      <c r="G95" s="622"/>
      <c r="H95" s="622"/>
      <c r="I95" s="622"/>
      <c r="J95" s="623" t="str">
        <f>M95</f>
        <v>Soleil</v>
      </c>
      <c r="K95" s="624"/>
      <c r="L95" s="625"/>
      <c r="M95" s="680" t="s">
        <v>31</v>
      </c>
      <c r="N95" s="681"/>
      <c r="O95" s="682"/>
      <c r="P95" s="14"/>
      <c r="Q95" s="14"/>
      <c r="R95" s="14"/>
      <c r="S95" s="14"/>
      <c r="T95" s="14"/>
      <c r="U95" s="14"/>
      <c r="V95" s="14"/>
      <c r="W95" s="14"/>
      <c r="X95" s="14"/>
      <c r="Y95" s="14"/>
      <c r="AB95" s="63"/>
      <c r="AC95"/>
      <c r="AD95"/>
      <c r="AE95"/>
      <c r="AF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8" customHeight="1">
      <c r="C96" s="622" t="s">
        <v>56</v>
      </c>
      <c r="D96" s="622"/>
      <c r="E96" s="622"/>
      <c r="F96" s="622"/>
      <c r="G96" s="622"/>
      <c r="H96" s="622"/>
      <c r="I96" s="622"/>
      <c r="J96" s="623" t="str">
        <f>M96</f>
        <v>BordInf</v>
      </c>
      <c r="K96" s="624"/>
      <c r="L96" s="625"/>
      <c r="M96" s="517" t="s">
        <v>57</v>
      </c>
      <c r="N96" s="517"/>
      <c r="O96" s="517"/>
      <c r="P96" s="14"/>
      <c r="Q96" s="14"/>
      <c r="R96" s="14"/>
      <c r="S96" s="14"/>
      <c r="T96" s="14"/>
      <c r="U96" s="14"/>
      <c r="V96" s="14"/>
      <c r="W96" s="14"/>
      <c r="X96" s="14"/>
      <c r="Y96" s="14"/>
      <c r="AB96" s="63"/>
      <c r="AC96" s="71" t="s">
        <v>201</v>
      </c>
      <c r="AD96" s="72" t="s">
        <v>32</v>
      </c>
      <c r="AE96" s="72" t="s">
        <v>33</v>
      </c>
      <c r="AF96" s="72" t="s">
        <v>31</v>
      </c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>
      <c r="C97" s="630" t="s">
        <v>162</v>
      </c>
      <c r="D97" s="631"/>
      <c r="E97" s="27"/>
      <c r="F97" s="27"/>
      <c r="G97" s="27"/>
      <c r="H97" s="27"/>
      <c r="I97" s="28"/>
      <c r="J97" s="553" cm="1">
        <f t="array" ref="J97">angleConvert2Decimal(M97)</f>
        <v>2.8833333333333332E-3</v>
      </c>
      <c r="K97" s="345"/>
      <c r="L97" s="346"/>
      <c r="M97" s="559" t="str">
        <f>P99</f>
        <v>0.173'</v>
      </c>
      <c r="N97" s="560"/>
      <c r="O97" s="560"/>
      <c r="P97" s="565" t="s">
        <v>101</v>
      </c>
      <c r="Q97" s="565"/>
      <c r="R97" s="565"/>
      <c r="S97" s="14"/>
      <c r="T97" s="14"/>
      <c r="U97" s="14"/>
      <c r="V97" s="14"/>
      <c r="W97" s="14"/>
      <c r="X97" s="14"/>
      <c r="Y97" s="14"/>
      <c r="AB97" s="63"/>
      <c r="AC97" s="71" t="s">
        <v>103</v>
      </c>
      <c r="AD97" s="73" t="s">
        <v>104</v>
      </c>
      <c r="AE97" s="73" t="s">
        <v>105</v>
      </c>
      <c r="AF97" s="73" t="s">
        <v>76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Bot="1">
      <c r="C98" s="29"/>
      <c r="D98" s="588" t="s">
        <v>163</v>
      </c>
      <c r="E98" s="588"/>
      <c r="F98" s="588"/>
      <c r="G98" s="588"/>
      <c r="H98" s="588"/>
      <c r="I98" s="589"/>
      <c r="J98" s="554"/>
      <c r="K98" s="372"/>
      <c r="L98" s="555"/>
      <c r="M98" s="561"/>
      <c r="N98" s="562"/>
      <c r="O98" s="562"/>
      <c r="P98" s="565"/>
      <c r="Q98" s="565"/>
      <c r="R98" s="565"/>
      <c r="S98" s="14"/>
      <c r="T98" s="14"/>
      <c r="U98" s="14"/>
      <c r="V98" s="14"/>
      <c r="W98" s="14"/>
      <c r="X98" s="14"/>
      <c r="Y98" s="14"/>
      <c r="AB98" s="63"/>
      <c r="AC98" s="71" t="s">
        <v>107</v>
      </c>
      <c r="AD98" s="73" t="s">
        <v>104</v>
      </c>
      <c r="AE98" s="73" t="s">
        <v>108</v>
      </c>
      <c r="AF98" s="73" t="s">
        <v>75</v>
      </c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customHeight="1" thickTop="1" thickBot="1">
      <c r="C99" s="29"/>
      <c r="D99" s="588"/>
      <c r="E99" s="588"/>
      <c r="F99" s="588"/>
      <c r="G99" s="588"/>
      <c r="H99" s="588"/>
      <c r="I99" s="589"/>
      <c r="J99" s="554"/>
      <c r="K99" s="372"/>
      <c r="L99" s="555"/>
      <c r="M99" s="561"/>
      <c r="N99" s="562"/>
      <c r="O99" s="562"/>
      <c r="P99" s="528" t="str">
        <f>HLOOKUP(M95,AD96:AF98,2,FALSE)</f>
        <v>0.173'</v>
      </c>
      <c r="Q99" s="528"/>
      <c r="R99" s="528"/>
      <c r="S99" s="391" t="str" cm="1">
        <f t="array" ref="S99">angleDecimal2Txt(angleConvert2Decimal(P99))</f>
        <v>+00°00.17 (+00.0028) [+00°00'10.37]</v>
      </c>
      <c r="T99" s="391"/>
      <c r="U99" s="391"/>
      <c r="V99" s="391"/>
      <c r="W99" s="391"/>
      <c r="X99" s="392"/>
      <c r="Y99" s="14"/>
      <c r="AB99" s="63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customHeight="1" thickTop="1" thickBot="1">
      <c r="C100" s="30"/>
      <c r="D100" s="590"/>
      <c r="E100" s="590"/>
      <c r="F100" s="590"/>
      <c r="G100" s="590"/>
      <c r="H100" s="590"/>
      <c r="I100" s="591"/>
      <c r="J100" s="679"/>
      <c r="K100" s="347"/>
      <c r="L100" s="348"/>
      <c r="M100" s="563"/>
      <c r="N100" s="564"/>
      <c r="O100" s="564"/>
      <c r="P100" s="527" t="str" cm="1">
        <f t="array" ref="P100">angleDecimal2Txt(J97)</f>
        <v>+00°00.17 (+00.0028) [+00°00'10.37]</v>
      </c>
      <c r="Q100" s="527"/>
      <c r="R100" s="527"/>
      <c r="S100" s="327"/>
      <c r="T100" s="327"/>
      <c r="U100" s="327"/>
      <c r="V100" s="327"/>
      <c r="W100" s="327"/>
      <c r="X100" s="327"/>
      <c r="Y100" s="14"/>
      <c r="AB100" s="63"/>
      <c r="AC100" s="71" t="s">
        <v>102</v>
      </c>
      <c r="AD100" s="72" t="s">
        <v>57</v>
      </c>
      <c r="AE100" s="72" t="s">
        <v>199</v>
      </c>
      <c r="AF100" s="72" t="s">
        <v>58</v>
      </c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customHeight="1" thickTop="1">
      <c r="C101" s="545" t="s">
        <v>106</v>
      </c>
      <c r="D101" s="546"/>
      <c r="E101" s="546"/>
      <c r="F101" s="546"/>
      <c r="G101" s="546"/>
      <c r="H101" s="546"/>
      <c r="I101" s="547"/>
      <c r="J101" s="553" cm="1">
        <f t="array" ref="J101">angleConvert2Decimal(M101)</f>
        <v>0.53333333333333333</v>
      </c>
      <c r="K101" s="345"/>
      <c r="L101" s="346"/>
      <c r="M101" s="559" t="str">
        <f>P103</f>
        <v>32'</v>
      </c>
      <c r="N101" s="560"/>
      <c r="O101" s="560"/>
      <c r="P101" s="565" t="s">
        <v>101</v>
      </c>
      <c r="Q101" s="565"/>
      <c r="R101" s="565"/>
      <c r="S101" s="14"/>
      <c r="T101" s="14"/>
      <c r="U101" s="14"/>
      <c r="V101" s="14"/>
      <c r="W101" s="14"/>
      <c r="X101" s="14"/>
      <c r="Y101" s="14"/>
      <c r="AB101" s="63"/>
      <c r="AC101" s="71" t="s">
        <v>200</v>
      </c>
      <c r="AD101" s="74">
        <v>0.5</v>
      </c>
      <c r="AE101" s="74">
        <v>-0.5</v>
      </c>
      <c r="AF101" s="74">
        <v>0</v>
      </c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customHeight="1" thickBot="1">
      <c r="C102" s="548"/>
      <c r="D102" s="377"/>
      <c r="E102" s="377"/>
      <c r="F102" s="377"/>
      <c r="G102" s="377"/>
      <c r="H102" s="377"/>
      <c r="I102" s="549"/>
      <c r="J102" s="554"/>
      <c r="K102" s="372"/>
      <c r="L102" s="555"/>
      <c r="M102" s="561"/>
      <c r="N102" s="562"/>
      <c r="O102" s="562"/>
      <c r="P102" s="565"/>
      <c r="Q102" s="565"/>
      <c r="R102" s="565"/>
      <c r="S102" s="14"/>
      <c r="T102" s="14"/>
      <c r="U102" s="14"/>
      <c r="V102" s="14"/>
      <c r="W102" s="14"/>
      <c r="X102" s="14"/>
      <c r="Y102" s="14"/>
      <c r="AB102" s="63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customHeight="1" thickTop="1" thickBot="1">
      <c r="C103" s="548"/>
      <c r="D103" s="377"/>
      <c r="E103" s="377"/>
      <c r="F103" s="377"/>
      <c r="G103" s="377"/>
      <c r="H103" s="377"/>
      <c r="I103" s="549"/>
      <c r="J103" s="554"/>
      <c r="K103" s="372"/>
      <c r="L103" s="555"/>
      <c r="M103" s="561"/>
      <c r="N103" s="562"/>
      <c r="O103" s="562"/>
      <c r="P103" s="528" t="str">
        <f>HLOOKUP(M95,AD96:AF98,3,FALSE)</f>
        <v>32'</v>
      </c>
      <c r="Q103" s="528"/>
      <c r="R103" s="528"/>
      <c r="S103" s="391" t="str" cm="1">
        <f t="array" ref="S103">angleDecimal2Txt(angleConvert2Decimal(P103))</f>
        <v>+00°32.00 (+00.5333) [+00°32'00.00]</v>
      </c>
      <c r="T103" s="391"/>
      <c r="U103" s="391"/>
      <c r="V103" s="391"/>
      <c r="W103" s="391"/>
      <c r="X103" s="392"/>
      <c r="Y103" s="14"/>
      <c r="AB103" s="6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thickTop="1" thickBot="1">
      <c r="C104" s="550"/>
      <c r="D104" s="551"/>
      <c r="E104" s="551"/>
      <c r="F104" s="551"/>
      <c r="G104" s="551"/>
      <c r="H104" s="551"/>
      <c r="I104" s="552"/>
      <c r="J104" s="556"/>
      <c r="K104" s="557"/>
      <c r="L104" s="558"/>
      <c r="M104" s="563"/>
      <c r="N104" s="564"/>
      <c r="O104" s="564"/>
      <c r="P104" s="527" t="str" cm="1">
        <f t="array" ref="P104">angleDecimal2Txt(J101)</f>
        <v>+00°32.00 (+00.5333) [+00°32'00.00]</v>
      </c>
      <c r="Q104" s="527"/>
      <c r="R104" s="527"/>
      <c r="S104" s="327"/>
      <c r="T104" s="327"/>
      <c r="U104" s="327"/>
      <c r="V104" s="327"/>
      <c r="W104" s="327"/>
      <c r="X104" s="327"/>
      <c r="Y104" s="14"/>
      <c r="AB104" s="63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customHeight="1" thickTop="1" thickBot="1"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AB105" s="63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customHeight="1" thickBot="1">
      <c r="B106" s="25" t="s">
        <v>214</v>
      </c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64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customHeight="1">
      <c r="C107" s="14"/>
      <c r="D107" s="14"/>
      <c r="E107" s="632" t="s">
        <v>7</v>
      </c>
      <c r="F107" s="632"/>
      <c r="G107" s="632"/>
      <c r="H107" s="632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AB107" s="6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customHeight="1">
      <c r="C108" s="14"/>
      <c r="D108" s="14"/>
      <c r="E108" s="632"/>
      <c r="F108" s="632"/>
      <c r="G108" s="632"/>
      <c r="H108" s="632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B108" s="6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customHeight="1">
      <c r="A109"/>
      <c r="B109"/>
      <c r="C109"/>
      <c r="D109" s="14"/>
      <c r="E109" s="14"/>
      <c r="F109" s="677">
        <f>F36</f>
        <v>46.1</v>
      </c>
      <c r="G109" s="678"/>
      <c r="H109" s="678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 s="14"/>
      <c r="Z109" s="14"/>
      <c r="AB109" s="6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31"/>
    </row>
    <row r="110" spans="1:66" s="16" customFormat="1" ht="17.25" customHeight="1">
      <c r="A110"/>
      <c r="B110"/>
      <c r="C110"/>
      <c r="D110" s="14"/>
      <c r="E110" s="14"/>
      <c r="F110" s="678"/>
      <c r="G110" s="678"/>
      <c r="H110" s="678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 s="14"/>
      <c r="Z110" s="14"/>
      <c r="AB110" s="6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31"/>
    </row>
    <row r="111" spans="1:66" s="16" customFormat="1" ht="17.25" customHeight="1">
      <c r="A111"/>
      <c r="B111"/>
      <c r="C111"/>
      <c r="D111" s="14"/>
      <c r="E111" s="14"/>
      <c r="F111" s="14"/>
      <c r="G111" s="14"/>
      <c r="H111" s="14"/>
      <c r="AB111" s="6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31"/>
    </row>
    <row r="112" spans="1:66" s="16" customFormat="1" ht="17.25" customHeight="1" thickBot="1">
      <c r="C112" s="61"/>
      <c r="D112" s="61"/>
      <c r="E112" s="61"/>
      <c r="F112" s="61"/>
      <c r="G112" s="61"/>
      <c r="AB112" s="6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2:66" s="16" customFormat="1" ht="17.25" customHeight="1" thickBot="1">
      <c r="B113" s="25" t="s">
        <v>9</v>
      </c>
      <c r="C113" s="26"/>
      <c r="D113" s="26"/>
      <c r="E113" s="26"/>
      <c r="F113" s="379">
        <f>IF(G114=AD114,F118,F126)</f>
        <v>23.13413311648976</v>
      </c>
      <c r="G113" s="379"/>
      <c r="H113" s="379"/>
      <c r="I113" s="26"/>
      <c r="J113" s="26"/>
      <c r="K113" s="26" t="str" cm="1">
        <f t="array" ref="K113">angleDecimal2Txt(F113)</f>
        <v>+23°08.04 (+23.1341) [+23°08'02.87]</v>
      </c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66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33" customFormat="1" ht="17.25" customHeight="1">
      <c r="C114" s="377" t="s">
        <v>35</v>
      </c>
      <c r="D114" s="377"/>
      <c r="E114" s="377"/>
      <c r="F114" s="377"/>
      <c r="G114" s="383" t="s">
        <v>10</v>
      </c>
      <c r="H114" s="383"/>
      <c r="I114" s="383"/>
      <c r="AB114" s="67"/>
      <c r="AC114" s="596" t="s">
        <v>36</v>
      </c>
      <c r="AD114" s="70" t="s">
        <v>10</v>
      </c>
      <c r="AE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</row>
    <row r="115" spans="2:66" s="16" customFormat="1" ht="17.25" customHeight="1">
      <c r="C115" s="34" t="s">
        <v>10</v>
      </c>
      <c r="D115" s="34"/>
      <c r="E115" s="35"/>
      <c r="F115" s="35"/>
      <c r="G115" s="14"/>
      <c r="H115" s="14"/>
      <c r="I115" s="14"/>
      <c r="AB115" s="63"/>
      <c r="AC115" s="596"/>
      <c r="AD115" s="70" t="s">
        <v>14</v>
      </c>
      <c r="AE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>
      <c r="C116" s="61"/>
      <c r="D116" s="61"/>
      <c r="E116" s="61"/>
      <c r="F116" s="388" t="s">
        <v>9</v>
      </c>
      <c r="G116" s="388"/>
      <c r="H116" s="388"/>
      <c r="I116" s="365" t="s">
        <v>12</v>
      </c>
      <c r="J116" s="381"/>
      <c r="K116" s="381"/>
      <c r="L116" s="366"/>
      <c r="M116" s="380" t="s">
        <v>13</v>
      </c>
      <c r="N116" s="380"/>
      <c r="O116" s="380"/>
      <c r="P116" s="390" t="s">
        <v>15</v>
      </c>
      <c r="Q116" s="390"/>
      <c r="R116" s="390"/>
      <c r="S116" s="390"/>
      <c r="T116" s="390"/>
      <c r="U116" s="14"/>
      <c r="AB116" s="63"/>
      <c r="AC116"/>
      <c r="AD116" s="75" t="s">
        <v>73</v>
      </c>
      <c r="AE116" s="3" t="s">
        <v>191</v>
      </c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Bot="1">
      <c r="C117" s="61"/>
      <c r="D117" s="61"/>
      <c r="E117" s="61"/>
      <c r="F117" s="388"/>
      <c r="G117" s="388"/>
      <c r="H117" s="388"/>
      <c r="I117" s="369"/>
      <c r="J117" s="382"/>
      <c r="K117" s="382"/>
      <c r="L117" s="370"/>
      <c r="M117" s="380"/>
      <c r="N117" s="380"/>
      <c r="O117" s="380"/>
      <c r="P117" s="390"/>
      <c r="Q117" s="390"/>
      <c r="R117" s="390"/>
      <c r="S117" s="390"/>
      <c r="T117" s="390"/>
      <c r="U117" s="14"/>
      <c r="AB117" s="63"/>
      <c r="AC117" s="3" t="s">
        <v>183</v>
      </c>
      <c r="AD117" s="3">
        <f>VLOOKUP(P118,Outils!C9:E10,3)</f>
        <v>1</v>
      </c>
      <c r="AE117" s="3" cm="1">
        <f t="array" ref="AE117">AD117*angleConvert2Decimal(Q118)</f>
        <v>23.135000000000002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s="16" customFormat="1" ht="17.25" customHeight="1" thickTop="1" thickBot="1">
      <c r="C118" s="61"/>
      <c r="D118" s="61"/>
      <c r="F118" s="461">
        <f>IF(G114=AD115,"---",AD122)</f>
        <v>23.13413311648976</v>
      </c>
      <c r="G118" s="461"/>
      <c r="H118" s="461"/>
      <c r="I118" s="452">
        <f>E84</f>
        <v>12.520130106144013</v>
      </c>
      <c r="J118" s="453"/>
      <c r="K118" s="453"/>
      <c r="L118" s="454"/>
      <c r="M118" s="599">
        <v>12</v>
      </c>
      <c r="N118" s="386"/>
      <c r="O118" s="386"/>
      <c r="P118" s="386" t="s">
        <v>3</v>
      </c>
      <c r="Q118" s="529" t="s">
        <v>272</v>
      </c>
      <c r="R118" s="592"/>
      <c r="S118" s="592"/>
      <c r="T118" s="592"/>
      <c r="U118" s="350" t="str" cm="1">
        <f t="array" ref="U118">angleDecimal2Txt(AE117)</f>
        <v>+23°08.09 (+23.1350) [+23°08'06.00]</v>
      </c>
      <c r="V118" s="524"/>
      <c r="W118" s="524"/>
      <c r="X118" s="524"/>
      <c r="Y118" s="524"/>
      <c r="AB118" s="63"/>
      <c r="AC118" s="3" t="s">
        <v>184</v>
      </c>
      <c r="AD118" s="3">
        <f>VLOOKUP(P120,Outils!C9:E10,3)</f>
        <v>1</v>
      </c>
      <c r="AE118" s="3" cm="1">
        <f t="array" ref="AE118">AD118*angleConvert2Decimal(Q120)</f>
        <v>23.133333333333333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2:66" s="16" customFormat="1" ht="17.25" customHeight="1" thickTop="1" thickBot="1">
      <c r="C119" s="61"/>
      <c r="D119" s="61"/>
      <c r="E119" s="61"/>
      <c r="F119" s="462"/>
      <c r="G119" s="462"/>
      <c r="H119" s="462"/>
      <c r="I119" s="401"/>
      <c r="J119" s="455"/>
      <c r="K119" s="455"/>
      <c r="L119" s="456"/>
      <c r="M119" s="595"/>
      <c r="N119" s="387"/>
      <c r="O119" s="387"/>
      <c r="P119" s="387"/>
      <c r="Q119" s="593"/>
      <c r="R119" s="593"/>
      <c r="S119" s="593"/>
      <c r="T119" s="593"/>
      <c r="U119" s="524"/>
      <c r="V119" s="524"/>
      <c r="W119" s="524"/>
      <c r="X119" s="524"/>
      <c r="Y119" s="524"/>
      <c r="AB119" s="63"/>
      <c r="AC119" s="3" t="s">
        <v>38</v>
      </c>
      <c r="AD119" s="5">
        <f>AE118-AE117</f>
        <v>-1.6666666666687036E-3</v>
      </c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Top="1" thickBot="1">
      <c r="C120" s="61"/>
      <c r="D120" s="61"/>
      <c r="E120" s="61"/>
      <c r="F120" s="462"/>
      <c r="G120" s="462"/>
      <c r="H120" s="462"/>
      <c r="I120" s="401"/>
      <c r="J120" s="455"/>
      <c r="K120" s="455"/>
      <c r="L120" s="456"/>
      <c r="M120" s="595">
        <v>13</v>
      </c>
      <c r="N120" s="387"/>
      <c r="O120" s="387"/>
      <c r="P120" s="387" t="s">
        <v>3</v>
      </c>
      <c r="Q120" s="637" t="s">
        <v>275</v>
      </c>
      <c r="R120" s="593"/>
      <c r="S120" s="593"/>
      <c r="T120" s="593"/>
      <c r="U120" s="350" t="str" cm="1">
        <f t="array" ref="U120">angleDecimal2Txt((AE118))</f>
        <v>+23°08.00 (+23.1333) [+23°08'00.00]</v>
      </c>
      <c r="V120" s="524"/>
      <c r="W120" s="524"/>
      <c r="X120" s="524"/>
      <c r="Y120" s="524"/>
      <c r="AB120" s="63"/>
      <c r="AC120" s="3" t="s">
        <v>185</v>
      </c>
      <c r="AD120" s="5">
        <f>M120-M118</f>
        <v>1</v>
      </c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s="16" customFormat="1" ht="17.25" customHeight="1" thickTop="1" thickBot="1">
      <c r="C121" s="61"/>
      <c r="D121" s="61"/>
      <c r="E121" s="61"/>
      <c r="F121" s="462"/>
      <c r="G121" s="462"/>
      <c r="H121" s="462"/>
      <c r="I121" s="580"/>
      <c r="J121" s="670"/>
      <c r="K121" s="670"/>
      <c r="L121" s="581"/>
      <c r="M121" s="595"/>
      <c r="N121" s="387"/>
      <c r="O121" s="387"/>
      <c r="P121" s="387"/>
      <c r="Q121" s="593"/>
      <c r="R121" s="593"/>
      <c r="S121" s="593"/>
      <c r="T121" s="593"/>
      <c r="U121" s="524"/>
      <c r="V121" s="524"/>
      <c r="W121" s="524"/>
      <c r="X121" s="524"/>
      <c r="Y121" s="524"/>
      <c r="AB121" s="63"/>
      <c r="AC121" s="3" t="s">
        <v>39</v>
      </c>
      <c r="AD121" s="5">
        <f>I118-M118</f>
        <v>0.52013010614401267</v>
      </c>
      <c r="AE121"/>
      <c r="AF121"/>
      <c r="AG121"/>
      <c r="AH121"/>
      <c r="AI121" s="1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2:66" s="16" customFormat="1" ht="17.25" customHeight="1" thickTop="1" thickBot="1">
      <c r="C122" s="61"/>
      <c r="D122" s="61"/>
      <c r="E122" s="61"/>
      <c r="F122" s="327" t="str" cm="1">
        <f t="array" ref="F122">angleDecimal2Txt(F118)</f>
        <v>+23°08.04 (+23.1341) [+23°08'02.87]</v>
      </c>
      <c r="G122" s="327"/>
      <c r="H122" s="327"/>
      <c r="I122" s="527"/>
      <c r="J122" s="527"/>
      <c r="K122" s="527"/>
      <c r="AA122" s="14"/>
      <c r="AB122" s="63"/>
      <c r="AC122" s="3" t="s">
        <v>37</v>
      </c>
      <c r="AD122" s="3">
        <f>AE117+(AD119/AD120)*AD121</f>
        <v>23.13413311648976</v>
      </c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16" customFormat="1" ht="17.25" customHeight="1" thickTop="1">
      <c r="C123" s="34" t="s">
        <v>14</v>
      </c>
      <c r="D123" s="34"/>
      <c r="E123" s="35"/>
      <c r="F123" s="35"/>
      <c r="G123" s="14"/>
      <c r="H123" s="14"/>
      <c r="I123" s="14"/>
      <c r="AA123" s="14"/>
      <c r="AB123" s="6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2:66" s="16" customFormat="1" ht="17.25" customHeight="1">
      <c r="C124" s="14"/>
      <c r="D124" s="14"/>
      <c r="E124" s="14"/>
      <c r="F124" s="388" t="s">
        <v>9</v>
      </c>
      <c r="G124" s="388"/>
      <c r="H124" s="388"/>
      <c r="I124" s="365" t="s">
        <v>12</v>
      </c>
      <c r="J124" s="381"/>
      <c r="K124" s="381"/>
      <c r="L124" s="366"/>
      <c r="M124" s="380" t="s">
        <v>13</v>
      </c>
      <c r="N124" s="380"/>
      <c r="O124" s="380"/>
      <c r="P124" s="390" t="s">
        <v>16</v>
      </c>
      <c r="Q124" s="390"/>
      <c r="R124" s="390"/>
      <c r="S124" s="390"/>
      <c r="T124" s="390"/>
      <c r="U124" s="390" t="s">
        <v>142</v>
      </c>
      <c r="V124" s="390"/>
      <c r="W124" s="390"/>
      <c r="X124" s="390"/>
      <c r="Y124" s="390"/>
      <c r="AA124" s="14"/>
      <c r="AB124" s="63"/>
      <c r="AC124" s="3" t="s">
        <v>186</v>
      </c>
      <c r="AD124" s="3">
        <f>VLOOKUP(P126,Outils!C9:E10,3)</f>
        <v>-1</v>
      </c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7.25" customHeight="1">
      <c r="C125" s="61"/>
      <c r="D125" s="61"/>
      <c r="E125" s="61"/>
      <c r="F125" s="388"/>
      <c r="G125" s="388"/>
      <c r="H125" s="388"/>
      <c r="I125" s="369"/>
      <c r="J125" s="382"/>
      <c r="K125" s="382"/>
      <c r="L125" s="370"/>
      <c r="M125" s="380"/>
      <c r="N125" s="380"/>
      <c r="O125" s="380"/>
      <c r="P125" s="390"/>
      <c r="Q125" s="390"/>
      <c r="R125" s="390"/>
      <c r="S125" s="390"/>
      <c r="T125" s="390"/>
      <c r="U125" s="390"/>
      <c r="V125" s="390"/>
      <c r="W125" s="390"/>
      <c r="X125" s="390"/>
      <c r="Y125" s="390"/>
      <c r="Z125" s="14"/>
      <c r="AA125" s="14"/>
      <c r="AB125" s="63"/>
      <c r="AC125" s="3" t="s">
        <v>187</v>
      </c>
      <c r="AD125" s="3" cm="1">
        <f t="array" ref="AD125">angleConvert2Decimal(Q126)*AD124</f>
        <v>-12.24</v>
      </c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7.25" customHeight="1">
      <c r="C126" s="61"/>
      <c r="D126" s="61"/>
      <c r="F126" s="461" t="str">
        <f>IF(G114=AD115,AD128,"---")</f>
        <v>---</v>
      </c>
      <c r="G126" s="461"/>
      <c r="H126" s="461"/>
      <c r="I126" s="452">
        <f>E84</f>
        <v>12.520130106144013</v>
      </c>
      <c r="J126" s="453"/>
      <c r="K126" s="453"/>
      <c r="L126" s="454"/>
      <c r="M126" s="599">
        <v>0</v>
      </c>
      <c r="N126" s="386"/>
      <c r="O126" s="386"/>
      <c r="P126" s="386" t="s">
        <v>4</v>
      </c>
      <c r="Q126" s="602" t="s">
        <v>136</v>
      </c>
      <c r="R126" s="386"/>
      <c r="S126" s="386"/>
      <c r="T126" s="386"/>
      <c r="U126" s="386" t="s">
        <v>4</v>
      </c>
      <c r="V126" s="602" t="s">
        <v>117</v>
      </c>
      <c r="W126" s="386"/>
      <c r="X126" s="386"/>
      <c r="Y126" s="386"/>
      <c r="Z126" s="14"/>
      <c r="AB126" s="63"/>
      <c r="AC126" s="3" t="s">
        <v>188</v>
      </c>
      <c r="AD126" s="3">
        <f>VLOOKUP(U126,Outils!C9:E10,3)</f>
        <v>-1</v>
      </c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7.25" customHeight="1" collapsed="1" thickBot="1">
      <c r="C127" s="61"/>
      <c r="D127" s="61"/>
      <c r="E127" s="61"/>
      <c r="F127" s="462"/>
      <c r="G127" s="462"/>
      <c r="H127" s="462"/>
      <c r="I127" s="580"/>
      <c r="J127" s="670"/>
      <c r="K127" s="670"/>
      <c r="L127" s="581"/>
      <c r="M127" s="595"/>
      <c r="N127" s="387"/>
      <c r="O127" s="387"/>
      <c r="P127" s="387"/>
      <c r="Q127" s="387"/>
      <c r="R127" s="387"/>
      <c r="S127" s="387"/>
      <c r="T127" s="387"/>
      <c r="U127" s="387"/>
      <c r="V127" s="387"/>
      <c r="W127" s="387"/>
      <c r="X127" s="387"/>
      <c r="Y127" s="387"/>
      <c r="Z127" s="14"/>
      <c r="AB127" s="63"/>
      <c r="AC127" s="3" t="s">
        <v>189</v>
      </c>
      <c r="AD127" s="3" cm="1">
        <f t="array" ref="AD127">angleConvert2Decimal(V126)*AD126</f>
        <v>-1.6E-2</v>
      </c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7.25" customHeight="1" thickTop="1" thickBot="1">
      <c r="C128" s="61"/>
      <c r="D128" s="61"/>
      <c r="E128" s="61"/>
      <c r="F128" s="327" t="e" cm="1">
        <f t="array" ref="F128">angleDecimal2Txt(F126)</f>
        <v>#VALUE!</v>
      </c>
      <c r="G128" s="327"/>
      <c r="H128" s="327"/>
      <c r="I128" s="527"/>
      <c r="J128" s="527"/>
      <c r="K128" s="527"/>
      <c r="P128" s="327" t="str" cm="1">
        <f t="array" ref="P128">angleDecimal2Txt(AD125)</f>
        <v>-12°14.40 (-12.2400) [-12°14'24.00]</v>
      </c>
      <c r="Q128" s="327"/>
      <c r="R128" s="327"/>
      <c r="S128" s="327"/>
      <c r="T128" s="327"/>
      <c r="U128" s="327" t="str" cm="1">
        <f t="array" ref="U128">angleDecimal2Txt(AD127)</f>
        <v>-00°00.96 (-00.0160) [-00°00'57.60]</v>
      </c>
      <c r="V128" s="538"/>
      <c r="W128" s="538"/>
      <c r="X128" s="538"/>
      <c r="Y128" s="538"/>
      <c r="AB128" s="63"/>
      <c r="AC128" s="3" t="s">
        <v>190</v>
      </c>
      <c r="AD128" s="3">
        <f>AD125+AD127*(I126-M126)</f>
        <v>-12.440322081698305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7" s="16" customFormat="1" ht="17.25" customHeight="1" thickTop="1">
      <c r="C129" s="61"/>
      <c r="D129" s="61"/>
      <c r="E129" s="61"/>
      <c r="F129" s="61"/>
      <c r="G129" s="61"/>
      <c r="S129" s="14"/>
      <c r="T129" s="14"/>
      <c r="U129" s="14"/>
      <c r="V129" s="14"/>
      <c r="W129" s="14"/>
      <c r="X129" s="14"/>
      <c r="AB129" s="63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7" s="16" customFormat="1" ht="17.25" customHeight="1" thickBot="1">
      <c r="C130" s="61"/>
      <c r="D130" s="61"/>
      <c r="E130" s="61"/>
      <c r="F130" s="61"/>
      <c r="G130" s="61"/>
      <c r="S130" s="14"/>
      <c r="T130" s="14"/>
      <c r="U130" s="14"/>
      <c r="V130" s="14"/>
      <c r="W130" s="14"/>
      <c r="X130" s="14"/>
      <c r="AB130" s="63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7" s="16" customFormat="1" ht="17.25" customHeight="1" thickBot="1">
      <c r="B131" s="25" t="s">
        <v>23</v>
      </c>
      <c r="C131" s="26"/>
      <c r="D131" s="569" t="s">
        <v>72</v>
      </c>
      <c r="E131" s="573"/>
      <c r="F131" s="379">
        <f>IF(G132=AD132,O171,O161)</f>
        <v>67.147622184360216</v>
      </c>
      <c r="G131" s="379"/>
      <c r="H131" s="379"/>
      <c r="I131" s="26"/>
      <c r="J131" s="26"/>
      <c r="K131" s="26"/>
      <c r="L131" s="26" t="s">
        <v>60</v>
      </c>
      <c r="M131" s="569">
        <f>O134</f>
        <v>66.95</v>
      </c>
      <c r="N131" s="569"/>
      <c r="O131" s="26"/>
      <c r="P131" s="62"/>
      <c r="Q131" s="26" t="s">
        <v>99</v>
      </c>
      <c r="R131" s="26"/>
      <c r="S131" s="605">
        <f>-O148+O143+O152</f>
        <v>0.260725308404401</v>
      </c>
      <c r="T131" s="606"/>
      <c r="U131" s="607"/>
      <c r="V131" s="674" t="str" cm="1">
        <f t="array" ref="V131">angleDecimal2Txt(S131)</f>
        <v>+00°15.64 (+00.2607) [+00°15'38.61]</v>
      </c>
      <c r="W131" s="675"/>
      <c r="X131" s="675"/>
      <c r="Y131" s="675"/>
      <c r="Z131" s="676"/>
      <c r="AA131" s="26"/>
      <c r="AB131" s="66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7" s="16" customFormat="1" ht="17.25" customHeight="1">
      <c r="C132" s="377" t="s">
        <v>35</v>
      </c>
      <c r="D132" s="377"/>
      <c r="E132" s="377"/>
      <c r="F132" s="377"/>
      <c r="G132" s="537" t="s">
        <v>51</v>
      </c>
      <c r="H132" s="537"/>
      <c r="I132" s="537"/>
      <c r="P132" s="16" t="s">
        <v>69</v>
      </c>
      <c r="V132" s="14"/>
      <c r="W132" s="14"/>
      <c r="X132" s="14"/>
      <c r="Y132" s="14"/>
      <c r="Z132" s="14"/>
      <c r="AB132" s="63"/>
      <c r="AC132" s="596" t="s">
        <v>36</v>
      </c>
      <c r="AD132" s="70" t="s">
        <v>50</v>
      </c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7" s="16" customFormat="1" ht="17.25" customHeight="1" thickBot="1">
      <c r="C133" s="33"/>
      <c r="D133" s="33"/>
      <c r="E133" s="33"/>
      <c r="F133" s="440" t="s">
        <v>62</v>
      </c>
      <c r="G133" s="440"/>
      <c r="H133" s="539"/>
      <c r="I133" s="539"/>
      <c r="J133" s="671">
        <f>IF(G132=AD132,"---",O161)</f>
        <v>67.147622184360216</v>
      </c>
      <c r="K133" s="672"/>
      <c r="L133" s="673"/>
      <c r="M133" s="110"/>
      <c r="N133" s="110"/>
      <c r="O133" s="110"/>
      <c r="P133" s="110"/>
      <c r="Q133" s="110"/>
      <c r="R133" s="110"/>
      <c r="S133" s="110"/>
      <c r="T133" s="110"/>
      <c r="U133" s="110"/>
      <c r="V133" s="111"/>
      <c r="W133" s="111"/>
      <c r="X133" s="111"/>
      <c r="Y133" s="111"/>
      <c r="Z133" s="111"/>
      <c r="AB133" s="63"/>
      <c r="AC133" s="596"/>
      <c r="AD133" s="70" t="s">
        <v>51</v>
      </c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7" s="16" customFormat="1" ht="17.25" customHeight="1" thickTop="1" thickBot="1">
      <c r="H134" s="666" t="s">
        <v>47</v>
      </c>
      <c r="I134" s="667"/>
      <c r="J134" s="667"/>
      <c r="K134" s="667"/>
      <c r="L134" s="667"/>
      <c r="M134" s="667"/>
      <c r="N134" s="668"/>
      <c r="O134" s="397">
        <f>J94</f>
        <v>66.95</v>
      </c>
      <c r="P134" s="397"/>
      <c r="Q134" s="397"/>
      <c r="R134" s="397"/>
      <c r="S134" s="16" t="s">
        <v>54</v>
      </c>
      <c r="U134" s="450" t="str" cm="1">
        <f t="array" ref="U134">angleDecimal2Txt(O134)</f>
        <v>+66°57.00 (+66.9500) [+66°57'00.00]</v>
      </c>
      <c r="V134" s="451"/>
      <c r="W134" s="451"/>
      <c r="X134" s="451"/>
      <c r="Y134" s="451"/>
      <c r="Z134" s="337"/>
      <c r="AB134" s="63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7" s="16" customFormat="1" ht="17.25" customHeight="1" thickTop="1" thickBot="1">
      <c r="H135" s="666" t="s">
        <v>24</v>
      </c>
      <c r="I135" s="667"/>
      <c r="J135" s="667"/>
      <c r="K135" s="667"/>
      <c r="L135" s="667"/>
      <c r="M135" s="667"/>
      <c r="N135" s="668"/>
      <c r="O135" s="397">
        <f>J93</f>
        <v>2.1666666666666667E-2</v>
      </c>
      <c r="P135" s="397"/>
      <c r="Q135" s="397"/>
      <c r="R135" s="397"/>
      <c r="S135" s="16" t="s">
        <v>54</v>
      </c>
      <c r="U135" s="450" t="str" cm="1">
        <f t="array" ref="U135">angleDecimal2Txt(O135)</f>
        <v>+00°01.30 (+00.0216) [+00°01'18.00]</v>
      </c>
      <c r="V135" s="451"/>
      <c r="W135" s="451"/>
      <c r="X135" s="451"/>
      <c r="Y135" s="451"/>
      <c r="Z135" s="337"/>
      <c r="AB135" s="63"/>
      <c r="AC135" s="3" t="s">
        <v>59</v>
      </c>
      <c r="AD135" s="5">
        <f>O135</f>
        <v>2.1666666666666667E-2</v>
      </c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7" s="16" customFormat="1" ht="17.25" customHeight="1" thickTop="1" thickBot="1">
      <c r="C136" s="61"/>
      <c r="D136" s="61"/>
      <c r="E136" s="61"/>
      <c r="F136" s="61"/>
      <c r="H136" s="666" t="s">
        <v>68</v>
      </c>
      <c r="I136" s="667"/>
      <c r="J136" s="667"/>
      <c r="K136" s="667"/>
      <c r="L136" s="667"/>
      <c r="M136" s="667"/>
      <c r="N136" s="668"/>
      <c r="O136" s="330">
        <f>AD137</f>
        <v>4.1436457377531689E-2</v>
      </c>
      <c r="P136" s="330"/>
      <c r="Q136" s="330"/>
      <c r="R136" s="330"/>
      <c r="S136" s="16" t="s">
        <v>54</v>
      </c>
      <c r="U136" s="450" t="str" cm="1">
        <f t="array" ref="U136">angleDecimal2Txt(O136)</f>
        <v>+00°02.48 (+00.0414) [+00°02'29.17]</v>
      </c>
      <c r="V136" s="451"/>
      <c r="W136" s="451"/>
      <c r="X136" s="451"/>
      <c r="Y136" s="451"/>
      <c r="Z136" s="337"/>
      <c r="AB136" s="63"/>
      <c r="AC136" s="3" t="s">
        <v>46</v>
      </c>
      <c r="AD136" s="3">
        <f>J92</f>
        <v>2</v>
      </c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7" s="16" customFormat="1" ht="17.25" customHeight="1" thickTop="1" thickBot="1">
      <c r="C137" s="61"/>
      <c r="D137" s="61"/>
      <c r="E137" s="61"/>
      <c r="F137" s="61"/>
      <c r="G137" s="61"/>
      <c r="K137" s="14"/>
      <c r="L137" s="14"/>
      <c r="M137" s="579" t="s">
        <v>122</v>
      </c>
      <c r="N137" s="579"/>
      <c r="O137" s="579"/>
      <c r="P137" s="579"/>
      <c r="Q137" s="14"/>
      <c r="R137" s="14"/>
      <c r="U137" s="14"/>
      <c r="V137" s="14"/>
      <c r="W137" s="14"/>
      <c r="X137" s="14"/>
      <c r="Y137" s="14"/>
      <c r="Z137" s="14"/>
      <c r="AB137" s="63"/>
      <c r="AC137" s="76" t="s">
        <v>67</v>
      </c>
      <c r="AD137" s="3">
        <f>0.0293 * SQRT(AD136)</f>
        <v>4.1436457377531689E-2</v>
      </c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7" s="16" customFormat="1" ht="17.25" customHeight="1" thickTop="1" thickBot="1">
      <c r="C138" s="61"/>
      <c r="D138" s="61"/>
      <c r="E138" s="61"/>
      <c r="F138" s="61"/>
      <c r="H138" s="669" t="s">
        <v>507</v>
      </c>
      <c r="I138" s="428"/>
      <c r="J138" s="428"/>
      <c r="K138" s="428"/>
      <c r="L138" s="428"/>
      <c r="M138" s="428"/>
      <c r="N138" s="429"/>
      <c r="O138" s="463">
        <f>O134-O135-O136</f>
        <v>66.886896875955813</v>
      </c>
      <c r="P138" s="439"/>
      <c r="Q138" s="16" t="s">
        <v>54</v>
      </c>
      <c r="R138" s="469">
        <f>O138*Outils!F4</f>
        <v>1.1673965769273382</v>
      </c>
      <c r="S138" s="469"/>
      <c r="T138" s="37" t="s">
        <v>64</v>
      </c>
      <c r="U138" s="450" t="str" cm="1">
        <f t="array" ref="U138">angleDecimal2Txt(O138)</f>
        <v>+66°53.21 (+66.8868) [+66°53'12.82]</v>
      </c>
      <c r="V138" s="451"/>
      <c r="W138" s="451"/>
      <c r="X138" s="451"/>
      <c r="Y138" s="451"/>
      <c r="Z138" s="337"/>
      <c r="AB138" s="63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7" s="16" customFormat="1" ht="17.25" customHeight="1" thickTop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U139" s="14"/>
      <c r="V139" s="14"/>
      <c r="W139" s="14"/>
      <c r="X139" s="14"/>
      <c r="Y139" s="14"/>
      <c r="Z139" s="14"/>
      <c r="AB139" s="63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7" s="16" customFormat="1" ht="17.25" customHeight="1">
      <c r="C140" s="61"/>
      <c r="D140" s="61"/>
      <c r="E140" s="61"/>
      <c r="F140" s="61"/>
      <c r="H140" s="14"/>
      <c r="I140" s="14"/>
      <c r="J140" s="14"/>
      <c r="K140" s="14"/>
      <c r="L140" s="14"/>
      <c r="M140" s="465" t="s">
        <v>61</v>
      </c>
      <c r="N140" s="465"/>
      <c r="O140" s="465"/>
      <c r="P140" s="465"/>
      <c r="Q140" s="14"/>
      <c r="R140" s="14"/>
      <c r="U140" s="14"/>
      <c r="V140" s="14"/>
      <c r="W140" s="14"/>
      <c r="X140" s="14"/>
      <c r="Y140" s="14"/>
      <c r="Z140" s="14"/>
      <c r="AB140" s="63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7" s="16" customFormat="1" ht="17.25" customHeight="1" thickBot="1">
      <c r="M141" s="466" t="s">
        <v>150</v>
      </c>
      <c r="N141" s="466"/>
      <c r="O141" s="465"/>
      <c r="P141" s="465"/>
      <c r="AB141" s="63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7" ht="17.25" customHeight="1" thickTop="1" thickBot="1">
      <c r="A142" s="14"/>
      <c r="B142" s="14"/>
      <c r="C142" s="14"/>
      <c r="D142" s="14"/>
      <c r="E142" s="14"/>
      <c r="F142" s="16"/>
      <c r="G142" s="16"/>
      <c r="H142" s="623" t="s">
        <v>52</v>
      </c>
      <c r="I142" s="624"/>
      <c r="J142" s="624"/>
      <c r="K142" s="624"/>
      <c r="L142" s="624"/>
      <c r="M142" s="624"/>
      <c r="N142" s="625"/>
      <c r="O142" s="467">
        <f>J97</f>
        <v>2.8833333333333332E-3</v>
      </c>
      <c r="P142" s="468"/>
      <c r="Q142" s="468"/>
      <c r="R142" s="468"/>
      <c r="S142" s="16" t="s">
        <v>54</v>
      </c>
      <c r="T142" s="16"/>
      <c r="U142" s="450" t="str" cm="1">
        <f t="array" ref="U142">angleDecimal2Txt(O142)</f>
        <v>+00°00.17 (+00.0028) [+00°00'10.37]</v>
      </c>
      <c r="V142" s="451"/>
      <c r="W142" s="451"/>
      <c r="X142" s="451"/>
      <c r="Y142" s="451"/>
      <c r="Z142" s="337"/>
      <c r="AA142" s="16"/>
      <c r="AB142" s="63"/>
      <c r="AC142" s="3" t="s">
        <v>194</v>
      </c>
      <c r="AD142" s="3">
        <f>O142*COS(R138)</f>
        <v>1.1318451843031962E-3</v>
      </c>
      <c r="BN142" s="24"/>
      <c r="BO142" s="16"/>
    </row>
    <row r="143" spans="1:67" ht="17.25" customHeight="1" thickTop="1" thickBot="1">
      <c r="A143" s="14"/>
      <c r="B143" s="14"/>
      <c r="C143" s="14"/>
      <c r="D143" s="14"/>
      <c r="E143" s="14"/>
      <c r="F143" s="16"/>
      <c r="G143" s="16"/>
      <c r="H143" s="427" t="s">
        <v>151</v>
      </c>
      <c r="I143" s="428"/>
      <c r="J143" s="428"/>
      <c r="K143" s="428"/>
      <c r="L143" s="428"/>
      <c r="M143" s="428"/>
      <c r="N143" s="429"/>
      <c r="O143" s="329">
        <f>AD142</f>
        <v>1.1318451843031962E-3</v>
      </c>
      <c r="P143" s="329"/>
      <c r="Q143" s="329"/>
      <c r="R143" s="329"/>
      <c r="S143" s="16" t="s">
        <v>54</v>
      </c>
      <c r="T143" s="16"/>
      <c r="U143" s="450" t="str" cm="1">
        <f t="array" ref="U143">angleDecimal2Txt(O143)</f>
        <v>+00°00.06 (+00.0011) [+00°00'04.07]</v>
      </c>
      <c r="V143" s="451"/>
      <c r="W143" s="451"/>
      <c r="X143" s="451"/>
      <c r="Y143" s="451"/>
      <c r="Z143" s="337"/>
      <c r="AA143" s="16"/>
      <c r="AB143" s="63"/>
      <c r="BN143" s="24"/>
      <c r="BO143" s="16"/>
    </row>
    <row r="144" spans="1:67" ht="17.25" customHeight="1" thickTop="1">
      <c r="A144" s="14"/>
      <c r="B144" s="14"/>
      <c r="C144" s="14"/>
      <c r="D144" s="14"/>
      <c r="E144" s="14"/>
      <c r="F144" s="16"/>
      <c r="G144" s="16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6"/>
      <c r="AB144" s="63"/>
      <c r="BN144" s="24"/>
      <c r="BO144" s="16"/>
    </row>
    <row r="145" spans="1:67" ht="17.25" customHeight="1">
      <c r="A145" s="14"/>
      <c r="B145" s="14"/>
      <c r="C145" s="14"/>
      <c r="D145" s="14"/>
      <c r="E145" s="61"/>
      <c r="F145" s="16"/>
      <c r="G145" s="16"/>
      <c r="H145" s="14"/>
      <c r="I145" s="14"/>
      <c r="J145" s="14"/>
      <c r="K145" s="14"/>
      <c r="L145" s="14"/>
      <c r="M145" s="14"/>
      <c r="N145" s="14"/>
      <c r="O145" s="14"/>
      <c r="P145" s="16"/>
      <c r="Q145" s="16"/>
      <c r="R145" s="16"/>
      <c r="S145" s="476" t="s">
        <v>135</v>
      </c>
      <c r="T145" s="477"/>
      <c r="U145" s="478"/>
      <c r="V145" s="16"/>
      <c r="W145" s="16"/>
      <c r="X145" s="16"/>
      <c r="Y145" s="14"/>
      <c r="Z145" s="14"/>
      <c r="AA145" s="16"/>
      <c r="AB145" s="63"/>
      <c r="AC145" s="3" t="s">
        <v>49</v>
      </c>
      <c r="AD145" s="3" t="s">
        <v>196</v>
      </c>
      <c r="BN145" s="24"/>
      <c r="BO145" s="16"/>
    </row>
    <row r="146" spans="1:67" ht="17.25" customHeight="1">
      <c r="A146" s="14"/>
      <c r="B146" s="14"/>
      <c r="C146" s="14"/>
      <c r="D146" s="14"/>
      <c r="E146" s="61"/>
      <c r="F146" s="16"/>
      <c r="G146" s="16"/>
      <c r="H146" s="623" t="s">
        <v>65</v>
      </c>
      <c r="I146" s="624"/>
      <c r="J146" s="624"/>
      <c r="K146" s="624"/>
      <c r="L146" s="624"/>
      <c r="M146" s="624"/>
      <c r="N146" s="625"/>
      <c r="O146" s="430">
        <f>S146</f>
        <v>10</v>
      </c>
      <c r="P146" s="431"/>
      <c r="Q146" s="431"/>
      <c r="R146" s="431"/>
      <c r="S146" s="576">
        <v>10</v>
      </c>
      <c r="T146" s="577"/>
      <c r="U146" s="578"/>
      <c r="V146" s="16"/>
      <c r="W146" s="16"/>
      <c r="X146" s="16"/>
      <c r="Y146" s="14"/>
      <c r="Z146" s="14"/>
      <c r="AA146" s="16"/>
      <c r="AB146" s="63"/>
      <c r="AC146" s="3" t="s">
        <v>197</v>
      </c>
      <c r="AD146" s="3">
        <f>1/TAN((O138 + 7.31 / (O138 + 4.4)) * Outils!F4)</f>
        <v>0.4246923427253872</v>
      </c>
      <c r="BN146" s="24"/>
      <c r="BO146" s="16"/>
    </row>
    <row r="147" spans="1:67" ht="17.25" customHeight="1" thickBot="1">
      <c r="A147" s="14"/>
      <c r="B147" s="14"/>
      <c r="C147" s="14"/>
      <c r="D147" s="14"/>
      <c r="E147" s="14"/>
      <c r="F147" s="16"/>
      <c r="G147" s="16"/>
      <c r="H147" s="623" t="s">
        <v>66</v>
      </c>
      <c r="I147" s="624"/>
      <c r="J147" s="624"/>
      <c r="K147" s="624"/>
      <c r="L147" s="624"/>
      <c r="M147" s="624"/>
      <c r="N147" s="625"/>
      <c r="O147" s="430">
        <f>S147</f>
        <v>1010</v>
      </c>
      <c r="P147" s="431"/>
      <c r="Q147" s="431"/>
      <c r="R147" s="431"/>
      <c r="S147" s="576">
        <v>1010</v>
      </c>
      <c r="T147" s="577"/>
      <c r="U147" s="578"/>
      <c r="V147" s="16"/>
      <c r="W147" s="16"/>
      <c r="X147" s="16"/>
      <c r="Y147" s="14"/>
      <c r="Z147" s="14"/>
      <c r="AA147" s="16"/>
      <c r="AB147" s="63"/>
      <c r="AC147" s="3" t="s">
        <v>198</v>
      </c>
      <c r="AD147" s="3">
        <f>AD146/60</f>
        <v>7.0782057120897862E-3</v>
      </c>
      <c r="BN147" s="24"/>
      <c r="BO147" s="16"/>
    </row>
    <row r="148" spans="1:67" ht="17.25" customHeight="1" thickTop="1" thickBot="1">
      <c r="A148" s="14"/>
      <c r="B148" s="14"/>
      <c r="C148" s="14"/>
      <c r="D148" s="14"/>
      <c r="E148" s="14"/>
      <c r="F148" s="16"/>
      <c r="G148" s="16"/>
      <c r="H148" s="427" t="s">
        <v>152</v>
      </c>
      <c r="I148" s="428"/>
      <c r="J148" s="428"/>
      <c r="K148" s="428"/>
      <c r="L148" s="428"/>
      <c r="M148" s="428"/>
      <c r="N148" s="429"/>
      <c r="O148" s="329">
        <f>AD149</f>
        <v>7.0732034465688749E-3</v>
      </c>
      <c r="P148" s="329"/>
      <c r="Q148" s="329"/>
      <c r="R148" s="329"/>
      <c r="S148" s="16" t="s">
        <v>54</v>
      </c>
      <c r="T148" s="16"/>
      <c r="U148" s="450" t="str" cm="1">
        <f t="array" ref="U148">angleDecimal2Txt(O148)</f>
        <v>+00°00.42 (+00.0070) [+00°00'25.46]</v>
      </c>
      <c r="V148" s="451"/>
      <c r="W148" s="451"/>
      <c r="X148" s="451"/>
      <c r="Y148" s="451"/>
      <c r="Z148" s="337"/>
      <c r="AA148" s="16"/>
      <c r="AB148" s="63"/>
      <c r="AC148" s="3" t="s">
        <v>100</v>
      </c>
      <c r="AD148" s="3">
        <f xml:space="preserve"> 0.28 * O147 / (273 + O146)</f>
        <v>0.99929328621908131</v>
      </c>
      <c r="BN148" s="24"/>
      <c r="BO148" s="16"/>
    </row>
    <row r="149" spans="1:67" ht="17.25" customHeight="1" thickTop="1">
      <c r="A149" s="14"/>
      <c r="B149" s="14"/>
      <c r="C149" s="14"/>
      <c r="D149" s="14"/>
      <c r="E149" s="14"/>
      <c r="F149" s="16"/>
      <c r="G149" s="16"/>
      <c r="H149" s="14"/>
      <c r="I149" s="14"/>
      <c r="J149" s="14"/>
      <c r="K149" s="14"/>
      <c r="L149" s="14"/>
      <c r="M149" s="14"/>
      <c r="N149" s="14"/>
      <c r="O149" s="14"/>
      <c r="P149" s="16"/>
      <c r="Q149" s="16"/>
      <c r="R149" s="16"/>
      <c r="S149" s="16"/>
      <c r="T149" s="16"/>
      <c r="U149" s="16"/>
      <c r="V149" s="16"/>
      <c r="W149" s="16"/>
      <c r="X149" s="16"/>
      <c r="Y149" s="14"/>
      <c r="Z149" s="14"/>
      <c r="AA149" s="16"/>
      <c r="AB149" s="63"/>
      <c r="AC149" s="3" t="s">
        <v>195</v>
      </c>
      <c r="AD149" s="3">
        <f>AD148*AD147</f>
        <v>7.0732034465688749E-3</v>
      </c>
      <c r="BN149" s="24"/>
      <c r="BO149" s="16"/>
    </row>
    <row r="150" spans="1:67" ht="17.25" customHeight="1">
      <c r="A150" s="14"/>
      <c r="B150" s="14"/>
      <c r="C150" s="14"/>
      <c r="D150" s="14"/>
      <c r="E150" s="14"/>
      <c r="F150" s="16"/>
      <c r="G150" s="16"/>
      <c r="H150" s="623" t="s">
        <v>106</v>
      </c>
      <c r="I150" s="624"/>
      <c r="J150" s="624"/>
      <c r="K150" s="624"/>
      <c r="L150" s="624"/>
      <c r="M150" s="624"/>
      <c r="N150" s="625"/>
      <c r="O150" s="479">
        <f>J101</f>
        <v>0.53333333333333333</v>
      </c>
      <c r="P150" s="479"/>
      <c r="Q150" s="479"/>
      <c r="R150" s="479"/>
      <c r="S150" s="16"/>
      <c r="T150" s="16"/>
      <c r="U150" s="16"/>
      <c r="V150" s="16"/>
      <c r="W150" s="16"/>
      <c r="X150" s="16"/>
      <c r="Y150" s="16"/>
      <c r="Z150" s="16"/>
      <c r="AA150" s="16"/>
      <c r="AB150" s="63"/>
      <c r="BN150" s="24"/>
      <c r="BO150" s="16"/>
    </row>
    <row r="151" spans="1:67" ht="17.25" customHeight="1" thickBot="1">
      <c r="A151" s="16"/>
      <c r="B151" s="14"/>
      <c r="C151" s="14"/>
      <c r="D151" s="14"/>
      <c r="E151" s="61"/>
      <c r="F151" s="61"/>
      <c r="G151" s="61"/>
      <c r="H151" s="623" t="s">
        <v>70</v>
      </c>
      <c r="I151" s="624"/>
      <c r="J151" s="624"/>
      <c r="K151" s="624"/>
      <c r="L151" s="624"/>
      <c r="M151" s="624"/>
      <c r="N151" s="625"/>
      <c r="O151" s="479" t="str">
        <f>J96</f>
        <v>BordInf</v>
      </c>
      <c r="P151" s="479"/>
      <c r="Q151" s="479"/>
      <c r="R151" s="479"/>
      <c r="S151" s="16"/>
      <c r="T151" s="16"/>
      <c r="U151" s="16"/>
      <c r="V151" s="16"/>
      <c r="W151" s="16"/>
      <c r="X151" s="16"/>
      <c r="Y151" s="16"/>
      <c r="Z151" s="16"/>
      <c r="AA151" s="16"/>
      <c r="AB151" s="63"/>
      <c r="AC151" s="3" t="s">
        <v>30</v>
      </c>
      <c r="AD151" s="323" t="str">
        <f>J95</f>
        <v>Soleil</v>
      </c>
      <c r="AE151" s="323"/>
      <c r="BN151" s="24"/>
      <c r="BO151" s="16"/>
    </row>
    <row r="152" spans="1:67" ht="17.25" customHeight="1" thickTop="1" thickBot="1">
      <c r="A152" s="16"/>
      <c r="B152" s="16"/>
      <c r="C152" s="61"/>
      <c r="D152" s="61"/>
      <c r="E152" s="61"/>
      <c r="F152" s="61"/>
      <c r="G152" s="61"/>
      <c r="H152" s="427" t="s">
        <v>71</v>
      </c>
      <c r="I152" s="428"/>
      <c r="J152" s="428"/>
      <c r="K152" s="428"/>
      <c r="L152" s="428"/>
      <c r="M152" s="428"/>
      <c r="N152" s="429"/>
      <c r="O152" s="435">
        <f>AD155</f>
        <v>0.26666666666666666</v>
      </c>
      <c r="P152" s="435"/>
      <c r="Q152" s="435"/>
      <c r="R152" s="435"/>
      <c r="S152" s="16" t="s">
        <v>54</v>
      </c>
      <c r="T152" s="16"/>
      <c r="U152" s="450" t="str" cm="1">
        <f t="array" ref="U152">angleDecimal2Txt(O152)</f>
        <v>+00°16.00 (+00.2666) [+00°16'00.00]</v>
      </c>
      <c r="V152" s="451"/>
      <c r="W152" s="451"/>
      <c r="X152" s="451"/>
      <c r="Y152" s="451"/>
      <c r="Z152" s="337"/>
      <c r="AA152" s="16"/>
      <c r="AB152" s="63"/>
      <c r="AC152" s="3" t="s">
        <v>202</v>
      </c>
      <c r="AD152" s="323" t="str">
        <f>O151</f>
        <v>BordInf</v>
      </c>
      <c r="AE152" s="323"/>
      <c r="BN152" s="24"/>
      <c r="BO152" s="16"/>
    </row>
    <row r="153" spans="1:67" ht="17.25" customHeight="1" thickTop="1">
      <c r="A153" s="16"/>
      <c r="B153" s="16"/>
      <c r="C153" s="61"/>
      <c r="D153" s="61"/>
      <c r="E153" s="61"/>
      <c r="F153" s="61"/>
      <c r="G153" s="61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6"/>
      <c r="AB153" s="63"/>
      <c r="AC153" s="3" t="s">
        <v>203</v>
      </c>
      <c r="AD153" s="572">
        <f>HLOOKUP(AD152,AD100:AF101,2)</f>
        <v>0.5</v>
      </c>
      <c r="AE153" s="572"/>
      <c r="BN153" s="24"/>
      <c r="BO153" s="16"/>
    </row>
    <row r="154" spans="1:67" ht="17.25" customHeight="1">
      <c r="A154" s="16"/>
      <c r="B154" s="16"/>
      <c r="C154" s="61"/>
      <c r="D154" s="61"/>
      <c r="E154" s="61"/>
      <c r="F154" s="61"/>
      <c r="G154" s="493" t="s">
        <v>115</v>
      </c>
      <c r="H154" s="494"/>
      <c r="I154" s="494"/>
      <c r="J154" s="494"/>
      <c r="K154" s="494"/>
      <c r="L154" s="494"/>
      <c r="M154" s="494"/>
      <c r="N154" s="494"/>
      <c r="O154" s="494"/>
      <c r="P154" s="494"/>
      <c r="Q154" s="494"/>
      <c r="R154" s="494"/>
      <c r="S154" s="495"/>
      <c r="T154" s="14"/>
      <c r="U154" s="14"/>
      <c r="V154" s="14"/>
      <c r="W154" s="14"/>
      <c r="X154" s="14"/>
      <c r="Y154" s="14"/>
      <c r="Z154" s="14"/>
      <c r="AA154" s="16"/>
      <c r="AB154" s="63"/>
      <c r="AC154" s="3" t="s">
        <v>106</v>
      </c>
      <c r="AD154" s="3" t="str">
        <f>HLOOKUP(AD151,AD96:AF98,3)</f>
        <v>32'</v>
      </c>
      <c r="AE154" s="3" cm="1">
        <f t="array" ref="AE154">angleConvert2Decimal(AD154)</f>
        <v>0.53333333333333333</v>
      </c>
      <c r="BN154" s="24"/>
      <c r="BO154" s="16"/>
    </row>
    <row r="155" spans="1:67" ht="17.25" customHeight="1">
      <c r="A155" s="16"/>
      <c r="B155" s="16"/>
      <c r="C155" s="61"/>
      <c r="D155" s="61"/>
      <c r="E155" s="61"/>
      <c r="F155" s="61"/>
      <c r="G155" s="452" t="s">
        <v>124</v>
      </c>
      <c r="H155" s="454"/>
      <c r="I155" s="470" t="s">
        <v>119</v>
      </c>
      <c r="J155" s="471"/>
      <c r="K155" s="471"/>
      <c r="L155" s="471"/>
      <c r="M155" s="471"/>
      <c r="N155" s="472"/>
      <c r="O155" s="481">
        <f>(O143-O148-O136+O150/2) * 60</f>
        <v>13.157331061612158</v>
      </c>
      <c r="P155" s="482"/>
      <c r="Q155" s="482"/>
      <c r="R155" s="482"/>
      <c r="S155" s="485" t="s">
        <v>116</v>
      </c>
      <c r="T155" s="14"/>
      <c r="U155" s="14"/>
      <c r="V155" s="14"/>
      <c r="W155" s="14"/>
      <c r="X155" s="14"/>
      <c r="Y155" s="14"/>
      <c r="Z155" s="14"/>
      <c r="AA155" s="16"/>
      <c r="AB155" s="63"/>
      <c r="AC155" s="3" t="s">
        <v>203</v>
      </c>
      <c r="AD155" s="572">
        <f>AE154*AD153</f>
        <v>0.26666666666666666</v>
      </c>
      <c r="AE155" s="572"/>
      <c r="BN155" s="24"/>
      <c r="BO155" s="16"/>
    </row>
    <row r="156" spans="1:67" ht="17.25" customHeight="1">
      <c r="A156" s="16"/>
      <c r="B156" s="16"/>
      <c r="C156" s="61"/>
      <c r="D156" s="61"/>
      <c r="E156" s="61"/>
      <c r="F156" s="61"/>
      <c r="G156" s="580"/>
      <c r="H156" s="581"/>
      <c r="I156" s="487" t="s">
        <v>123</v>
      </c>
      <c r="J156" s="488"/>
      <c r="K156" s="488"/>
      <c r="L156" s="488"/>
      <c r="M156" s="488"/>
      <c r="N156" s="489"/>
      <c r="O156" s="483"/>
      <c r="P156" s="484"/>
      <c r="Q156" s="484"/>
      <c r="R156" s="484"/>
      <c r="S156" s="486"/>
      <c r="T156" s="14"/>
      <c r="U156" s="14"/>
      <c r="V156" s="14"/>
      <c r="W156" s="14"/>
      <c r="X156" s="14"/>
      <c r="Y156" s="14"/>
      <c r="Z156" s="14"/>
      <c r="AA156" s="16"/>
      <c r="AB156" s="63"/>
      <c r="BN156" s="24"/>
      <c r="BO156" s="16"/>
    </row>
    <row r="157" spans="1:67" ht="17.25" customHeight="1">
      <c r="A157" s="16"/>
      <c r="B157" s="16"/>
      <c r="C157" s="61"/>
      <c r="D157" s="61"/>
      <c r="E157" s="61"/>
      <c r="F157" s="61"/>
      <c r="G157" s="61"/>
      <c r="H157" s="14"/>
      <c r="I157" s="470" t="s">
        <v>120</v>
      </c>
      <c r="J157" s="471"/>
      <c r="K157" s="471"/>
      <c r="L157" s="471"/>
      <c r="M157" s="471"/>
      <c r="N157" s="472"/>
      <c r="O157" s="482">
        <f>(O143-O148+O150/2)*60</f>
        <v>15.64351850426406</v>
      </c>
      <c r="P157" s="482"/>
      <c r="Q157" s="482"/>
      <c r="R157" s="482"/>
      <c r="S157" s="485" t="s">
        <v>116</v>
      </c>
      <c r="T157" s="14"/>
      <c r="U157" s="14"/>
      <c r="V157" s="14"/>
      <c r="W157" s="14"/>
      <c r="X157" s="14"/>
      <c r="Y157" s="14"/>
      <c r="Z157" s="14"/>
      <c r="AA157" s="16"/>
      <c r="AB157" s="63"/>
      <c r="BN157" s="24"/>
      <c r="BO157" s="16"/>
    </row>
    <row r="158" spans="1:67" ht="17.25" customHeight="1">
      <c r="A158" s="16"/>
      <c r="B158" s="16"/>
      <c r="C158" s="61"/>
      <c r="D158" s="61"/>
      <c r="E158" s="61"/>
      <c r="F158" s="61"/>
      <c r="G158" s="61"/>
      <c r="H158" s="14"/>
      <c r="I158" s="487" t="s">
        <v>121</v>
      </c>
      <c r="J158" s="488"/>
      <c r="K158" s="488"/>
      <c r="L158" s="488"/>
      <c r="M158" s="488"/>
      <c r="N158" s="489"/>
      <c r="O158" s="484"/>
      <c r="P158" s="484"/>
      <c r="Q158" s="484"/>
      <c r="R158" s="484"/>
      <c r="S158" s="486"/>
      <c r="T158" s="14"/>
      <c r="U158" s="14"/>
      <c r="V158" s="14"/>
      <c r="W158" s="14"/>
      <c r="X158" s="14"/>
      <c r="Y158" s="14"/>
      <c r="Z158" s="14"/>
      <c r="AA158" s="16"/>
      <c r="AB158" s="63"/>
      <c r="BN158" s="24"/>
      <c r="BO158" s="16"/>
    </row>
    <row r="159" spans="1:67" ht="17.25" customHeight="1">
      <c r="A159" s="16"/>
      <c r="B159" s="16"/>
      <c r="C159" s="61"/>
      <c r="D159" s="61"/>
      <c r="E159" s="61"/>
      <c r="F159" s="61"/>
      <c r="G159" s="61"/>
      <c r="H159" s="14"/>
      <c r="I159" s="640" t="s">
        <v>71</v>
      </c>
      <c r="J159" s="641"/>
      <c r="K159" s="641"/>
      <c r="L159" s="641"/>
      <c r="M159" s="641"/>
      <c r="N159" s="642"/>
      <c r="O159" s="441">
        <f>O152*60</f>
        <v>16</v>
      </c>
      <c r="P159" s="442"/>
      <c r="Q159" s="442"/>
      <c r="R159" s="442"/>
      <c r="S159" s="77" t="s">
        <v>116</v>
      </c>
      <c r="T159" s="14"/>
      <c r="U159" s="14"/>
      <c r="V159" s="14"/>
      <c r="W159" s="14"/>
      <c r="X159" s="14"/>
      <c r="Y159" s="14"/>
      <c r="Z159" s="14"/>
      <c r="AA159" s="16"/>
      <c r="AB159" s="63"/>
      <c r="BN159" s="24"/>
      <c r="BO159" s="16"/>
    </row>
    <row r="160" spans="1:67" ht="17.25" customHeight="1" thickBot="1">
      <c r="A160" s="16"/>
      <c r="B160" s="16"/>
      <c r="C160" s="61"/>
      <c r="D160" s="61"/>
      <c r="E160" s="61"/>
      <c r="F160" s="61"/>
      <c r="G160" s="61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6"/>
      <c r="T160" s="16"/>
      <c r="U160" s="16"/>
      <c r="V160" s="16"/>
      <c r="W160" s="16"/>
      <c r="X160" s="16"/>
      <c r="Y160" s="16"/>
      <c r="Z160" s="16"/>
      <c r="AA160" s="16"/>
      <c r="AB160" s="63"/>
      <c r="BN160" s="24"/>
      <c r="BO160" s="16"/>
    </row>
    <row r="161" spans="1:67" ht="17.25" customHeight="1" thickTop="1" thickBot="1">
      <c r="A161" s="16"/>
      <c r="B161" s="16"/>
      <c r="C161" s="61"/>
      <c r="D161" s="61"/>
      <c r="E161" s="61"/>
      <c r="F161" s="61"/>
      <c r="G161" s="61"/>
      <c r="H161" s="436" t="s">
        <v>153</v>
      </c>
      <c r="I161" s="437"/>
      <c r="J161" s="437"/>
      <c r="K161" s="437"/>
      <c r="L161" s="437"/>
      <c r="M161" s="437"/>
      <c r="N161" s="438"/>
      <c r="O161" s="439">
        <f>O138-O148+O143+O152</f>
        <v>67.147622184360216</v>
      </c>
      <c r="P161" s="329"/>
      <c r="Q161" s="329"/>
      <c r="R161" s="329"/>
      <c r="S161" s="16" t="s">
        <v>54</v>
      </c>
      <c r="T161" s="16"/>
      <c r="U161" s="450" t="str" cm="1">
        <f t="array" ref="U161">angleDecimal2Txt(O161)</f>
        <v>+67°08.85 (+67.1476) [+67°08'51.43]</v>
      </c>
      <c r="V161" s="451"/>
      <c r="W161" s="451"/>
      <c r="X161" s="451"/>
      <c r="Y161" s="451"/>
      <c r="Z161" s="337"/>
      <c r="AA161" s="16"/>
      <c r="AB161" s="63"/>
      <c r="BN161" s="24"/>
      <c r="BO161" s="16"/>
    </row>
    <row r="162" spans="1:67" ht="17.25" customHeight="1" thickTop="1">
      <c r="A162" s="16"/>
      <c r="B162" s="16"/>
      <c r="C162" s="61"/>
      <c r="D162" s="61"/>
      <c r="E162" s="61"/>
      <c r="F162" s="61"/>
      <c r="G162" s="61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63"/>
      <c r="BN162" s="24"/>
      <c r="BO162" s="16"/>
    </row>
    <row r="163" spans="1:67" ht="17.25" customHeight="1">
      <c r="A163" s="16"/>
      <c r="B163" s="16"/>
      <c r="C163" s="61"/>
      <c r="D163" s="61"/>
      <c r="E163" s="61"/>
      <c r="F163" s="440" t="s">
        <v>63</v>
      </c>
      <c r="G163" s="440"/>
      <c r="H163" s="440"/>
      <c r="I163" s="440"/>
      <c r="J163" s="463" t="str">
        <f>IF(G132=AD132,O171,"---")</f>
        <v>---</v>
      </c>
      <c r="K163" s="516"/>
      <c r="L163" s="439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6"/>
      <c r="AB163" s="63"/>
      <c r="BN163" s="24"/>
      <c r="BO163" s="16"/>
    </row>
    <row r="164" spans="1:67" ht="17.25" customHeight="1">
      <c r="A164" s="16"/>
      <c r="B164" s="16"/>
      <c r="C164" s="61"/>
      <c r="D164" s="61"/>
      <c r="E164" s="61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63"/>
      <c r="BN164" s="24"/>
      <c r="BO164" s="16"/>
    </row>
    <row r="165" spans="1:67" ht="17.25" customHeight="1">
      <c r="A165" s="16"/>
      <c r="B165" s="16"/>
      <c r="C165" s="61"/>
      <c r="D165" s="61"/>
      <c r="E165" s="61"/>
      <c r="M165" s="16"/>
      <c r="N165" s="16"/>
      <c r="O165" s="16"/>
      <c r="P165" s="16"/>
      <c r="Q165" s="16"/>
      <c r="R165" s="16"/>
      <c r="S165" s="16"/>
      <c r="T165" s="113" t="s">
        <v>84</v>
      </c>
      <c r="U165" s="415" t="s">
        <v>33</v>
      </c>
      <c r="V165" s="415"/>
      <c r="W165" s="16"/>
      <c r="X165" s="16"/>
      <c r="Y165" s="16"/>
      <c r="Z165" s="16"/>
      <c r="AA165" s="16"/>
      <c r="AB165" s="63"/>
      <c r="BN165" s="24"/>
      <c r="BO165" s="16"/>
    </row>
    <row r="166" spans="1:67" ht="17.25" customHeight="1">
      <c r="A166" s="16"/>
      <c r="B166" s="16"/>
      <c r="C166" s="61"/>
      <c r="D166" s="61"/>
      <c r="E166" s="61"/>
      <c r="F166" s="61"/>
      <c r="G166" s="61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14" t="s">
        <v>80</v>
      </c>
      <c r="U166" s="415" t="s">
        <v>82</v>
      </c>
      <c r="V166" s="415"/>
      <c r="W166" s="16"/>
      <c r="X166" s="16"/>
      <c r="Y166" s="16"/>
      <c r="Z166" s="16"/>
      <c r="AA166" s="16"/>
      <c r="AB166" s="63"/>
      <c r="BN166" s="24"/>
      <c r="BO166" s="16"/>
    </row>
    <row r="167" spans="1:67" ht="17.25" customHeight="1">
      <c r="A167" s="16"/>
      <c r="B167" s="16"/>
      <c r="C167" s="61"/>
      <c r="D167" s="61"/>
      <c r="E167" s="61"/>
      <c r="F167" s="61"/>
      <c r="G167" s="61"/>
      <c r="H167" s="16" t="s">
        <v>72</v>
      </c>
      <c r="I167" s="40" t="s">
        <v>74</v>
      </c>
      <c r="J167" s="16" t="s">
        <v>60</v>
      </c>
      <c r="K167" s="417" t="s">
        <v>77</v>
      </c>
      <c r="L167" s="16" t="s">
        <v>59</v>
      </c>
      <c r="M167" s="16"/>
      <c r="N167" s="417" t="s">
        <v>79</v>
      </c>
      <c r="O167" s="40" t="s">
        <v>246</v>
      </c>
      <c r="P167" s="16"/>
      <c r="Q167" s="417" t="s">
        <v>79</v>
      </c>
      <c r="R167" s="16" t="s">
        <v>247</v>
      </c>
      <c r="S167" s="16"/>
      <c r="T167" s="112" t="s">
        <v>81</v>
      </c>
      <c r="U167" s="416" t="s">
        <v>83</v>
      </c>
      <c r="V167" s="416"/>
      <c r="W167" s="16"/>
      <c r="X167" s="16"/>
      <c r="Y167" s="16"/>
      <c r="AB167" s="63"/>
      <c r="BN167" s="24"/>
      <c r="BO167" s="16"/>
    </row>
    <row r="168" spans="1:67" ht="17.25" customHeight="1" thickBot="1">
      <c r="A168" s="16"/>
      <c r="B168" s="16"/>
      <c r="C168" s="61"/>
      <c r="D168" s="61"/>
      <c r="E168" s="61"/>
      <c r="F168" s="61"/>
      <c r="G168" s="61"/>
      <c r="H168" s="16"/>
      <c r="I168" s="40"/>
      <c r="J168" s="42">
        <f>O134</f>
        <v>66.95</v>
      </c>
      <c r="K168" s="417"/>
      <c r="L168" s="443">
        <f>O135</f>
        <v>2.1666666666666667E-2</v>
      </c>
      <c r="M168" s="444"/>
      <c r="N168" s="417"/>
      <c r="O168" s="447" t="s">
        <v>157</v>
      </c>
      <c r="P168" s="448"/>
      <c r="Q168" s="417"/>
      <c r="R168" s="115" t="s">
        <v>81</v>
      </c>
      <c r="S168" s="16"/>
      <c r="T168" s="16"/>
      <c r="U168" s="16"/>
      <c r="AB168" s="63"/>
      <c r="BN168" s="24"/>
      <c r="BO168" s="16"/>
    </row>
    <row r="169" spans="1:67" ht="17.25" customHeight="1" thickTop="1" thickBot="1">
      <c r="A169" s="16"/>
      <c r="B169" s="16"/>
      <c r="C169" s="61"/>
      <c r="D169" s="61"/>
      <c r="E169" s="61"/>
      <c r="F169" s="61"/>
      <c r="G169" s="61"/>
      <c r="H169" s="16"/>
      <c r="I169" s="40"/>
      <c r="K169" s="40" t="s">
        <v>245</v>
      </c>
      <c r="L169" s="445" cm="1">
        <f t="array" ref="L169">angleConvert2Decimal(L168)</f>
        <v>2.1666666666666699E-2</v>
      </c>
      <c r="M169" s="446"/>
      <c r="N169" s="16"/>
      <c r="O169" s="570" cm="1">
        <f t="array" ref="O169">angleConvert2Decimal(O168)</f>
        <v>0.17166666666666669</v>
      </c>
      <c r="P169" s="571"/>
      <c r="Q169" s="11"/>
      <c r="R169" s="106" cm="1">
        <f t="array" ref="R169">angleConvert2Decimal(R168)</f>
        <v>-0.53333333333333333</v>
      </c>
      <c r="T169" s="7" t="s">
        <v>111</v>
      </c>
      <c r="U169" s="7"/>
      <c r="V169" s="7">
        <f>R169+O169</f>
        <v>-0.36166666666666664</v>
      </c>
      <c r="W169" s="450" t="str" cm="1">
        <f t="array" ref="W169">angleDecimal2Txt(V169)</f>
        <v>-00°21.69 (-00.3616) [-00°21'42.00]</v>
      </c>
      <c r="X169" s="451"/>
      <c r="Y169" s="451"/>
      <c r="Z169" s="451"/>
      <c r="AA169" s="337"/>
      <c r="AB169" s="63"/>
      <c r="BN169" s="24"/>
      <c r="BO169" s="16"/>
    </row>
    <row r="170" spans="1:67" ht="17.25" customHeight="1" thickTop="1" thickBot="1">
      <c r="A170" s="16"/>
      <c r="B170" s="16"/>
      <c r="C170" s="61"/>
      <c r="D170" s="61"/>
      <c r="E170" s="61"/>
      <c r="F170" s="61"/>
      <c r="G170" s="61"/>
      <c r="H170" s="16"/>
      <c r="I170" s="40"/>
      <c r="J170" s="16"/>
      <c r="K170" s="40"/>
      <c r="L170" s="16"/>
      <c r="M170" s="16"/>
      <c r="N170" s="40"/>
      <c r="O170" s="16"/>
      <c r="P170" s="16"/>
      <c r="Q170" s="40"/>
      <c r="R170" s="45"/>
      <c r="S170" s="16"/>
      <c r="T170" s="16"/>
      <c r="U170" s="16"/>
      <c r="V170" s="16"/>
      <c r="W170" s="16"/>
      <c r="X170" s="16"/>
      <c r="Y170" s="16"/>
      <c r="Z170" s="16"/>
      <c r="AA170" s="16"/>
      <c r="AB170" s="63"/>
      <c r="BN170" s="24"/>
      <c r="BO170" s="16"/>
    </row>
    <row r="171" spans="1:67" ht="17.25" customHeight="1" thickTop="1" thickBot="1">
      <c r="A171" s="16"/>
      <c r="B171" s="16"/>
      <c r="C171" s="61"/>
      <c r="D171" s="61"/>
      <c r="E171" s="61"/>
      <c r="F171" s="61"/>
      <c r="G171" s="61"/>
      <c r="H171" s="436" t="s">
        <v>156</v>
      </c>
      <c r="I171" s="437"/>
      <c r="J171" s="437"/>
      <c r="K171" s="437"/>
      <c r="L171" s="437"/>
      <c r="M171" s="437"/>
      <c r="N171" s="438"/>
      <c r="O171" s="439">
        <f>J168-L169+O169+R169</f>
        <v>66.566666666666677</v>
      </c>
      <c r="P171" s="329"/>
      <c r="Q171" s="329"/>
      <c r="R171" s="329"/>
      <c r="S171" s="16" t="s">
        <v>54</v>
      </c>
      <c r="T171" s="16"/>
      <c r="U171" s="450" t="str" cm="1">
        <f t="array" ref="U171">angleDecimal2Txt(O171)</f>
        <v>+66°34.00 (+66.5666) [+66°34'00.00]</v>
      </c>
      <c r="V171" s="451"/>
      <c r="W171" s="451"/>
      <c r="X171" s="451"/>
      <c r="Y171" s="451"/>
      <c r="Z171" s="337"/>
      <c r="AA171" s="16"/>
      <c r="AB171" s="63"/>
      <c r="BN171" s="24"/>
      <c r="BO171" s="16"/>
    </row>
    <row r="172" spans="1:67" ht="17.25" customHeight="1" thickTop="1" thickBot="1">
      <c r="A172" s="16"/>
      <c r="B172" s="16"/>
      <c r="C172" s="61"/>
      <c r="D172" s="46"/>
      <c r="E172" s="61"/>
      <c r="F172" s="61"/>
      <c r="G172" s="61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63"/>
      <c r="BN172" s="24"/>
      <c r="BO172" s="16"/>
    </row>
    <row r="173" spans="1:67" ht="17.25" customHeight="1" thickBot="1">
      <c r="A173" s="16"/>
      <c r="B173" s="661" t="s">
        <v>273</v>
      </c>
      <c r="C173" s="662"/>
      <c r="D173" s="662"/>
      <c r="E173" s="662"/>
      <c r="F173" s="662"/>
      <c r="G173" s="662"/>
      <c r="H173" s="662"/>
      <c r="I173" s="662"/>
      <c r="J173" s="662"/>
      <c r="K173" s="662"/>
      <c r="L173" s="662"/>
      <c r="M173" s="662"/>
      <c r="N173" s="662"/>
      <c r="O173" s="662"/>
      <c r="P173" s="662"/>
      <c r="Q173" s="662"/>
      <c r="R173" s="662"/>
      <c r="S173" s="662"/>
      <c r="T173" s="662"/>
      <c r="U173" s="662"/>
      <c r="V173" s="662"/>
      <c r="W173" s="662"/>
      <c r="X173" s="662"/>
      <c r="Y173" s="662"/>
      <c r="Z173" s="662"/>
      <c r="AA173" s="662"/>
      <c r="AB173" s="64"/>
      <c r="BN173" s="24"/>
      <c r="BO173" s="16"/>
    </row>
    <row r="174" spans="1:67" ht="17.25" customHeight="1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63"/>
      <c r="BN174" s="24"/>
      <c r="BO174" s="16"/>
    </row>
    <row r="175" spans="1:67" ht="17.25" customHeight="1">
      <c r="A175" s="16"/>
      <c r="B175" s="16"/>
      <c r="C175" s="14"/>
      <c r="D175" s="14"/>
      <c r="E175" s="418" t="s">
        <v>279</v>
      </c>
      <c r="F175" s="419"/>
      <c r="G175" s="419"/>
      <c r="H175" s="419"/>
      <c r="I175" s="553">
        <f>90-Q176</f>
        <v>22.852377815639784</v>
      </c>
      <c r="J175" s="345"/>
      <c r="K175" s="345"/>
      <c r="L175" s="345"/>
      <c r="M175" s="346"/>
      <c r="N175" s="16"/>
      <c r="O175" s="653" t="s">
        <v>274</v>
      </c>
      <c r="P175" s="654"/>
      <c r="Q175" s="655"/>
      <c r="R175" s="655"/>
      <c r="S175" s="655"/>
      <c r="T175" s="656"/>
      <c r="AB175" s="63"/>
      <c r="BN175" s="24"/>
      <c r="BO175" s="16"/>
    </row>
    <row r="176" spans="1:67" ht="17.25" customHeight="1" thickBot="1">
      <c r="A176" s="16"/>
      <c r="B176" s="16"/>
      <c r="C176" s="14"/>
      <c r="D176" s="14"/>
      <c r="E176" s="421"/>
      <c r="F176" s="422"/>
      <c r="G176" s="422"/>
      <c r="H176" s="422"/>
      <c r="I176" s="657"/>
      <c r="J176" s="658"/>
      <c r="K176" s="658"/>
      <c r="L176" s="658"/>
      <c r="M176" s="659"/>
      <c r="N176" s="48" t="s">
        <v>125</v>
      </c>
      <c r="O176" s="646" t="s">
        <v>72</v>
      </c>
      <c r="P176" s="647"/>
      <c r="Q176" s="357">
        <f>F131</f>
        <v>67.147622184360216</v>
      </c>
      <c r="R176" s="358"/>
      <c r="S176" s="358"/>
      <c r="T176" s="127" t="s">
        <v>54</v>
      </c>
      <c r="Y176" s="16"/>
      <c r="Z176" s="16"/>
      <c r="AA176" s="16"/>
      <c r="AB176" s="63"/>
      <c r="BN176" s="24"/>
      <c r="BO176" s="16"/>
    </row>
    <row r="177" spans="1:67" ht="17.25" customHeight="1" thickTop="1" thickBot="1">
      <c r="A177" s="16"/>
      <c r="B177" s="16"/>
      <c r="C177" s="14"/>
      <c r="D177" s="14"/>
      <c r="E177" s="424"/>
      <c r="F177" s="425"/>
      <c r="G177" s="425"/>
      <c r="H177" s="425"/>
      <c r="I177" s="450" t="str" cm="1">
        <f t="array" ref="I177">angleDecimal2Txt(I175)</f>
        <v>+22°51.14 (+22.8523) [+22°51'08.56]</v>
      </c>
      <c r="J177" s="451"/>
      <c r="K177" s="451"/>
      <c r="L177" s="451"/>
      <c r="M177" s="337"/>
      <c r="N177" s="16"/>
      <c r="O177" s="646" t="s">
        <v>86</v>
      </c>
      <c r="P177" s="647"/>
      <c r="Q177" s="357">
        <f>F113</f>
        <v>23.13413311648976</v>
      </c>
      <c r="R177" s="358"/>
      <c r="S177" s="358"/>
      <c r="T177" s="127" t="s">
        <v>54</v>
      </c>
      <c r="Y177" s="16"/>
      <c r="Z177" s="16"/>
      <c r="AA177" s="16"/>
      <c r="AB177" s="63"/>
      <c r="BN177" s="24"/>
      <c r="BO177" s="16"/>
    </row>
    <row r="178" spans="1:67" ht="17.25" customHeight="1" thickTop="1">
      <c r="A178" s="16"/>
      <c r="B178" s="16"/>
      <c r="C178" s="14"/>
      <c r="D178" s="14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AA178" s="16"/>
      <c r="AB178" s="63"/>
      <c r="BN178" s="24"/>
      <c r="BO178" s="16"/>
    </row>
    <row r="179" spans="1:67" ht="17.25" customHeight="1">
      <c r="A179" s="16"/>
      <c r="B179" s="16"/>
      <c r="C179" s="14"/>
      <c r="D179" s="14"/>
      <c r="AB179" s="63"/>
      <c r="BN179" s="24"/>
      <c r="BO179" s="16"/>
    </row>
    <row r="180" spans="1:67" ht="17.25" customHeight="1">
      <c r="A180" s="16"/>
      <c r="B180" s="16"/>
      <c r="C180" s="14"/>
      <c r="D180" s="14"/>
      <c r="E180" s="663" t="s">
        <v>228</v>
      </c>
      <c r="F180" s="664"/>
      <c r="G180" s="664"/>
      <c r="H180" s="664"/>
      <c r="I180" s="664"/>
      <c r="J180" s="664"/>
      <c r="K180" s="664"/>
      <c r="L180" s="664"/>
      <c r="M180" s="664"/>
      <c r="N180" s="664"/>
      <c r="O180" s="665"/>
      <c r="AB180" s="63"/>
      <c r="BN180" s="24"/>
      <c r="BO180" s="16"/>
    </row>
    <row r="181" spans="1:67" ht="17.25" customHeight="1">
      <c r="A181" s="16"/>
      <c r="B181" s="16"/>
      <c r="C181" s="14"/>
      <c r="D181" s="14"/>
      <c r="E181" s="361"/>
      <c r="F181" s="361" t="s">
        <v>230</v>
      </c>
      <c r="G181" s="361"/>
      <c r="H181" s="361"/>
      <c r="I181" s="361"/>
      <c r="J181" s="361"/>
      <c r="K181" s="650" t="s">
        <v>232</v>
      </c>
      <c r="L181" s="651"/>
      <c r="M181" s="651"/>
      <c r="N181" s="651"/>
      <c r="O181" s="652"/>
      <c r="Q181" s="397" t="s">
        <v>87</v>
      </c>
      <c r="R181" s="397"/>
      <c r="S181" s="648">
        <f>F109</f>
        <v>46.1</v>
      </c>
      <c r="T181" s="648"/>
      <c r="U181" s="330" t="str">
        <f>CONCATENATE("Lat et Dec - Meme sens ?: ",AC181)</f>
        <v>Lat et Dec - Meme sens ?: TRUE</v>
      </c>
      <c r="V181" s="330"/>
      <c r="W181" s="330"/>
      <c r="X181" s="330"/>
      <c r="Y181" s="16"/>
      <c r="AB181" s="63"/>
      <c r="AC181" t="b">
        <f>IF(S181*S182&gt;0,TRUE,FALSE)</f>
        <v>1</v>
      </c>
      <c r="BN181" s="24"/>
      <c r="BO181" s="16"/>
    </row>
    <row r="182" spans="1:67" ht="17.25" customHeight="1">
      <c r="A182" s="16"/>
      <c r="B182" s="16"/>
      <c r="C182" s="14"/>
      <c r="D182" s="14"/>
      <c r="E182" s="361"/>
      <c r="F182" s="361" t="s">
        <v>231</v>
      </c>
      <c r="G182" s="361"/>
      <c r="H182" s="361"/>
      <c r="I182" s="361"/>
      <c r="J182" s="361"/>
      <c r="K182" s="650" t="s">
        <v>233</v>
      </c>
      <c r="L182" s="651"/>
      <c r="M182" s="651"/>
      <c r="N182" s="651"/>
      <c r="O182" s="652"/>
      <c r="Q182" s="397" t="s">
        <v>86</v>
      </c>
      <c r="R182" s="397"/>
      <c r="S182" s="648">
        <f>F113</f>
        <v>23.13413311648976</v>
      </c>
      <c r="T182" s="648"/>
      <c r="U182" s="330" t="str">
        <f>CONCATENATE("Lat &gt; Dec  ? : ",AC182)</f>
        <v>Lat &gt; Dec  ? : TRUE</v>
      </c>
      <c r="V182" s="330"/>
      <c r="W182" s="330"/>
      <c r="X182" s="330"/>
      <c r="Y182" s="16"/>
      <c r="AB182" s="63"/>
      <c r="AC182" s="96" t="b">
        <f>IF(ABS(S181)&gt;ABS(S182),TRUE, FALSE)</f>
        <v>1</v>
      </c>
      <c r="BN182" s="24"/>
      <c r="BO182" s="16"/>
    </row>
    <row r="183" spans="1:67" ht="17.25" customHeight="1">
      <c r="A183" s="16"/>
      <c r="B183" s="16"/>
      <c r="C183" s="16"/>
      <c r="D183" s="16"/>
      <c r="E183" s="649" t="s">
        <v>229</v>
      </c>
      <c r="F183" s="649"/>
      <c r="G183" s="649"/>
      <c r="H183" s="649"/>
      <c r="I183" s="649"/>
      <c r="J183" s="649"/>
      <c r="K183" s="650" t="s">
        <v>234</v>
      </c>
      <c r="L183" s="651"/>
      <c r="M183" s="651"/>
      <c r="N183" s="651"/>
      <c r="O183" s="652"/>
      <c r="AB183" s="63"/>
      <c r="AC183" t="s">
        <v>276</v>
      </c>
      <c r="AD183" s="105">
        <f>I175+S182</f>
        <v>45.986510932129548</v>
      </c>
      <c r="BN183" s="24"/>
      <c r="BO183" s="16"/>
    </row>
    <row r="184" spans="1:67" ht="17.25" customHeight="1">
      <c r="A184" s="16"/>
      <c r="B184" s="16"/>
      <c r="C184" s="61"/>
      <c r="D184" s="61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AB184" s="63"/>
      <c r="AC184" t="s">
        <v>277</v>
      </c>
      <c r="AD184" s="105">
        <f>S182-I175</f>
        <v>0.28175530084997646</v>
      </c>
      <c r="BN184" s="24"/>
      <c r="BO184" s="16"/>
    </row>
    <row r="185" spans="1:67" ht="17.25" customHeight="1" thickBot="1">
      <c r="A185" s="16"/>
      <c r="B185" s="16"/>
      <c r="C185" s="61"/>
      <c r="D185" s="61"/>
      <c r="E185" s="61"/>
      <c r="F185" s="61"/>
      <c r="G185" s="61"/>
      <c r="H185" s="16"/>
      <c r="I185" s="16"/>
      <c r="J185" s="16"/>
      <c r="K185" s="16"/>
      <c r="L185" s="16"/>
      <c r="AB185" s="63"/>
      <c r="AC185" t="s">
        <v>278</v>
      </c>
      <c r="AD185" s="105">
        <f>I175-S182</f>
        <v>-0.28175530084997646</v>
      </c>
      <c r="BN185" s="24"/>
      <c r="BO185" s="16"/>
    </row>
    <row r="186" spans="1:67" ht="17.25" customHeight="1" thickTop="1" thickBot="1">
      <c r="A186" s="16"/>
      <c r="B186" s="16"/>
      <c r="C186" s="61"/>
      <c r="D186" s="61"/>
      <c r="E186" s="61"/>
      <c r="F186" s="61"/>
      <c r="G186" s="61"/>
      <c r="H186" s="321" t="s">
        <v>227</v>
      </c>
      <c r="I186" s="322"/>
      <c r="J186" s="322"/>
      <c r="K186" s="322"/>
      <c r="L186" s="660"/>
      <c r="M186" s="638">
        <f>AC186</f>
        <v>45.986510932129548</v>
      </c>
      <c r="N186" s="639"/>
      <c r="O186" s="50" t="s">
        <v>28</v>
      </c>
      <c r="P186" s="337" t="str">
        <f>latitudeDecimal2Txt(M186)</f>
        <v>N 45°59.19 (N 45.9865) [N 45°59'11.43]</v>
      </c>
      <c r="Q186" s="327"/>
      <c r="R186" s="327"/>
      <c r="S186" s="327"/>
      <c r="T186" s="327"/>
      <c r="U186" s="327"/>
      <c r="AB186" s="63"/>
      <c r="AC186">
        <f>IF(AC181,IF(AC182,AD183,AD184),AD185)</f>
        <v>45.986510932129548</v>
      </c>
      <c r="BN186" s="24"/>
      <c r="BO186" s="16"/>
    </row>
    <row r="187" spans="1:67" ht="17.25" customHeight="1" thickTop="1">
      <c r="A187" s="14"/>
      <c r="B187" s="14"/>
      <c r="C187" s="14"/>
      <c r="D187" s="14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63"/>
      <c r="BN187" s="24"/>
      <c r="BO187" s="16"/>
    </row>
    <row r="188" spans="1:67" s="16" customFormat="1" ht="17.25" customHeight="1">
      <c r="C188" s="61"/>
      <c r="D188" s="61"/>
      <c r="E188" s="61"/>
      <c r="F188" s="61"/>
      <c r="G188" s="61"/>
      <c r="AB188" s="63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 s="24"/>
    </row>
    <row r="189" spans="1:67" ht="17.25" customHeight="1" thickBot="1">
      <c r="A189" s="16"/>
      <c r="B189" s="16"/>
      <c r="C189" s="61"/>
      <c r="D189" s="61"/>
      <c r="E189" s="61"/>
      <c r="F189" s="61"/>
      <c r="G189" s="61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63"/>
      <c r="BN189" s="24"/>
      <c r="BO189" s="16"/>
    </row>
    <row r="190" spans="1:67" ht="17.25" customHeight="1" thickBot="1">
      <c r="A190" s="16"/>
      <c r="B190" s="25" t="s">
        <v>248</v>
      </c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97"/>
      <c r="AB190" s="64"/>
      <c r="BN190" s="24"/>
      <c r="BO190" s="16"/>
    </row>
    <row r="191" spans="1:67" s="16" customFormat="1" ht="17.25" customHeight="1">
      <c r="C191" s="61"/>
      <c r="D191" s="61"/>
      <c r="E191" s="61"/>
      <c r="F191" s="61"/>
      <c r="G191" s="61"/>
      <c r="AB191" s="63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 s="24"/>
    </row>
    <row r="192" spans="1:67" ht="17.25" customHeight="1" thickBot="1">
      <c r="A192" s="16"/>
      <c r="B192" s="16"/>
      <c r="C192" s="356" t="s">
        <v>249</v>
      </c>
      <c r="D192" s="356"/>
      <c r="E192" s="356"/>
      <c r="F192" s="356"/>
      <c r="G192" s="116"/>
      <c r="H192" s="356" t="s">
        <v>250</v>
      </c>
      <c r="I192" s="356"/>
      <c r="J192" s="356"/>
      <c r="K192" s="16"/>
      <c r="L192" s="360" t="s">
        <v>239</v>
      </c>
      <c r="M192" s="360"/>
      <c r="N192" s="360"/>
      <c r="O192" s="16"/>
      <c r="P192" s="16"/>
      <c r="Q192" s="325" t="s">
        <v>251</v>
      </c>
      <c r="R192" s="325"/>
      <c r="S192" s="325"/>
      <c r="T192" s="325"/>
      <c r="U192" s="102"/>
      <c r="V192" s="16"/>
      <c r="W192" s="16"/>
      <c r="X192" s="16"/>
      <c r="Y192" s="16"/>
      <c r="Z192" s="16"/>
      <c r="AA192" s="16"/>
      <c r="AB192" s="63"/>
      <c r="AD192" s="105"/>
      <c r="BN192" s="24"/>
      <c r="BO192" s="16"/>
    </row>
    <row r="193" spans="1:67" ht="17.25" customHeight="1" thickTop="1" thickBot="1">
      <c r="A193" s="16"/>
      <c r="B193" s="16"/>
      <c r="C193" s="61"/>
      <c r="D193" s="150" t="s">
        <v>41</v>
      </c>
      <c r="E193" s="361">
        <f>M186</f>
        <v>45.986510932129548</v>
      </c>
      <c r="F193" s="361"/>
      <c r="G193" s="61"/>
      <c r="H193" s="16"/>
      <c r="I193" s="361">
        <f>V180</f>
        <v>0</v>
      </c>
      <c r="J193" s="361"/>
      <c r="K193" s="16" t="s">
        <v>112</v>
      </c>
      <c r="L193" s="16"/>
      <c r="M193" s="361">
        <v>180</v>
      </c>
      <c r="N193" s="361"/>
      <c r="O193" s="16"/>
      <c r="P193" s="16"/>
      <c r="Q193" s="16"/>
      <c r="R193" s="151" t="s">
        <v>41</v>
      </c>
      <c r="S193" s="323">
        <f>E193</f>
        <v>45.986510932129548</v>
      </c>
      <c r="T193" s="323"/>
      <c r="U193" s="643" t="str" cm="1">
        <f t="array" ref="U193">latitudeDecimal2Txt(S193)</f>
        <v>N 45°59.19 (N 45.9865) [N 45°59'11.43]</v>
      </c>
      <c r="V193" s="644"/>
      <c r="W193" s="644"/>
      <c r="X193" s="644"/>
      <c r="Y193" s="644"/>
      <c r="Z193" s="645"/>
      <c r="AA193" s="16"/>
      <c r="AB193" s="63"/>
      <c r="AD193" s="105"/>
      <c r="BN193" s="24"/>
      <c r="BO193" s="16"/>
    </row>
    <row r="194" spans="1:67" ht="17.25" customHeight="1" thickTop="1">
      <c r="A194" s="16"/>
      <c r="B194" s="16"/>
      <c r="C194" s="61"/>
      <c r="D194" s="16"/>
      <c r="E194" s="61"/>
      <c r="F194" s="61"/>
      <c r="G194" s="61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63"/>
      <c r="BN194" s="24"/>
      <c r="BO194" s="16"/>
    </row>
    <row r="195" spans="1:67" ht="17.25" customHeight="1">
      <c r="A195" s="16"/>
      <c r="B195" s="16"/>
      <c r="F195" s="61"/>
      <c r="G195" s="61"/>
      <c r="H195" s="16"/>
      <c r="I195" s="16"/>
      <c r="J195" s="16"/>
      <c r="K195" s="16"/>
      <c r="L195" s="16"/>
      <c r="M195" s="16"/>
      <c r="N195" s="16"/>
      <c r="O195" s="16"/>
      <c r="P195" s="16"/>
      <c r="Q195" s="325" t="s">
        <v>252</v>
      </c>
      <c r="R195" s="325"/>
      <c r="S195" s="325"/>
      <c r="T195" s="16"/>
      <c r="U195" s="16"/>
      <c r="V195" s="16"/>
      <c r="W195" s="16"/>
      <c r="X195" s="16"/>
      <c r="Y195" s="16"/>
      <c r="Z195" s="16"/>
      <c r="AA195" s="16"/>
      <c r="AB195" s="63"/>
      <c r="BN195" s="24"/>
      <c r="BO195" s="16"/>
    </row>
    <row r="196" spans="1:67" ht="17.25" customHeight="1">
      <c r="A196" s="16"/>
      <c r="B196" s="16"/>
      <c r="C196" s="61"/>
      <c r="D196" s="61"/>
      <c r="E196" s="61"/>
      <c r="F196" s="61"/>
      <c r="G196" s="61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323">
        <f>M193-90</f>
        <v>90</v>
      </c>
      <c r="S196" s="323"/>
      <c r="T196" s="50" t="s">
        <v>28</v>
      </c>
      <c r="U196" s="16"/>
      <c r="V196" s="16"/>
      <c r="W196" s="16"/>
      <c r="X196" s="16"/>
      <c r="Y196" s="16"/>
      <c r="Z196" s="16"/>
      <c r="AA196" s="16"/>
      <c r="AB196" s="63"/>
      <c r="BN196" s="24"/>
      <c r="BO196" s="16"/>
    </row>
    <row r="197" spans="1:67" ht="17.25" customHeight="1">
      <c r="AB197"/>
    </row>
    <row r="198" spans="1:67" ht="17.25" customHeight="1" thickBot="1">
      <c r="AB198"/>
    </row>
    <row r="199" spans="1:67" ht="17.25" customHeight="1" thickBot="1">
      <c r="B199" s="122" t="s">
        <v>256</v>
      </c>
      <c r="C199" s="123"/>
      <c r="D199" s="123"/>
      <c r="E199" s="123"/>
      <c r="F199" s="123"/>
      <c r="G199" s="123"/>
      <c r="H199" s="123"/>
      <c r="I199" s="123"/>
      <c r="J199" s="123"/>
      <c r="K199" s="123"/>
      <c r="L199" s="123"/>
      <c r="M199" s="123"/>
      <c r="N199" s="123"/>
      <c r="O199" s="123"/>
      <c r="P199" s="123"/>
      <c r="Q199" s="123"/>
      <c r="R199" s="123"/>
      <c r="S199" s="123"/>
      <c r="T199" s="123"/>
      <c r="U199" s="123"/>
      <c r="V199" s="123"/>
      <c r="W199" s="123"/>
      <c r="X199" s="123"/>
      <c r="Y199" s="123"/>
      <c r="Z199" s="123"/>
      <c r="AA199" s="124"/>
      <c r="AB199"/>
    </row>
    <row r="200" spans="1:67" ht="17.25" customHeight="1">
      <c r="AB200"/>
      <c r="AD200" s="105"/>
    </row>
    <row r="201" spans="1:67" ht="17.25" customHeight="1" thickBot="1">
      <c r="C201" s="355" t="s">
        <v>251</v>
      </c>
      <c r="D201" s="355"/>
      <c r="E201" s="355"/>
      <c r="F201" s="355"/>
      <c r="G201" s="102"/>
      <c r="H201" s="16"/>
      <c r="I201" s="16"/>
      <c r="J201" s="16"/>
      <c r="K201" s="16"/>
      <c r="L201" s="16"/>
      <c r="Q201" s="117" t="s">
        <v>257</v>
      </c>
      <c r="R201" s="117"/>
      <c r="S201" s="117"/>
      <c r="T201" s="117"/>
      <c r="U201" s="117"/>
      <c r="V201" s="117"/>
      <c r="W201" s="117"/>
      <c r="AB201"/>
    </row>
    <row r="202" spans="1:67" ht="17.25" customHeight="1" thickTop="1" thickBot="1">
      <c r="D202" s="152" t="s">
        <v>41</v>
      </c>
      <c r="E202" s="354">
        <f>I211</f>
        <v>0</v>
      </c>
      <c r="F202" s="354"/>
      <c r="G202" s="324" t="str" cm="1">
        <f t="array" ref="G202">latitudeDecimal2Txt(E202)</f>
        <v>N 00°00.00 (N 00.0000) [N 00°00'00.00]</v>
      </c>
      <c r="H202" s="324"/>
      <c r="I202" s="324"/>
      <c r="J202" s="324"/>
      <c r="K202" s="324"/>
      <c r="L202" s="324"/>
      <c r="R202" s="151" t="s">
        <v>41</v>
      </c>
      <c r="S202" s="323">
        <f>AG205</f>
        <v>45.986510932129548</v>
      </c>
      <c r="T202" s="323"/>
      <c r="U202" s="324" t="str" cm="1">
        <f t="array" ref="U202">latitudeDecimal2Txt(S202)</f>
        <v>N 45°59.19 (N 45.9865) [N 45°59'11.43]</v>
      </c>
      <c r="V202" s="324"/>
      <c r="W202" s="324"/>
      <c r="X202" s="324"/>
      <c r="Y202" s="324"/>
      <c r="Z202" s="324"/>
      <c r="AB202"/>
      <c r="AC202" s="139" t="s">
        <v>303</v>
      </c>
      <c r="AD202" s="140">
        <f>D206</f>
        <v>30</v>
      </c>
    </row>
    <row r="203" spans="1:67" ht="17.25" customHeight="1" thickTop="1" thickBot="1">
      <c r="D203" s="152" t="s">
        <v>42</v>
      </c>
      <c r="E203" s="354">
        <v>-7</v>
      </c>
      <c r="F203" s="354"/>
      <c r="G203" s="324" t="str" cm="1">
        <f t="array" ref="G203">longitudeDecimal2Txt(E203)</f>
        <v>W 07°00.00 (W 07.0000) [W 07°00'00.00]</v>
      </c>
      <c r="H203" s="324"/>
      <c r="I203" s="324"/>
      <c r="J203" s="324"/>
      <c r="K203" s="324"/>
      <c r="L203" s="324"/>
      <c r="R203" s="151" t="s">
        <v>42</v>
      </c>
      <c r="S203" s="323">
        <f>AG206</f>
        <v>19.55032446575666</v>
      </c>
      <c r="T203" s="323"/>
      <c r="U203" s="324" t="str" cm="1">
        <f t="array" ref="U203">longitudeDecimal2Txt(S203)</f>
        <v>E 19°33.01 (E 19.5503) [E 19°33'01.16]</v>
      </c>
      <c r="V203" s="324"/>
      <c r="W203" s="324"/>
      <c r="X203" s="324"/>
      <c r="Y203" s="324"/>
      <c r="Z203" s="324"/>
      <c r="AB203"/>
      <c r="AC203" s="141" t="s">
        <v>305</v>
      </c>
      <c r="AD203" s="140">
        <f>E202</f>
        <v>0</v>
      </c>
    </row>
    <row r="204" spans="1:67" ht="17.25" customHeight="1" thickTop="1"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AB204"/>
      <c r="AC204" s="139" t="s">
        <v>306</v>
      </c>
      <c r="AD204" s="140">
        <f>E203</f>
        <v>-7</v>
      </c>
    </row>
    <row r="205" spans="1:67" ht="17.25" customHeight="1">
      <c r="C205" s="355" t="s">
        <v>252</v>
      </c>
      <c r="D205" s="355"/>
      <c r="E205" s="355"/>
      <c r="F205" s="121"/>
      <c r="G205" s="16"/>
      <c r="H205" s="16"/>
      <c r="I205" s="16"/>
      <c r="J205" s="16"/>
      <c r="K205" s="16"/>
      <c r="L205" s="16"/>
      <c r="AB205"/>
      <c r="AC205" s="139" t="s">
        <v>258</v>
      </c>
      <c r="AD205" s="139">
        <f>TAN(AD202*Outils!F37) * (1 / COS(AD203*Outils!F37))</f>
        <v>0</v>
      </c>
      <c r="AE205" s="320" t="s">
        <v>309</v>
      </c>
      <c r="AF205" s="320"/>
      <c r="AG205" s="143">
        <f>S193</f>
        <v>45.986510932129548</v>
      </c>
    </row>
    <row r="206" spans="1:67" ht="17.25" customHeight="1">
      <c r="D206" s="354">
        <v>30</v>
      </c>
      <c r="E206" s="354"/>
      <c r="F206" s="153" t="s">
        <v>28</v>
      </c>
      <c r="G206" s="16"/>
      <c r="H206" s="16"/>
      <c r="I206" s="16"/>
      <c r="J206" s="16"/>
      <c r="K206" s="16"/>
      <c r="L206" s="16"/>
      <c r="AB206"/>
      <c r="AC206" s="139" t="s">
        <v>259</v>
      </c>
      <c r="AD206" s="139">
        <f>AD204-AD203*AD205</f>
        <v>-7</v>
      </c>
      <c r="AE206" s="320"/>
      <c r="AF206" s="320"/>
      <c r="AG206" s="142">
        <f>E203+(S193-E202)*TAN(D206*Outils!F4)/COS(Outils!F4*E202)</f>
        <v>19.55032446575666</v>
      </c>
    </row>
    <row r="207" spans="1:67">
      <c r="AB207"/>
    </row>
    <row r="208" spans="1:67">
      <c r="S208" s="16"/>
      <c r="T208" s="16"/>
      <c r="AB208"/>
    </row>
    <row r="209" spans="2:65" ht="15.75" thickBot="1">
      <c r="AB209"/>
    </row>
    <row r="210" spans="2:65" s="318" customFormat="1" ht="15.75" thickBot="1">
      <c r="B210" s="122" t="s">
        <v>500</v>
      </c>
      <c r="C210" s="123"/>
      <c r="D210" s="123"/>
      <c r="E210" s="123"/>
      <c r="F210" s="123"/>
      <c r="G210" s="123"/>
      <c r="H210" s="123"/>
      <c r="I210" s="123"/>
      <c r="J210" s="123"/>
      <c r="K210" s="123"/>
      <c r="L210" s="123"/>
      <c r="M210" s="123"/>
      <c r="N210" s="123"/>
      <c r="O210" s="123"/>
      <c r="P210" s="123"/>
      <c r="Q210" s="123"/>
      <c r="R210" s="123"/>
      <c r="S210" s="123"/>
      <c r="T210" s="123"/>
      <c r="U210" s="123"/>
      <c r="V210" s="123"/>
      <c r="W210" s="123"/>
      <c r="X210" s="123"/>
      <c r="Y210" s="123"/>
      <c r="Z210" s="123"/>
      <c r="AA210" s="124"/>
    </row>
    <row r="211" spans="2:65" s="936" customFormat="1">
      <c r="K211" s="939"/>
      <c r="L211" s="939"/>
    </row>
    <row r="212" spans="2:65" s="936" customFormat="1">
      <c r="B212" s="960" t="s">
        <v>1</v>
      </c>
      <c r="C212" s="960"/>
      <c r="D212" s="960" t="str">
        <f>E80</f>
        <v>2025/06/30</v>
      </c>
      <c r="E212" s="960"/>
      <c r="F212" s="960"/>
      <c r="G212" s="960"/>
      <c r="H212" s="994" t="s">
        <v>2</v>
      </c>
      <c r="I212" s="960" t="str">
        <f>I80</f>
        <v>12:31:12.46(12.5201)</v>
      </c>
      <c r="J212" s="960"/>
      <c r="K212" s="960"/>
      <c r="L212" s="960"/>
    </row>
    <row r="213" spans="2:65" s="936" customFormat="1">
      <c r="B213" s="995" t="s">
        <v>30</v>
      </c>
      <c r="C213" s="995"/>
      <c r="D213" s="1004" t="s">
        <v>533</v>
      </c>
      <c r="E213" s="1004"/>
      <c r="F213" s="1004"/>
      <c r="G213" s="1004"/>
      <c r="H213" s="946"/>
      <c r="I213" s="946"/>
      <c r="J213" s="946"/>
      <c r="K213" s="946"/>
      <c r="L213" s="946"/>
      <c r="AA213" s="937"/>
    </row>
    <row r="214" spans="2:65" s="936" customFormat="1">
      <c r="B214" s="943"/>
      <c r="C214" s="943"/>
      <c r="D214" s="944"/>
      <c r="E214" s="943"/>
      <c r="AA214" s="937"/>
    </row>
    <row r="215" spans="2:65" s="939" customFormat="1" ht="17.25" customHeight="1" thickBot="1">
      <c r="B215" s="953" t="s">
        <v>501</v>
      </c>
      <c r="C215" s="953"/>
      <c r="D215" s="953"/>
      <c r="E215" s="953"/>
      <c r="F215" s="952"/>
      <c r="G215" s="952"/>
      <c r="H215" s="951"/>
      <c r="I215" s="951"/>
      <c r="J215" s="951"/>
      <c r="K215" s="951"/>
      <c r="L215" s="951"/>
      <c r="M215" s="951"/>
      <c r="N215" s="951"/>
      <c r="O215" s="951"/>
      <c r="P215" s="951"/>
      <c r="Q215" s="951"/>
      <c r="AB215" s="938"/>
      <c r="AC215" s="936"/>
      <c r="AD215" s="936"/>
      <c r="AE215" s="936"/>
      <c r="AF215" s="936"/>
      <c r="AG215" s="936"/>
      <c r="AH215" s="936"/>
      <c r="AI215" s="936"/>
      <c r="AJ215" s="936"/>
      <c r="AK215" s="936"/>
      <c r="AL215" s="936"/>
      <c r="AM215" s="936"/>
      <c r="AN215" s="936"/>
      <c r="AO215" s="936"/>
      <c r="AP215" s="936"/>
      <c r="AQ215" s="936"/>
      <c r="AR215" s="936"/>
      <c r="AS215" s="936"/>
      <c r="AT215" s="936"/>
      <c r="AU215" s="936"/>
      <c r="AV215" s="936"/>
      <c r="AW215" s="936"/>
      <c r="AX215" s="936"/>
      <c r="AY215" s="936"/>
      <c r="AZ215" s="936"/>
      <c r="BA215" s="936"/>
      <c r="BB215" s="936"/>
      <c r="BC215" s="936"/>
      <c r="BD215" s="936"/>
      <c r="BE215" s="936"/>
      <c r="BF215" s="936"/>
      <c r="BG215" s="936"/>
      <c r="BH215" s="936"/>
      <c r="BI215" s="936"/>
      <c r="BJ215" s="936"/>
      <c r="BK215" s="936"/>
      <c r="BL215" s="936"/>
      <c r="BM215" s="936"/>
    </row>
    <row r="216" spans="2:65" s="939" customFormat="1" ht="17.25" customHeight="1" thickTop="1">
      <c r="C216" s="958" t="s">
        <v>502</v>
      </c>
      <c r="D216" s="958"/>
      <c r="E216" s="958" t="str" cm="1">
        <f t="array" ref="E216">angleDecimal2Txt(angleConvert2Decimal(M94))</f>
        <v>+66°57.00 (+66.9500) [+66°57'00.00]</v>
      </c>
      <c r="F216" s="958"/>
      <c r="G216" s="958"/>
      <c r="H216" s="958"/>
      <c r="I216" s="958"/>
      <c r="AB216" s="938"/>
      <c r="AC216" s="936"/>
      <c r="AD216" s="936"/>
      <c r="AE216" s="936"/>
      <c r="AF216" s="936"/>
      <c r="AG216" s="936"/>
      <c r="AH216" s="936"/>
      <c r="AI216" s="936"/>
      <c r="AJ216" s="936"/>
      <c r="AK216" s="936"/>
      <c r="AL216" s="936"/>
      <c r="AM216" s="936"/>
      <c r="AN216" s="936"/>
      <c r="AO216" s="936"/>
      <c r="AP216" s="936"/>
      <c r="AQ216" s="936"/>
      <c r="AR216" s="936"/>
      <c r="AS216" s="936"/>
      <c r="AT216" s="936"/>
      <c r="AU216" s="936"/>
      <c r="AV216" s="936"/>
      <c r="AW216" s="936"/>
      <c r="AX216" s="936"/>
      <c r="AY216" s="936"/>
      <c r="AZ216" s="936"/>
      <c r="BA216" s="936"/>
      <c r="BB216" s="936"/>
      <c r="BC216" s="936"/>
      <c r="BD216" s="936"/>
      <c r="BE216" s="936"/>
      <c r="BF216" s="936"/>
      <c r="BG216" s="936"/>
      <c r="BH216" s="936"/>
      <c r="BI216" s="936"/>
      <c r="BJ216" s="936"/>
      <c r="BK216" s="936"/>
      <c r="BL216" s="936"/>
      <c r="BM216" s="936"/>
    </row>
    <row r="217" spans="2:65" s="939" customFormat="1" ht="17.25" customHeight="1">
      <c r="C217" s="942" t="s">
        <v>70</v>
      </c>
      <c r="D217" s="942"/>
      <c r="E217" s="942" t="str">
        <f>J96</f>
        <v>BordInf</v>
      </c>
      <c r="F217" s="942"/>
      <c r="G217" s="942"/>
      <c r="H217" s="942"/>
      <c r="I217" s="942"/>
      <c r="AB217" s="938"/>
      <c r="AC217" s="936"/>
      <c r="AD217" s="936"/>
      <c r="AE217" s="936"/>
      <c r="AF217" s="936"/>
      <c r="AG217" s="936"/>
      <c r="AH217" s="936"/>
      <c r="AI217" s="936"/>
      <c r="AJ217" s="936"/>
      <c r="AK217" s="936"/>
      <c r="AL217" s="936"/>
      <c r="AM217" s="936"/>
      <c r="AN217" s="936"/>
      <c r="AO217" s="936"/>
      <c r="AP217" s="936"/>
      <c r="AQ217" s="936"/>
      <c r="AR217" s="936"/>
      <c r="AS217" s="936"/>
      <c r="AT217" s="936"/>
      <c r="AU217" s="936"/>
      <c r="AV217" s="936"/>
      <c r="AW217" s="936"/>
      <c r="AX217" s="936"/>
      <c r="AY217" s="936"/>
      <c r="AZ217" s="936"/>
      <c r="BA217" s="936"/>
      <c r="BB217" s="936"/>
      <c r="BC217" s="936"/>
      <c r="BD217" s="936"/>
      <c r="BE217" s="936"/>
      <c r="BF217" s="936"/>
      <c r="BG217" s="936"/>
      <c r="BH217" s="936"/>
      <c r="BI217" s="936"/>
      <c r="BJ217" s="936"/>
      <c r="BK217" s="936"/>
      <c r="BL217" s="936"/>
      <c r="BM217" s="936"/>
    </row>
    <row r="218" spans="2:65" s="939" customFormat="1" ht="17.25" customHeight="1">
      <c r="C218" s="959" t="s">
        <v>503</v>
      </c>
      <c r="D218" s="959"/>
      <c r="E218" s="962" t="str" cm="1">
        <f t="array" ref="E218">angleDecimal2Txt(angleConvert2Decimal(M93))</f>
        <v>+00°01.30 (+00.0216) [+00°01'18.00]</v>
      </c>
      <c r="F218" s="962"/>
      <c r="G218" s="962"/>
      <c r="H218" s="962"/>
      <c r="I218" s="962"/>
      <c r="AB218" s="938"/>
      <c r="AC218" s="936"/>
      <c r="AD218" s="936"/>
      <c r="AE218" s="936"/>
      <c r="AF218" s="936"/>
      <c r="AG218" s="936"/>
      <c r="AH218" s="936"/>
      <c r="AI218" s="936"/>
      <c r="AJ218" s="936"/>
      <c r="AK218" s="936"/>
      <c r="AL218" s="936"/>
      <c r="AM218" s="936"/>
      <c r="AN218" s="936"/>
      <c r="AO218" s="936"/>
      <c r="AP218" s="936"/>
      <c r="AQ218" s="936"/>
      <c r="AR218" s="936"/>
      <c r="AS218" s="936"/>
      <c r="AT218" s="936"/>
      <c r="AU218" s="936"/>
      <c r="AV218" s="936"/>
      <c r="AW218" s="936"/>
      <c r="AX218" s="936"/>
      <c r="AY218" s="936"/>
      <c r="AZ218" s="936"/>
      <c r="BA218" s="936"/>
      <c r="BB218" s="936"/>
      <c r="BC218" s="936"/>
      <c r="BD218" s="936"/>
      <c r="BE218" s="936"/>
      <c r="BF218" s="936"/>
      <c r="BG218" s="936"/>
      <c r="BH218" s="936"/>
      <c r="BI218" s="936"/>
      <c r="BJ218" s="936"/>
      <c r="BK218" s="936"/>
      <c r="BL218" s="936"/>
      <c r="BM218" s="936"/>
    </row>
    <row r="219" spans="2:65" s="939" customFormat="1" ht="17.25" customHeight="1">
      <c r="C219" s="960" t="s">
        <v>504</v>
      </c>
      <c r="D219" s="960"/>
      <c r="E219" s="963" t="str">
        <f>CONCATENATE(M92, " m")</f>
        <v>2 m</v>
      </c>
      <c r="F219" s="963"/>
      <c r="G219" s="963"/>
      <c r="H219" s="963"/>
      <c r="I219" s="963"/>
      <c r="AB219" s="938"/>
      <c r="AC219" s="936"/>
      <c r="AD219" s="936"/>
      <c r="AE219" s="936"/>
      <c r="AF219" s="936"/>
      <c r="AG219" s="936"/>
      <c r="AH219" s="936"/>
      <c r="AI219" s="936"/>
      <c r="AJ219" s="936"/>
      <c r="AK219" s="936"/>
      <c r="AL219" s="936"/>
      <c r="AM219" s="936"/>
      <c r="AN219" s="936"/>
      <c r="AO219" s="936"/>
      <c r="AP219" s="936"/>
      <c r="AQ219" s="936"/>
      <c r="AR219" s="936"/>
      <c r="AS219" s="936"/>
      <c r="AT219" s="936"/>
      <c r="AU219" s="936"/>
      <c r="AV219" s="936"/>
      <c r="AW219" s="936"/>
      <c r="AX219" s="936"/>
      <c r="AY219" s="936"/>
      <c r="AZ219" s="936"/>
      <c r="BA219" s="936"/>
      <c r="BB219" s="936"/>
      <c r="BC219" s="936"/>
      <c r="BD219" s="936"/>
      <c r="BE219" s="936"/>
      <c r="BF219" s="936"/>
      <c r="BG219" s="936"/>
      <c r="BH219" s="936"/>
      <c r="BI219" s="936"/>
      <c r="BJ219" s="936"/>
      <c r="BK219" s="936"/>
      <c r="BL219" s="936"/>
      <c r="BM219" s="936"/>
    </row>
    <row r="220" spans="2:65" s="939" customFormat="1" ht="17.25" customHeight="1">
      <c r="E220" s="945" t="str" cm="1">
        <f t="array" ref="E220">angleDecimal2Txt(O138)</f>
        <v>+66°53.21 (+66.8868) [+66°53'12.82]</v>
      </c>
      <c r="F220" s="945"/>
      <c r="G220" s="945"/>
      <c r="H220" s="945"/>
      <c r="I220" s="945"/>
      <c r="J220" s="945" t="s">
        <v>506</v>
      </c>
      <c r="K220" s="945"/>
      <c r="L220" s="945"/>
      <c r="AB220" s="938"/>
      <c r="AC220" s="936"/>
      <c r="AD220" s="936"/>
      <c r="AE220" s="936"/>
      <c r="AF220" s="936"/>
      <c r="AG220" s="936"/>
      <c r="AH220" s="936"/>
      <c r="AI220" s="936"/>
      <c r="AJ220" s="936"/>
      <c r="AK220" s="936"/>
      <c r="AL220" s="936"/>
      <c r="AM220" s="936"/>
      <c r="AN220" s="936"/>
      <c r="AO220" s="936"/>
      <c r="AP220" s="936"/>
      <c r="AQ220" s="936"/>
      <c r="AR220" s="936"/>
      <c r="AS220" s="936"/>
      <c r="AT220" s="936"/>
      <c r="AU220" s="936"/>
      <c r="AV220" s="936"/>
      <c r="AW220" s="936"/>
      <c r="AX220" s="936"/>
      <c r="AY220" s="936"/>
      <c r="AZ220" s="936"/>
      <c r="BA220" s="936"/>
      <c r="BB220" s="936"/>
      <c r="BC220" s="936"/>
      <c r="BD220" s="936"/>
      <c r="BE220" s="936"/>
      <c r="BF220" s="936"/>
      <c r="BG220" s="936"/>
      <c r="BH220" s="936"/>
      <c r="BI220" s="936"/>
      <c r="BJ220" s="936"/>
      <c r="BK220" s="936"/>
      <c r="BL220" s="936"/>
      <c r="BM220" s="936"/>
    </row>
    <row r="221" spans="2:65" s="939" customFormat="1" ht="17.25" customHeight="1">
      <c r="E221" s="956"/>
      <c r="F221" s="971" t="s">
        <v>504</v>
      </c>
      <c r="G221" s="972"/>
      <c r="H221" s="973" t="str" cm="1">
        <f t="array" ref="H221">angleDecimal2Txt(O136)</f>
        <v>+00°02.48 (+00.0414) [+00°02'29.17]</v>
      </c>
      <c r="I221" s="973"/>
      <c r="J221" s="973"/>
      <c r="K221" s="973"/>
      <c r="L221" s="973"/>
      <c r="AB221" s="938"/>
      <c r="AC221" s="936"/>
      <c r="AD221" s="936"/>
      <c r="AE221" s="936"/>
      <c r="AF221" s="936"/>
      <c r="AG221" s="936"/>
      <c r="AH221" s="936"/>
      <c r="AI221" s="936"/>
      <c r="AJ221" s="936"/>
      <c r="AK221" s="936"/>
      <c r="AL221" s="936"/>
      <c r="AM221" s="936"/>
      <c r="AN221" s="936"/>
      <c r="AO221" s="936"/>
      <c r="AP221" s="936"/>
      <c r="AQ221" s="936"/>
      <c r="AR221" s="936"/>
      <c r="AS221" s="936"/>
      <c r="AT221" s="936"/>
      <c r="AU221" s="936"/>
      <c r="AV221" s="936"/>
      <c r="AW221" s="936"/>
      <c r="AX221" s="936"/>
      <c r="AY221" s="936"/>
      <c r="AZ221" s="936"/>
      <c r="BA221" s="936"/>
      <c r="BB221" s="936"/>
      <c r="BC221" s="936"/>
      <c r="BD221" s="936"/>
      <c r="BE221" s="936"/>
      <c r="BF221" s="936"/>
      <c r="BG221" s="936"/>
      <c r="BH221" s="936"/>
      <c r="BI221" s="936"/>
      <c r="BJ221" s="936"/>
      <c r="BK221" s="936"/>
      <c r="BL221" s="936"/>
      <c r="BM221" s="936"/>
    </row>
    <row r="222" spans="2:65" s="939" customFormat="1" ht="17.25" customHeight="1">
      <c r="F222" s="974" t="s">
        <v>511</v>
      </c>
      <c r="G222" s="974"/>
      <c r="H222" s="973" t="str" cm="1">
        <f t="array" ref="H222">angleDecimal2Txt(O148)</f>
        <v>+00°00.42 (+00.0070) [+00°00'25.46]</v>
      </c>
      <c r="I222" s="973"/>
      <c r="J222" s="973"/>
      <c r="K222" s="973"/>
      <c r="L222" s="973"/>
      <c r="AB222" s="938"/>
      <c r="AC222" s="936"/>
      <c r="AD222" s="936"/>
      <c r="AE222" s="936"/>
      <c r="AF222" s="936"/>
      <c r="AG222" s="936"/>
      <c r="AH222" s="936"/>
      <c r="AI222" s="936"/>
      <c r="AJ222" s="936"/>
      <c r="AK222" s="936"/>
      <c r="AL222" s="936"/>
      <c r="AM222" s="936"/>
      <c r="AN222" s="936"/>
      <c r="AO222" s="936"/>
      <c r="AP222" s="936"/>
      <c r="AQ222" s="936"/>
      <c r="AR222" s="936"/>
      <c r="AS222" s="936"/>
      <c r="AT222" s="936"/>
      <c r="AU222" s="936"/>
      <c r="AV222" s="936"/>
      <c r="AW222" s="936"/>
      <c r="AX222" s="936"/>
      <c r="AY222" s="936"/>
      <c r="AZ222" s="936"/>
      <c r="BA222" s="936"/>
      <c r="BB222" s="936"/>
      <c r="BC222" s="936"/>
      <c r="BD222" s="936"/>
      <c r="BE222" s="936"/>
      <c r="BF222" s="936"/>
      <c r="BG222" s="936"/>
      <c r="BH222" s="936"/>
      <c r="BI222" s="936"/>
      <c r="BJ222" s="936"/>
      <c r="BK222" s="936"/>
      <c r="BL222" s="936"/>
      <c r="BM222" s="936"/>
    </row>
    <row r="223" spans="2:65" s="939" customFormat="1" ht="17.25" customHeight="1">
      <c r="F223" s="974" t="s">
        <v>512</v>
      </c>
      <c r="G223" s="974"/>
      <c r="H223" s="974" t="str" cm="1">
        <f t="array" ref="H223">angleDecimal2Txt(O143)</f>
        <v>+00°00.06 (+00.0011) [+00°00'04.07]</v>
      </c>
      <c r="I223" s="974"/>
      <c r="J223" s="974"/>
      <c r="K223" s="974"/>
      <c r="L223" s="974"/>
      <c r="AB223" s="938"/>
      <c r="AC223" s="936"/>
      <c r="AD223" s="936"/>
      <c r="AE223" s="936"/>
      <c r="AF223" s="936"/>
      <c r="AG223" s="936"/>
      <c r="AH223" s="936"/>
      <c r="AI223" s="936"/>
      <c r="AJ223" s="936"/>
      <c r="AK223" s="936"/>
      <c r="AL223" s="936"/>
      <c r="AM223" s="936"/>
      <c r="AN223" s="936"/>
      <c r="AO223" s="936"/>
      <c r="AP223" s="936"/>
      <c r="AQ223" s="936"/>
      <c r="AR223" s="936"/>
      <c r="AS223" s="936"/>
      <c r="AT223" s="936"/>
      <c r="AU223" s="936"/>
      <c r="AV223" s="936"/>
      <c r="AW223" s="936"/>
      <c r="AX223" s="936"/>
      <c r="AY223" s="936"/>
      <c r="AZ223" s="936"/>
      <c r="BA223" s="936"/>
      <c r="BB223" s="936"/>
      <c r="BC223" s="936"/>
      <c r="BD223" s="936"/>
      <c r="BE223" s="936"/>
      <c r="BF223" s="936"/>
      <c r="BG223" s="936"/>
      <c r="BH223" s="936"/>
      <c r="BI223" s="936"/>
      <c r="BJ223" s="936"/>
      <c r="BK223" s="936"/>
      <c r="BL223" s="936"/>
      <c r="BM223" s="936"/>
    </row>
    <row r="224" spans="2:65" s="939" customFormat="1" ht="17.25" customHeight="1">
      <c r="F224" s="974" t="s">
        <v>106</v>
      </c>
      <c r="G224" s="974"/>
      <c r="H224" s="974" t="str" cm="1">
        <f t="array" ref="H224">angleDecimal2Txt(O150)</f>
        <v>+00°32.00 (+00.5333) [+00°32'00.00]</v>
      </c>
      <c r="I224" s="974"/>
      <c r="J224" s="974"/>
      <c r="K224" s="974"/>
      <c r="L224" s="974"/>
      <c r="AB224" s="938"/>
      <c r="AC224" s="936"/>
      <c r="AD224" s="936"/>
      <c r="AE224" s="936"/>
      <c r="AF224" s="936"/>
      <c r="AG224" s="936"/>
      <c r="AH224" s="936"/>
      <c r="AI224" s="936"/>
      <c r="AJ224" s="936"/>
      <c r="AK224" s="936"/>
      <c r="AL224" s="936"/>
      <c r="AM224" s="936"/>
      <c r="AN224" s="936"/>
      <c r="AO224" s="936"/>
      <c r="AP224" s="936"/>
      <c r="AQ224" s="936"/>
      <c r="AR224" s="936"/>
      <c r="AS224" s="936"/>
      <c r="AT224" s="936"/>
      <c r="AU224" s="936"/>
      <c r="AV224" s="936"/>
      <c r="AW224" s="936"/>
      <c r="AX224" s="936"/>
      <c r="AY224" s="936"/>
      <c r="AZ224" s="936"/>
      <c r="BA224" s="936"/>
      <c r="BB224" s="936"/>
      <c r="BC224" s="936"/>
      <c r="BD224" s="936"/>
      <c r="BE224" s="936"/>
      <c r="BF224" s="936"/>
      <c r="BG224" s="936"/>
      <c r="BH224" s="936"/>
      <c r="BI224" s="936"/>
      <c r="BJ224" s="936"/>
      <c r="BK224" s="936"/>
      <c r="BL224" s="936"/>
      <c r="BM224" s="936"/>
    </row>
    <row r="225" spans="2:66" s="939" customFormat="1" ht="17.25" customHeight="1">
      <c r="F225" s="974" t="s">
        <v>71</v>
      </c>
      <c r="G225" s="974"/>
      <c r="H225" s="974" t="str" cm="1">
        <f t="array" ref="H225">angleDecimal2Txt(O152)</f>
        <v>+00°16.00 (+00.2666) [+00°16'00.00]</v>
      </c>
      <c r="I225" s="974"/>
      <c r="J225" s="974"/>
      <c r="K225" s="974"/>
      <c r="L225" s="974"/>
      <c r="AB225" s="938"/>
      <c r="AC225" s="936"/>
      <c r="AD225" s="936"/>
      <c r="AE225" s="936"/>
      <c r="AF225" s="936"/>
      <c r="AG225" s="936"/>
      <c r="AH225" s="936"/>
      <c r="AI225" s="936"/>
      <c r="AJ225" s="936"/>
      <c r="AK225" s="936"/>
      <c r="AL225" s="936"/>
      <c r="AM225" s="936"/>
      <c r="AN225" s="936"/>
      <c r="AO225" s="936"/>
      <c r="AP225" s="936"/>
      <c r="AQ225" s="936"/>
      <c r="AR225" s="936"/>
      <c r="AS225" s="936"/>
      <c r="AT225" s="936"/>
      <c r="AU225" s="936"/>
      <c r="AV225" s="936"/>
      <c r="AW225" s="936"/>
      <c r="AX225" s="936"/>
      <c r="AY225" s="936"/>
      <c r="AZ225" s="936"/>
      <c r="BA225" s="936"/>
      <c r="BB225" s="936"/>
      <c r="BC225" s="936"/>
      <c r="BD225" s="936"/>
      <c r="BE225" s="936"/>
      <c r="BF225" s="936"/>
      <c r="BG225" s="936"/>
      <c r="BH225" s="936"/>
      <c r="BI225" s="936"/>
      <c r="BJ225" s="936"/>
      <c r="BK225" s="936"/>
      <c r="BL225" s="936"/>
      <c r="BM225" s="936"/>
    </row>
    <row r="226" spans="2:66" s="939" customFormat="1" ht="17.25" customHeight="1">
      <c r="D226" s="941"/>
      <c r="E226" s="945" t="str" cm="1">
        <f t="array" ref="E226">angleDecimal2Txt(F131)</f>
        <v>+67°08.85 (+67.1476) [+67°08'51.43]</v>
      </c>
      <c r="F226" s="945"/>
      <c r="G226" s="945"/>
      <c r="H226" s="945"/>
      <c r="I226" s="945"/>
      <c r="J226" s="945" t="s">
        <v>505</v>
      </c>
      <c r="K226" s="945"/>
      <c r="L226" s="945"/>
      <c r="AB226" s="938"/>
      <c r="AC226" s="936"/>
      <c r="AD226" s="936"/>
      <c r="AE226" s="936"/>
      <c r="AF226" s="936"/>
      <c r="AG226" s="936"/>
      <c r="AH226" s="936"/>
      <c r="AI226" s="936"/>
      <c r="AJ226" s="936"/>
      <c r="AK226" s="936"/>
      <c r="AL226" s="936"/>
      <c r="AM226" s="936"/>
      <c r="AN226" s="936"/>
      <c r="AO226" s="936"/>
      <c r="AP226" s="936"/>
      <c r="AQ226" s="936"/>
      <c r="AR226" s="936"/>
      <c r="AS226" s="936"/>
      <c r="AT226" s="936"/>
      <c r="AU226" s="936"/>
      <c r="AV226" s="936"/>
      <c r="AW226" s="936"/>
      <c r="AX226" s="936"/>
      <c r="AY226" s="936"/>
      <c r="AZ226" s="936"/>
      <c r="BA226" s="936"/>
      <c r="BB226" s="936"/>
      <c r="BC226" s="936"/>
      <c r="BD226" s="936"/>
      <c r="BE226" s="936"/>
      <c r="BF226" s="936"/>
      <c r="BG226" s="936"/>
      <c r="BH226" s="936"/>
      <c r="BI226" s="936"/>
      <c r="BJ226" s="936"/>
      <c r="BK226" s="936"/>
      <c r="BL226" s="936"/>
      <c r="BM226" s="936"/>
    </row>
    <row r="227" spans="2:66" s="939" customFormat="1" ht="17.25" customHeight="1">
      <c r="D227" s="941"/>
      <c r="F227" s="974" t="str" cm="1">
        <f t="array" ref="F227">angleDecimal2Txt(O143-O148-O136)</f>
        <v>-00°02.84 (-00.0473) [-00°02'50.56]</v>
      </c>
      <c r="G227" s="974"/>
      <c r="H227" s="974"/>
      <c r="I227" s="974"/>
      <c r="J227" s="974"/>
      <c r="K227" s="974" t="s">
        <v>513</v>
      </c>
      <c r="L227" s="974"/>
      <c r="M227" s="974"/>
      <c r="N227" s="976" t="s">
        <v>529</v>
      </c>
      <c r="O227" s="976"/>
      <c r="P227" s="976"/>
      <c r="AB227" s="938"/>
      <c r="AC227" s="936"/>
      <c r="AD227" s="936"/>
      <c r="AE227" s="936"/>
      <c r="AF227" s="936"/>
      <c r="AG227" s="936"/>
      <c r="AH227" s="936"/>
      <c r="AI227" s="936"/>
      <c r="AJ227" s="936"/>
      <c r="AK227" s="936"/>
      <c r="AL227" s="936"/>
      <c r="AM227" s="936"/>
      <c r="AN227" s="936"/>
      <c r="AO227" s="936"/>
      <c r="AP227" s="936"/>
      <c r="AQ227" s="936"/>
      <c r="AR227" s="936"/>
      <c r="AS227" s="936"/>
      <c r="AT227" s="936"/>
      <c r="AU227" s="936"/>
      <c r="AV227" s="936"/>
      <c r="AW227" s="936"/>
      <c r="AX227" s="936"/>
      <c r="AY227" s="936"/>
      <c r="AZ227" s="936"/>
      <c r="BA227" s="936"/>
      <c r="BB227" s="936"/>
      <c r="BC227" s="936"/>
      <c r="BD227" s="936"/>
      <c r="BE227" s="936"/>
      <c r="BF227" s="936"/>
      <c r="BG227" s="936"/>
      <c r="BH227" s="936"/>
      <c r="BI227" s="936"/>
      <c r="BJ227" s="936"/>
      <c r="BK227" s="936"/>
      <c r="BL227" s="936"/>
      <c r="BM227" s="936"/>
    </row>
    <row r="228" spans="2:66" s="939" customFormat="1" ht="17.25" customHeight="1">
      <c r="D228" s="941"/>
      <c r="F228" s="974" t="str" cm="1">
        <f t="array" ref="F228">angleDecimal2Txt(O143-O148-O136+O152)</f>
        <v>+00°13.15 (+00.2192) [+00°13'09.43]</v>
      </c>
      <c r="G228" s="974"/>
      <c r="H228" s="974"/>
      <c r="I228" s="974"/>
      <c r="J228" s="974"/>
      <c r="K228" s="974" t="s">
        <v>509</v>
      </c>
      <c r="L228" s="974"/>
      <c r="M228" s="974"/>
      <c r="N228" s="976"/>
      <c r="O228" s="976"/>
      <c r="P228" s="976"/>
      <c r="AB228" s="938"/>
      <c r="AC228" s="936"/>
      <c r="AD228" s="936"/>
      <c r="AE228" s="936"/>
      <c r="AF228" s="936"/>
      <c r="AG228" s="936"/>
      <c r="AH228" s="936"/>
      <c r="AI228" s="936"/>
      <c r="AJ228" s="936"/>
      <c r="AK228" s="936"/>
      <c r="AL228" s="936"/>
      <c r="AM228" s="936"/>
      <c r="AN228" s="936"/>
      <c r="AO228" s="936"/>
      <c r="AP228" s="936"/>
      <c r="AQ228" s="936"/>
      <c r="AR228" s="936"/>
      <c r="AS228" s="936"/>
      <c r="AT228" s="936"/>
      <c r="AU228" s="936"/>
      <c r="AV228" s="936"/>
      <c r="AW228" s="936"/>
      <c r="AX228" s="936"/>
      <c r="AY228" s="936"/>
      <c r="AZ228" s="936"/>
      <c r="BA228" s="936"/>
      <c r="BB228" s="936"/>
      <c r="BC228" s="936"/>
      <c r="BD228" s="936"/>
      <c r="BE228" s="936"/>
      <c r="BF228" s="936"/>
      <c r="BG228" s="936"/>
      <c r="BH228" s="936"/>
      <c r="BI228" s="936"/>
      <c r="BJ228" s="936"/>
      <c r="BK228" s="936"/>
      <c r="BL228" s="936"/>
      <c r="BM228" s="936"/>
    </row>
    <row r="229" spans="2:66" s="939" customFormat="1" ht="17.25" customHeight="1">
      <c r="D229" s="941"/>
      <c r="F229" s="974" t="str" cm="1">
        <f t="array" ref="F229">angleDecimal2Txt(O143-O148+O152)</f>
        <v>+00°15.64 (+00.2607) [+00°15'38.61]</v>
      </c>
      <c r="G229" s="974"/>
      <c r="H229" s="974"/>
      <c r="I229" s="974"/>
      <c r="J229" s="974"/>
      <c r="K229" s="974" t="s">
        <v>510</v>
      </c>
      <c r="L229" s="974"/>
      <c r="M229" s="974"/>
      <c r="N229" s="976"/>
      <c r="O229" s="976"/>
      <c r="P229" s="976"/>
      <c r="AB229" s="938"/>
      <c r="AC229" s="936"/>
      <c r="AD229" s="936"/>
      <c r="AE229" s="936"/>
      <c r="AF229" s="936"/>
      <c r="AG229" s="936"/>
      <c r="AH229" s="936"/>
      <c r="AI229" s="936"/>
      <c r="AJ229" s="936"/>
      <c r="AK229" s="936"/>
      <c r="AL229" s="936"/>
      <c r="AM229" s="936"/>
      <c r="AN229" s="936"/>
      <c r="AO229" s="936"/>
      <c r="AP229" s="936"/>
      <c r="AQ229" s="936"/>
      <c r="AR229" s="936"/>
      <c r="AS229" s="936"/>
      <c r="AT229" s="936"/>
      <c r="AU229" s="936"/>
      <c r="AV229" s="936"/>
      <c r="AW229" s="936"/>
      <c r="AX229" s="936"/>
      <c r="AY229" s="936"/>
      <c r="AZ229" s="936"/>
      <c r="BA229" s="936"/>
      <c r="BB229" s="936"/>
      <c r="BC229" s="936"/>
      <c r="BD229" s="936"/>
      <c r="BE229" s="936"/>
      <c r="BF229" s="936"/>
      <c r="BG229" s="936"/>
      <c r="BH229" s="936"/>
      <c r="BI229" s="936"/>
      <c r="BJ229" s="936"/>
      <c r="BK229" s="936"/>
      <c r="BL229" s="936"/>
      <c r="BM229" s="936"/>
    </row>
    <row r="230" spans="2:66" s="939" customFormat="1" ht="17.25" customHeight="1">
      <c r="AB230" s="938"/>
      <c r="AC230" s="936"/>
      <c r="AD230" s="936"/>
      <c r="AE230" s="936"/>
      <c r="AF230" s="936"/>
      <c r="AG230" s="936"/>
      <c r="AH230" s="936"/>
      <c r="AI230" s="936"/>
      <c r="AJ230" s="936"/>
      <c r="AK230" s="936"/>
      <c r="AL230" s="936"/>
      <c r="AM230" s="936"/>
      <c r="AN230" s="936"/>
      <c r="AO230" s="936"/>
      <c r="AP230" s="936"/>
      <c r="AQ230" s="936"/>
      <c r="AR230" s="936"/>
      <c r="AS230" s="936"/>
      <c r="AT230" s="936"/>
      <c r="AU230" s="936"/>
      <c r="AV230" s="936"/>
      <c r="AW230" s="936"/>
      <c r="AX230" s="936"/>
      <c r="AY230" s="936"/>
      <c r="AZ230" s="936"/>
      <c r="BA230" s="936"/>
      <c r="BB230" s="936"/>
      <c r="BC230" s="936"/>
      <c r="BD230" s="936"/>
      <c r="BE230" s="936"/>
      <c r="BF230" s="936"/>
      <c r="BG230" s="936"/>
      <c r="BH230" s="936"/>
      <c r="BI230" s="936"/>
      <c r="BJ230" s="936"/>
      <c r="BK230" s="936"/>
      <c r="BL230" s="936"/>
      <c r="BM230" s="936"/>
    </row>
    <row r="231" spans="2:66" s="939" customFormat="1" ht="17.25" customHeight="1">
      <c r="C231" s="941"/>
      <c r="AB231" s="938"/>
      <c r="AC231" s="936"/>
      <c r="AD231" s="936"/>
      <c r="AE231" s="936"/>
      <c r="AF231" s="936"/>
      <c r="AG231" s="936"/>
      <c r="AH231" s="936"/>
      <c r="AI231" s="936"/>
      <c r="AJ231" s="936"/>
      <c r="AK231" s="936"/>
      <c r="AL231" s="936"/>
      <c r="AM231" s="936"/>
      <c r="AN231" s="936"/>
      <c r="AO231" s="936"/>
      <c r="AP231" s="936"/>
      <c r="AQ231" s="936"/>
      <c r="AR231" s="936"/>
      <c r="AS231" s="936"/>
      <c r="AT231" s="936"/>
      <c r="AU231" s="936"/>
      <c r="AV231" s="936"/>
      <c r="AW231" s="936"/>
      <c r="AX231" s="936"/>
      <c r="AY231" s="936"/>
      <c r="AZ231" s="936"/>
      <c r="BA231" s="936"/>
      <c r="BB231" s="936"/>
      <c r="BC231" s="936"/>
      <c r="BD231" s="936"/>
      <c r="BE231" s="936"/>
      <c r="BF231" s="936"/>
      <c r="BG231" s="936"/>
      <c r="BH231" s="936"/>
      <c r="BI231" s="936"/>
      <c r="BJ231" s="936"/>
      <c r="BK231" s="936"/>
      <c r="BL231" s="936"/>
      <c r="BM231" s="936"/>
    </row>
    <row r="232" spans="2:66" s="939" customFormat="1" ht="17.25" customHeight="1" thickBot="1">
      <c r="B232" s="951" t="s">
        <v>62</v>
      </c>
      <c r="C232" s="952"/>
      <c r="D232" s="952"/>
      <c r="E232" s="952"/>
      <c r="F232" s="952"/>
      <c r="G232" s="952"/>
      <c r="H232" s="951"/>
      <c r="I232" s="951"/>
      <c r="J232" s="951"/>
      <c r="K232" s="951"/>
      <c r="L232" s="951"/>
      <c r="M232" s="951"/>
      <c r="N232" s="951"/>
      <c r="O232" s="951"/>
      <c r="P232" s="951"/>
      <c r="Q232" s="951"/>
      <c r="AB232" s="938"/>
      <c r="AC232" s="936"/>
      <c r="AD232" s="936"/>
      <c r="AE232" s="936"/>
      <c r="AF232" s="936"/>
      <c r="AG232" s="936"/>
      <c r="AH232" s="936"/>
      <c r="AI232" s="936"/>
      <c r="AJ232" s="936"/>
      <c r="AK232" s="936"/>
      <c r="AL232" s="936"/>
      <c r="AM232" s="936"/>
      <c r="AN232" s="936"/>
      <c r="AO232" s="936"/>
      <c r="AP232" s="936"/>
      <c r="AQ232" s="936"/>
      <c r="AR232" s="936"/>
      <c r="AS232" s="936"/>
      <c r="AT232" s="936"/>
      <c r="AU232" s="936"/>
      <c r="AV232" s="936"/>
      <c r="AW232" s="936"/>
      <c r="AX232" s="936"/>
      <c r="AY232" s="936"/>
      <c r="AZ232" s="936"/>
      <c r="BA232" s="936"/>
      <c r="BB232" s="936"/>
      <c r="BC232" s="936"/>
      <c r="BD232" s="936"/>
      <c r="BE232" s="936"/>
      <c r="BF232" s="936"/>
      <c r="BG232" s="936"/>
      <c r="BH232" s="936"/>
      <c r="BI232" s="936"/>
      <c r="BJ232" s="936"/>
      <c r="BK232" s="936"/>
      <c r="BL232" s="936"/>
      <c r="BM232" s="936"/>
    </row>
    <row r="233" spans="2:66" s="939" customFormat="1" ht="17.25" customHeight="1" thickTop="1">
      <c r="C233" s="964" t="s">
        <v>514</v>
      </c>
      <c r="D233" s="964"/>
      <c r="E233" s="964" t="str" cm="1">
        <f t="array" ref="E233">latitudeDecimal2Txt(F109)</f>
        <v>N 46°06.00 (N 46.1000) [N 46°06'00.00]</v>
      </c>
      <c r="F233" s="964"/>
      <c r="G233" s="964"/>
      <c r="H233" s="964"/>
      <c r="I233" s="964"/>
      <c r="J233" s="964"/>
      <c r="AB233" s="938"/>
      <c r="AC233" s="936"/>
      <c r="AD233" s="936"/>
      <c r="AE233" s="936"/>
      <c r="AF233" s="936"/>
      <c r="AG233" s="936"/>
      <c r="AH233" s="936"/>
      <c r="AI233" s="936"/>
      <c r="AJ233" s="936"/>
      <c r="AK233" s="936"/>
      <c r="AL233" s="936"/>
      <c r="AM233" s="936"/>
      <c r="AN233" s="936"/>
      <c r="AO233" s="936"/>
      <c r="AP233" s="936"/>
      <c r="AQ233" s="936"/>
      <c r="AR233" s="936"/>
      <c r="AS233" s="936"/>
      <c r="AT233" s="936"/>
      <c r="AU233" s="936"/>
      <c r="AV233" s="936"/>
      <c r="AW233" s="936"/>
      <c r="AX233" s="936"/>
      <c r="AY233" s="936"/>
      <c r="AZ233" s="936"/>
      <c r="BA233" s="936"/>
      <c r="BB233" s="936"/>
      <c r="BC233" s="936"/>
      <c r="BD233" s="936"/>
      <c r="BE233" s="936"/>
      <c r="BF233" s="936"/>
      <c r="BG233" s="936"/>
      <c r="BH233" s="936"/>
      <c r="BI233" s="936"/>
      <c r="BJ233" s="936"/>
      <c r="BK233" s="936"/>
      <c r="BL233" s="936"/>
      <c r="BM233" s="936"/>
    </row>
    <row r="234" spans="2:66" s="939" customFormat="1" ht="17.25" customHeight="1">
      <c r="F234" s="976" t="str">
        <f>CONCATENATE("Déc. - ", G73)</f>
        <v xml:space="preserve">Déc. - </v>
      </c>
      <c r="G234" s="976"/>
      <c r="H234" s="974">
        <f>IF($G$114=$AD$114,M118,CONCATENATE("T0:",M126))</f>
        <v>12</v>
      </c>
      <c r="I234" s="974"/>
      <c r="J234" s="974" t="str" cm="1">
        <f t="array" ref="J234">IF($G$114=$AD$114,angleDecimal2Txt(AE117,0),CONCATENATE("Pos. à T0:",angleDecimal2Txt(AD125,0)))</f>
        <v>+23°08.09</v>
      </c>
      <c r="K234" s="974"/>
      <c r="L234" s="974"/>
      <c r="M234" s="974"/>
      <c r="AB234" s="938"/>
      <c r="AC234" s="936"/>
      <c r="AD234" s="936"/>
      <c r="AE234" s="936"/>
      <c r="AF234" s="936"/>
      <c r="AG234" s="936"/>
      <c r="AH234" s="936"/>
      <c r="AI234" s="936"/>
      <c r="AJ234" s="936"/>
      <c r="AK234" s="936"/>
      <c r="AL234" s="936"/>
      <c r="AM234" s="936"/>
      <c r="AN234" s="936"/>
      <c r="AO234" s="936"/>
      <c r="AP234" s="936"/>
      <c r="AQ234" s="936"/>
      <c r="AR234" s="936"/>
      <c r="AS234" s="936"/>
      <c r="AT234" s="936"/>
      <c r="AU234" s="936"/>
      <c r="AV234" s="936"/>
      <c r="AW234" s="936"/>
      <c r="AX234" s="936"/>
      <c r="AY234" s="936"/>
      <c r="AZ234" s="936"/>
      <c r="BA234" s="936"/>
      <c r="BB234" s="936"/>
      <c r="BC234" s="936"/>
      <c r="BD234" s="936"/>
      <c r="BE234" s="936"/>
      <c r="BF234" s="936"/>
      <c r="BG234" s="936"/>
      <c r="BH234" s="936"/>
      <c r="BI234" s="936"/>
      <c r="BJ234" s="936"/>
      <c r="BK234" s="936"/>
      <c r="BL234" s="936"/>
      <c r="BM234" s="936"/>
    </row>
    <row r="235" spans="2:66" s="939" customFormat="1" ht="17.25" customHeight="1">
      <c r="F235" s="976"/>
      <c r="G235" s="976"/>
      <c r="H235" s="974" cm="1">
        <f t="array" ref="H235">IF($G$114=$AD$114,M120,CONCATENATE("V:",angleDecimal2Txt(AD127,0)))</f>
        <v>13</v>
      </c>
      <c r="I235" s="974"/>
      <c r="J235" s="974" t="str" cm="1">
        <f t="array" ref="J235">IF($G$114=$AD$114,angleDecimal2Txt(AE118,0),CONCATENATE("dt:",TEXT((I126-M126),"0.000")," h"))</f>
        <v>+23°08.00</v>
      </c>
      <c r="K235" s="974"/>
      <c r="L235" s="974"/>
      <c r="M235" s="974"/>
      <c r="AB235" s="938"/>
      <c r="AC235" s="936"/>
      <c r="AD235" s="936"/>
      <c r="AE235" s="936"/>
      <c r="AF235" s="936"/>
      <c r="AG235" s="936"/>
      <c r="AH235" s="936"/>
      <c r="AI235" s="936"/>
      <c r="AJ235" s="936"/>
      <c r="AK235" s="936"/>
      <c r="AL235" s="936"/>
      <c r="AM235" s="936"/>
      <c r="AN235" s="936"/>
      <c r="AO235" s="936"/>
      <c r="AP235" s="936"/>
      <c r="AQ235" s="936"/>
      <c r="AR235" s="936"/>
      <c r="AS235" s="936"/>
      <c r="AT235" s="936"/>
      <c r="AU235" s="936"/>
      <c r="AV235" s="936"/>
      <c r="AW235" s="936"/>
      <c r="AX235" s="936"/>
      <c r="AY235" s="936"/>
      <c r="AZ235" s="936"/>
      <c r="BA235" s="936"/>
      <c r="BB235" s="936"/>
      <c r="BC235" s="936"/>
      <c r="BD235" s="936"/>
      <c r="BE235" s="936"/>
      <c r="BF235" s="936"/>
      <c r="BG235" s="936"/>
      <c r="BH235" s="936"/>
      <c r="BI235" s="936"/>
      <c r="BJ235" s="936"/>
      <c r="BK235" s="936"/>
      <c r="BL235" s="936"/>
      <c r="BM235" s="936"/>
    </row>
    <row r="236" spans="2:66" s="939" customFormat="1" ht="17.25" customHeight="1">
      <c r="C236" s="940" t="s">
        <v>9</v>
      </c>
      <c r="D236" s="940"/>
      <c r="E236" s="940" t="str" cm="1">
        <f t="array" ref="E236">latitudeDecimal2Txt(F113)</f>
        <v>N 23°08.04 (N 23.1341) [N 23°08'02.87]</v>
      </c>
      <c r="F236" s="940"/>
      <c r="G236" s="940"/>
      <c r="H236" s="940"/>
      <c r="I236" s="940"/>
      <c r="J236" s="940"/>
      <c r="AB236" s="938"/>
      <c r="AC236" s="936"/>
      <c r="AD236" s="936"/>
      <c r="AE236" s="936"/>
      <c r="AF236" s="936"/>
      <c r="AG236" s="936"/>
      <c r="AH236" s="936"/>
      <c r="AI236" s="936"/>
      <c r="AJ236" s="936"/>
      <c r="AK236" s="936"/>
      <c r="AL236" s="936"/>
      <c r="AM236" s="936"/>
      <c r="AN236" s="936"/>
      <c r="AO236" s="936"/>
      <c r="AP236" s="936"/>
      <c r="AQ236" s="936"/>
      <c r="AR236" s="936"/>
      <c r="AS236" s="936"/>
      <c r="AT236" s="936"/>
      <c r="AU236" s="936"/>
      <c r="AV236" s="936"/>
      <c r="AW236" s="936"/>
      <c r="AX236" s="936"/>
      <c r="AY236" s="936"/>
      <c r="AZ236" s="936"/>
      <c r="BA236" s="936"/>
      <c r="BB236" s="936"/>
      <c r="BC236" s="936"/>
      <c r="BD236" s="936"/>
      <c r="BE236" s="936"/>
      <c r="BF236" s="936"/>
      <c r="BG236" s="936"/>
      <c r="BH236" s="936"/>
      <c r="BI236" s="936"/>
      <c r="BJ236" s="936"/>
      <c r="BK236" s="936"/>
      <c r="BL236" s="936"/>
      <c r="BM236" s="936"/>
    </row>
    <row r="237" spans="2:66" s="939" customFormat="1" ht="17.25" customHeight="1">
      <c r="F237" s="971" t="s">
        <v>534</v>
      </c>
      <c r="G237" s="1005"/>
      <c r="H237" s="1005"/>
      <c r="I237" s="1005"/>
      <c r="J237" s="1005"/>
      <c r="K237" s="1005"/>
      <c r="L237" s="1005"/>
      <c r="M237" s="972"/>
      <c r="AB237" s="938"/>
      <c r="AC237" s="936"/>
      <c r="AD237" s="936"/>
      <c r="AE237" s="936"/>
      <c r="AF237" s="936"/>
      <c r="AG237" s="936"/>
      <c r="AH237" s="936"/>
      <c r="AI237" s="936"/>
      <c r="AJ237" s="936"/>
      <c r="AK237" s="936"/>
      <c r="AL237" s="936"/>
      <c r="AM237" s="936"/>
      <c r="AN237" s="936"/>
      <c r="AO237" s="936"/>
      <c r="AP237" s="936"/>
      <c r="AQ237" s="936"/>
      <c r="AR237" s="936"/>
      <c r="AS237" s="936"/>
      <c r="AT237" s="936"/>
      <c r="AU237" s="936"/>
      <c r="AV237" s="936"/>
      <c r="AW237" s="936"/>
      <c r="AX237" s="936"/>
      <c r="AY237" s="936"/>
      <c r="AZ237" s="936"/>
      <c r="BA237" s="936"/>
      <c r="BB237" s="936"/>
      <c r="BC237" s="936"/>
      <c r="BD237" s="936"/>
      <c r="BE237" s="936"/>
      <c r="BF237" s="936"/>
      <c r="BG237" s="936"/>
      <c r="BH237" s="936"/>
      <c r="BI237" s="936"/>
      <c r="BJ237" s="936"/>
      <c r="BK237" s="936"/>
      <c r="BL237" s="936"/>
      <c r="BM237" s="936"/>
    </row>
    <row r="238" spans="2:66" s="939" customFormat="1" ht="17.25" customHeight="1">
      <c r="F238" s="974" t="s">
        <v>72</v>
      </c>
      <c r="G238" s="974"/>
      <c r="H238" s="971" t="str" cm="1">
        <f t="array" ref="H238">angleDecimal2Txt(Q176,0)</f>
        <v>+67°08.85</v>
      </c>
      <c r="I238" s="1005"/>
      <c r="J238" s="1005"/>
      <c r="K238" s="1005"/>
      <c r="L238" s="1005"/>
      <c r="M238" s="972"/>
      <c r="AB238" s="938"/>
      <c r="AC238" s="936"/>
      <c r="AD238" s="936"/>
      <c r="AE238" s="936"/>
      <c r="AF238" s="936"/>
      <c r="AG238" s="936"/>
      <c r="AH238" s="936"/>
      <c r="AI238" s="936"/>
      <c r="AJ238" s="936"/>
      <c r="AK238" s="936"/>
      <c r="AL238" s="936"/>
      <c r="AM238" s="936"/>
      <c r="AN238" s="936"/>
      <c r="AO238" s="936"/>
      <c r="AP238" s="936"/>
      <c r="AQ238" s="936"/>
      <c r="AR238" s="936"/>
      <c r="AS238" s="936"/>
      <c r="AT238" s="936"/>
      <c r="AU238" s="936"/>
      <c r="AV238" s="936"/>
      <c r="AW238" s="936"/>
      <c r="AX238" s="936"/>
      <c r="AY238" s="936"/>
      <c r="AZ238" s="936"/>
      <c r="BA238" s="936"/>
      <c r="BB238" s="936"/>
      <c r="BC238" s="936"/>
      <c r="BD238" s="936"/>
      <c r="BE238" s="936"/>
      <c r="BF238" s="936"/>
      <c r="BG238" s="936"/>
      <c r="BH238" s="936"/>
      <c r="BI238" s="936"/>
      <c r="BJ238" s="936"/>
      <c r="BK238" s="936"/>
      <c r="BL238" s="936"/>
      <c r="BM238" s="936"/>
    </row>
    <row r="239" spans="2:66" s="939" customFormat="1" ht="17.25" customHeight="1">
      <c r="C239" s="945" t="s">
        <v>535</v>
      </c>
      <c r="D239" s="945"/>
      <c r="E239" s="945" t="str" cm="1">
        <f t="array" ref="E239">angleDecimal2Txt(I175,0)</f>
        <v>+22°51.14</v>
      </c>
      <c r="F239" s="945"/>
      <c r="G239" s="945"/>
      <c r="H239" s="945"/>
      <c r="I239" s="945"/>
      <c r="J239" s="945"/>
      <c r="AB239" s="938"/>
      <c r="AC239" s="936"/>
      <c r="AD239" s="936"/>
      <c r="AE239" s="936"/>
      <c r="AF239" s="936"/>
      <c r="AG239" s="936"/>
      <c r="AH239" s="936"/>
      <c r="AI239" s="936"/>
      <c r="AJ239" s="936"/>
      <c r="AK239" s="936"/>
      <c r="AL239" s="936"/>
      <c r="AM239" s="936"/>
      <c r="AN239" s="936"/>
      <c r="AO239" s="936"/>
      <c r="AP239" s="936"/>
      <c r="AQ239" s="936"/>
      <c r="AR239" s="936"/>
      <c r="AS239" s="936"/>
      <c r="AT239" s="936"/>
      <c r="AU239" s="936"/>
      <c r="AV239" s="936"/>
      <c r="AW239" s="936"/>
      <c r="AX239" s="936"/>
      <c r="AY239" s="936"/>
      <c r="AZ239" s="936"/>
      <c r="BA239" s="936"/>
      <c r="BB239" s="936"/>
      <c r="BC239" s="936"/>
      <c r="BD239" s="936"/>
      <c r="BE239" s="936"/>
      <c r="BF239" s="936"/>
      <c r="BG239" s="936"/>
      <c r="BH239" s="936"/>
      <c r="BI239" s="936"/>
      <c r="BJ239" s="936"/>
      <c r="BK239" s="936"/>
      <c r="BL239" s="936"/>
      <c r="BM239" s="936"/>
    </row>
    <row r="240" spans="2:66" s="16" customFormat="1" ht="17.25" customHeight="1">
      <c r="C240" s="316"/>
      <c r="D240" s="316"/>
      <c r="E240" s="316"/>
      <c r="F240" s="1006" t="s">
        <v>228</v>
      </c>
      <c r="G240" s="1007"/>
      <c r="H240" s="1007"/>
      <c r="I240" s="1007"/>
      <c r="J240" s="1007"/>
      <c r="K240" s="1007"/>
      <c r="L240" s="1007"/>
      <c r="M240" s="1007"/>
      <c r="N240" s="1007"/>
      <c r="O240" s="1007"/>
      <c r="P240" s="1008"/>
      <c r="Q240"/>
      <c r="AB240" s="63"/>
      <c r="AC240" s="318"/>
      <c r="AD240" s="318"/>
      <c r="AE240" s="318"/>
      <c r="AF240" s="318"/>
      <c r="AG240" s="318"/>
      <c r="AH240" s="318"/>
      <c r="AI240" s="318"/>
      <c r="AJ240" s="318"/>
      <c r="AK240" s="318"/>
      <c r="AL240" s="318"/>
      <c r="AM240" s="318"/>
      <c r="AN240" s="318"/>
      <c r="AO240" s="318"/>
      <c r="AP240" s="318"/>
      <c r="AQ240" s="318"/>
      <c r="AR240" s="318"/>
      <c r="AS240" s="318"/>
      <c r="AT240" s="318"/>
      <c r="AU240" s="318"/>
      <c r="AV240" s="318"/>
      <c r="AW240" s="318"/>
      <c r="AX240" s="318"/>
      <c r="AY240" s="318"/>
      <c r="AZ240" s="318"/>
      <c r="BA240" s="318"/>
      <c r="BB240" s="318"/>
      <c r="BC240" s="318"/>
      <c r="BD240" s="318"/>
      <c r="BE240" s="318"/>
      <c r="BF240" s="318"/>
      <c r="BG240" s="318"/>
      <c r="BH240" s="318"/>
      <c r="BI240" s="318"/>
      <c r="BJ240" s="318"/>
      <c r="BK240" s="318"/>
      <c r="BL240" s="318"/>
      <c r="BM240" s="318"/>
      <c r="BN240" s="24"/>
    </row>
    <row r="241" spans="3:66" s="16" customFormat="1" ht="17.25" customHeight="1">
      <c r="C241" s="316"/>
      <c r="D241" s="316"/>
      <c r="E241" s="316"/>
      <c r="F241" s="361"/>
      <c r="G241" s="361" t="s">
        <v>230</v>
      </c>
      <c r="H241" s="361"/>
      <c r="I241" s="361"/>
      <c r="J241" s="361"/>
      <c r="K241" s="361"/>
      <c r="L241" s="650" t="s">
        <v>232</v>
      </c>
      <c r="M241" s="651"/>
      <c r="N241" s="651"/>
      <c r="O241" s="651"/>
      <c r="P241" s="652"/>
      <c r="Q241"/>
      <c r="AB241" s="63"/>
      <c r="AC241" s="318"/>
      <c r="AD241" s="318"/>
      <c r="AE241" s="318"/>
      <c r="AF241" s="318"/>
      <c r="AG241" s="318"/>
      <c r="AH241" s="318"/>
      <c r="AI241" s="318"/>
      <c r="AJ241" s="318"/>
      <c r="AK241" s="318"/>
      <c r="AL241" s="318"/>
      <c r="AM241" s="318"/>
      <c r="AN241" s="318"/>
      <c r="AO241" s="318"/>
      <c r="AP241" s="318"/>
      <c r="AQ241" s="318"/>
      <c r="AR241" s="318"/>
      <c r="AS241" s="318"/>
      <c r="AT241" s="318"/>
      <c r="AU241" s="318"/>
      <c r="AV241" s="318"/>
      <c r="AW241" s="318"/>
      <c r="AX241" s="318"/>
      <c r="AY241" s="318"/>
      <c r="AZ241" s="318"/>
      <c r="BA241" s="318"/>
      <c r="BB241" s="318"/>
      <c r="BC241" s="318"/>
      <c r="BD241" s="318"/>
      <c r="BE241" s="318"/>
      <c r="BF241" s="318"/>
      <c r="BG241" s="318"/>
      <c r="BH241" s="318"/>
      <c r="BI241" s="318"/>
      <c r="BJ241" s="318"/>
      <c r="BK241" s="318"/>
      <c r="BL241" s="318"/>
      <c r="BM241" s="318"/>
      <c r="BN241" s="24"/>
    </row>
    <row r="242" spans="3:66" s="16" customFormat="1" ht="17.25" customHeight="1">
      <c r="C242" s="316"/>
      <c r="D242" s="316"/>
      <c r="E242" s="316"/>
      <c r="F242" s="361"/>
      <c r="G242" s="361" t="s">
        <v>231</v>
      </c>
      <c r="H242" s="361"/>
      <c r="I242" s="361"/>
      <c r="J242" s="361"/>
      <c r="K242" s="361"/>
      <c r="L242" s="650" t="s">
        <v>233</v>
      </c>
      <c r="M242" s="651"/>
      <c r="N242" s="651"/>
      <c r="O242" s="651"/>
      <c r="P242" s="652"/>
      <c r="Q242"/>
      <c r="AB242" s="63"/>
      <c r="AC242" s="318"/>
      <c r="AD242" s="318"/>
      <c r="AE242" s="318"/>
      <c r="AF242" s="318"/>
      <c r="AG242" s="318"/>
      <c r="AH242" s="318"/>
      <c r="AI242" s="318"/>
      <c r="AJ242" s="318"/>
      <c r="AK242" s="318"/>
      <c r="AL242" s="318"/>
      <c r="AM242" s="318"/>
      <c r="AN242" s="318"/>
      <c r="AO242" s="318"/>
      <c r="AP242" s="318"/>
      <c r="AQ242" s="318"/>
      <c r="AR242" s="318"/>
      <c r="AS242" s="318"/>
      <c r="AT242" s="318"/>
      <c r="AU242" s="318"/>
      <c r="AV242" s="318"/>
      <c r="AW242" s="318"/>
      <c r="AX242" s="318"/>
      <c r="AY242" s="318"/>
      <c r="AZ242" s="318"/>
      <c r="BA242" s="318"/>
      <c r="BB242" s="318"/>
      <c r="BC242" s="318"/>
      <c r="BD242" s="318"/>
      <c r="BE242" s="318"/>
      <c r="BF242" s="318"/>
      <c r="BG242" s="318"/>
      <c r="BH242" s="318"/>
      <c r="BI242" s="318"/>
      <c r="BJ242" s="318"/>
      <c r="BK242" s="318"/>
      <c r="BL242" s="318"/>
      <c r="BM242" s="318"/>
      <c r="BN242" s="24"/>
    </row>
    <row r="243" spans="3:66" s="16" customFormat="1" ht="17.25" customHeight="1">
      <c r="C243" s="316"/>
      <c r="D243" s="316"/>
      <c r="E243" s="316"/>
      <c r="F243" s="356" t="s">
        <v>229</v>
      </c>
      <c r="G243" s="356"/>
      <c r="H243" s="356"/>
      <c r="I243" s="356"/>
      <c r="J243" s="356"/>
      <c r="K243" s="356"/>
      <c r="L243" s="650" t="s">
        <v>234</v>
      </c>
      <c r="M243" s="651"/>
      <c r="N243" s="651"/>
      <c r="O243" s="651"/>
      <c r="P243" s="652"/>
      <c r="Q243"/>
      <c r="AB243" s="63"/>
      <c r="AC243" s="318"/>
      <c r="AD243" s="318"/>
      <c r="AE243" s="318"/>
      <c r="AF243" s="318"/>
      <c r="AG243" s="318"/>
      <c r="AH243" s="318"/>
      <c r="AI243" s="318"/>
      <c r="AJ243" s="318"/>
      <c r="AK243" s="318"/>
      <c r="AL243" s="318"/>
      <c r="AM243" s="318"/>
      <c r="AN243" s="318"/>
      <c r="AO243" s="318"/>
      <c r="AP243" s="318"/>
      <c r="AQ243" s="318"/>
      <c r="AR243" s="318"/>
      <c r="AS243" s="318"/>
      <c r="AT243" s="318"/>
      <c r="AU243" s="318"/>
      <c r="AV243" s="318"/>
      <c r="AW243" s="318"/>
      <c r="AX243" s="318"/>
      <c r="AY243" s="318"/>
      <c r="AZ243" s="318"/>
      <c r="BA243" s="318"/>
      <c r="BB243" s="318"/>
      <c r="BC243" s="318"/>
      <c r="BD243" s="318"/>
      <c r="BE243" s="318"/>
      <c r="BF243" s="318"/>
      <c r="BG243" s="318"/>
      <c r="BH243" s="318"/>
      <c r="BI243" s="318"/>
      <c r="BJ243" s="318"/>
      <c r="BK243" s="318"/>
      <c r="BL243" s="318"/>
      <c r="BM243" s="318"/>
      <c r="BN243" s="24"/>
    </row>
    <row r="244" spans="3:66" s="16" customFormat="1" ht="17.25" customHeight="1">
      <c r="C244" s="316"/>
      <c r="D244" s="316"/>
      <c r="E244" s="316"/>
      <c r="F244" s="974" t="s">
        <v>536</v>
      </c>
      <c r="G244" s="974"/>
      <c r="H244" s="971" t="b">
        <f>((F109*F113)&gt;0)</f>
        <v>1</v>
      </c>
      <c r="I244" s="1005"/>
      <c r="J244" s="1005"/>
      <c r="K244" s="1005"/>
      <c r="L244" s="1005"/>
      <c r="M244" s="972"/>
      <c r="Q244"/>
      <c r="AB244" s="63"/>
      <c r="AC244" s="318"/>
      <c r="AD244" s="318"/>
      <c r="AE244" s="318"/>
      <c r="AF244" s="318"/>
      <c r="AG244" s="318"/>
      <c r="AH244" s="318"/>
      <c r="AI244" s="318"/>
      <c r="AJ244" s="318"/>
      <c r="AK244" s="318"/>
      <c r="AL244" s="318"/>
      <c r="AM244" s="318"/>
      <c r="AN244" s="318"/>
      <c r="AO244" s="318"/>
      <c r="AP244" s="318"/>
      <c r="AQ244" s="318"/>
      <c r="AR244" s="318"/>
      <c r="AS244" s="318"/>
      <c r="AT244" s="318"/>
      <c r="AU244" s="318"/>
      <c r="AV244" s="318"/>
      <c r="AW244" s="318"/>
      <c r="AX244" s="318"/>
      <c r="AY244" s="318"/>
      <c r="AZ244" s="318"/>
      <c r="BA244" s="318"/>
      <c r="BB244" s="318"/>
      <c r="BC244" s="318"/>
      <c r="BD244" s="318"/>
      <c r="BE244" s="318"/>
      <c r="BF244" s="318"/>
      <c r="BG244" s="318"/>
      <c r="BH244" s="318"/>
      <c r="BI244" s="318"/>
      <c r="BJ244" s="318"/>
      <c r="BK244" s="318"/>
      <c r="BL244" s="318"/>
      <c r="BM244" s="318"/>
      <c r="BN244" s="24"/>
    </row>
    <row r="245" spans="3:66" s="16" customFormat="1" ht="17.25" customHeight="1">
      <c r="C245" s="316"/>
      <c r="D245" s="316"/>
      <c r="E245" s="316"/>
      <c r="F245" s="974" t="s">
        <v>537</v>
      </c>
      <c r="G245" s="974"/>
      <c r="H245" s="971" t="b">
        <f>(F109&gt;F113)</f>
        <v>1</v>
      </c>
      <c r="I245" s="1005"/>
      <c r="J245" s="1005"/>
      <c r="K245" s="1005"/>
      <c r="L245" s="1005"/>
      <c r="M245" s="972"/>
      <c r="P245" s="978"/>
      <c r="Q245" s="978"/>
      <c r="AB245" s="63"/>
      <c r="AC245" s="318"/>
      <c r="AD245" s="318"/>
      <c r="AE245" s="318"/>
      <c r="AF245" s="318"/>
      <c r="AG245" s="318"/>
      <c r="AH245" s="318"/>
      <c r="AI245" s="318"/>
      <c r="AJ245" s="318"/>
      <c r="AK245" s="318"/>
      <c r="AL245" s="318"/>
      <c r="AM245" s="318"/>
      <c r="AN245" s="318"/>
      <c r="AO245" s="318"/>
      <c r="AP245" s="318"/>
      <c r="AQ245" s="318"/>
      <c r="AR245" s="318"/>
      <c r="AS245" s="318"/>
      <c r="AT245" s="318"/>
      <c r="AU245" s="318"/>
      <c r="AV245" s="318"/>
      <c r="AW245" s="318"/>
      <c r="AX245" s="318"/>
      <c r="AY245" s="318"/>
      <c r="AZ245" s="318"/>
      <c r="BA245" s="318"/>
      <c r="BB245" s="318"/>
      <c r="BC245" s="318"/>
      <c r="BD245" s="318"/>
      <c r="BE245" s="318"/>
      <c r="BF245" s="318"/>
      <c r="BG245" s="318"/>
      <c r="BH245" s="318"/>
      <c r="BI245" s="318"/>
      <c r="BJ245" s="318"/>
      <c r="BK245" s="318"/>
      <c r="BL245" s="318"/>
      <c r="BM245" s="318"/>
      <c r="BN245" s="24"/>
    </row>
    <row r="246" spans="3:66" s="16" customFormat="1" ht="17.25" customHeight="1">
      <c r="C246" s="945" t="s">
        <v>227</v>
      </c>
      <c r="D246" s="945"/>
      <c r="E246" s="945" t="str" cm="1">
        <f t="array" ref="E246">latitudeDecimal2Txt(M186)</f>
        <v>N 45°59.19 (N 45.9865) [N 45°59'11.43]</v>
      </c>
      <c r="F246" s="945"/>
      <c r="G246" s="945"/>
      <c r="H246" s="945"/>
      <c r="I246" s="945"/>
      <c r="J246" s="945"/>
      <c r="N246" s="978"/>
      <c r="O246" s="978"/>
      <c r="P246" s="978"/>
      <c r="Q246" s="978"/>
      <c r="AB246" s="63"/>
      <c r="AC246" s="318"/>
      <c r="AD246" s="318"/>
      <c r="AE246" s="318"/>
      <c r="AF246" s="318"/>
      <c r="AG246" s="318"/>
      <c r="AH246" s="318"/>
      <c r="AI246" s="318"/>
      <c r="AJ246" s="318"/>
      <c r="AK246" s="318"/>
      <c r="AL246" s="318"/>
      <c r="AM246" s="318"/>
      <c r="AN246" s="318"/>
      <c r="AO246" s="318"/>
      <c r="AP246" s="318"/>
      <c r="AQ246" s="318"/>
      <c r="AR246" s="318"/>
      <c r="AS246" s="318"/>
      <c r="AT246" s="318"/>
      <c r="AU246" s="318"/>
      <c r="AV246" s="318"/>
      <c r="AW246" s="318"/>
      <c r="AX246" s="318"/>
      <c r="AY246" s="318"/>
      <c r="AZ246" s="318"/>
      <c r="BA246" s="318"/>
      <c r="BB246" s="318"/>
      <c r="BC246" s="318"/>
      <c r="BD246" s="318"/>
      <c r="BE246" s="318"/>
      <c r="BF246" s="318"/>
      <c r="BG246" s="318"/>
      <c r="BH246" s="318"/>
      <c r="BI246" s="318"/>
      <c r="BJ246" s="318"/>
      <c r="BK246" s="318"/>
      <c r="BL246" s="318"/>
      <c r="BM246" s="318"/>
      <c r="BN246" s="24"/>
    </row>
    <row r="247" spans="3:66" s="16" customFormat="1" ht="17.25" customHeight="1">
      <c r="AB247" s="63"/>
      <c r="AC247" s="318"/>
      <c r="AD247" s="318"/>
      <c r="AE247" s="318"/>
      <c r="AF247" s="318"/>
      <c r="AG247" s="318"/>
      <c r="AH247" s="318"/>
      <c r="AI247" s="318"/>
      <c r="AJ247" s="318"/>
      <c r="AK247" s="318"/>
      <c r="AL247" s="318"/>
      <c r="AM247" s="318"/>
      <c r="AN247" s="318"/>
      <c r="AO247" s="318"/>
      <c r="AP247" s="318"/>
      <c r="AQ247" s="318"/>
      <c r="AR247" s="318"/>
      <c r="AS247" s="318"/>
      <c r="AT247" s="318"/>
      <c r="AU247" s="318"/>
      <c r="AV247" s="318"/>
      <c r="AW247" s="318"/>
      <c r="AX247" s="318"/>
      <c r="AY247" s="318"/>
      <c r="AZ247" s="318"/>
      <c r="BA247" s="318"/>
      <c r="BB247" s="318"/>
      <c r="BC247" s="318"/>
      <c r="BD247" s="318"/>
      <c r="BE247" s="318"/>
      <c r="BF247" s="318"/>
      <c r="BG247" s="318"/>
      <c r="BH247" s="318"/>
      <c r="BI247" s="318"/>
      <c r="BJ247" s="318"/>
      <c r="BK247" s="318"/>
      <c r="BL247" s="318"/>
      <c r="BM247" s="318"/>
      <c r="BN247" s="24"/>
    </row>
  </sheetData>
  <sheetProtection selectLockedCells="1"/>
  <protectedRanges>
    <protectedRange sqref="M84:Y84" name="Heure visee" securityDescriptor="O:WDG:WDD:(A;;CC;;;WD)"/>
  </protectedRanges>
  <mergeCells count="367">
    <mergeCell ref="L243:P243"/>
    <mergeCell ref="F244:G244"/>
    <mergeCell ref="H244:M244"/>
    <mergeCell ref="F245:G245"/>
    <mergeCell ref="H245:M245"/>
    <mergeCell ref="C246:D246"/>
    <mergeCell ref="E246:J246"/>
    <mergeCell ref="D213:G213"/>
    <mergeCell ref="F237:M237"/>
    <mergeCell ref="H238:M238"/>
    <mergeCell ref="F240:P240"/>
    <mergeCell ref="G241:K241"/>
    <mergeCell ref="L241:P241"/>
    <mergeCell ref="G242:K242"/>
    <mergeCell ref="L242:P242"/>
    <mergeCell ref="F243:K243"/>
    <mergeCell ref="F241:F242"/>
    <mergeCell ref="C239:D239"/>
    <mergeCell ref="E239:J239"/>
    <mergeCell ref="F238:G238"/>
    <mergeCell ref="F234:G235"/>
    <mergeCell ref="H234:I234"/>
    <mergeCell ref="J234:M234"/>
    <mergeCell ref="H235:I235"/>
    <mergeCell ref="J235:M235"/>
    <mergeCell ref="C236:D236"/>
    <mergeCell ref="E236:J236"/>
    <mergeCell ref="N227:P229"/>
    <mergeCell ref="F228:J228"/>
    <mergeCell ref="K228:M228"/>
    <mergeCell ref="F229:J229"/>
    <mergeCell ref="K229:M229"/>
    <mergeCell ref="C233:D233"/>
    <mergeCell ref="E233:J233"/>
    <mergeCell ref="F223:G223"/>
    <mergeCell ref="H223:L223"/>
    <mergeCell ref="F224:G224"/>
    <mergeCell ref="H224:L224"/>
    <mergeCell ref="F225:G225"/>
    <mergeCell ref="H225:L225"/>
    <mergeCell ref="E226:I226"/>
    <mergeCell ref="J226:L226"/>
    <mergeCell ref="F227:J227"/>
    <mergeCell ref="K227:M227"/>
    <mergeCell ref="C218:D218"/>
    <mergeCell ref="E218:I218"/>
    <mergeCell ref="C219:D219"/>
    <mergeCell ref="E219:I219"/>
    <mergeCell ref="E220:I220"/>
    <mergeCell ref="J220:L220"/>
    <mergeCell ref="F221:G221"/>
    <mergeCell ref="H221:L221"/>
    <mergeCell ref="F222:G222"/>
    <mergeCell ref="H222:L222"/>
    <mergeCell ref="B212:C212"/>
    <mergeCell ref="D212:G212"/>
    <mergeCell ref="I212:L212"/>
    <mergeCell ref="B213:C213"/>
    <mergeCell ref="C216:D216"/>
    <mergeCell ref="E216:I216"/>
    <mergeCell ref="C217:D217"/>
    <mergeCell ref="E217:I217"/>
    <mergeCell ref="I60:J60"/>
    <mergeCell ref="F36:H37"/>
    <mergeCell ref="O36:X37"/>
    <mergeCell ref="E60:G60"/>
    <mergeCell ref="C92:I92"/>
    <mergeCell ref="J92:L92"/>
    <mergeCell ref="M92:O92"/>
    <mergeCell ref="K60:N60"/>
    <mergeCell ref="C55:D55"/>
    <mergeCell ref="E55:G55"/>
    <mergeCell ref="C56:D56"/>
    <mergeCell ref="E56:G56"/>
    <mergeCell ref="C60:D60"/>
    <mergeCell ref="C59:O59"/>
    <mergeCell ref="V70:W71"/>
    <mergeCell ref="C54:O54"/>
    <mergeCell ref="K55:K56"/>
    <mergeCell ref="L55:N56"/>
    <mergeCell ref="O55:O56"/>
    <mergeCell ref="I55:J56"/>
    <mergeCell ref="P55:R56"/>
    <mergeCell ref="U55:W56"/>
    <mergeCell ref="X55:Z56"/>
    <mergeCell ref="V76:W77"/>
    <mergeCell ref="O11:X12"/>
    <mergeCell ref="E9:H10"/>
    <mergeCell ref="A11:C11"/>
    <mergeCell ref="F11:H12"/>
    <mergeCell ref="I11:I12"/>
    <mergeCell ref="J11:N12"/>
    <mergeCell ref="F28:H29"/>
    <mergeCell ref="O28:X29"/>
    <mergeCell ref="I28:N29"/>
    <mergeCell ref="E14:H15"/>
    <mergeCell ref="F16:H17"/>
    <mergeCell ref="I16:I17"/>
    <mergeCell ref="J16:N17"/>
    <mergeCell ref="O16:X17"/>
    <mergeCell ref="E19:H20"/>
    <mergeCell ref="F21:H22"/>
    <mergeCell ref="O21:X22"/>
    <mergeCell ref="I21:N22"/>
    <mergeCell ref="E34:M35"/>
    <mergeCell ref="E26:K27"/>
    <mergeCell ref="E30:K31"/>
    <mergeCell ref="C49:R49"/>
    <mergeCell ref="F32:H33"/>
    <mergeCell ref="I32:N33"/>
    <mergeCell ref="O32:X33"/>
    <mergeCell ref="N50:O51"/>
    <mergeCell ref="P50:Q51"/>
    <mergeCell ref="R50:R51"/>
    <mergeCell ref="C50:D50"/>
    <mergeCell ref="E50:G50"/>
    <mergeCell ref="C51:D51"/>
    <mergeCell ref="E51:G51"/>
    <mergeCell ref="I50:J51"/>
    <mergeCell ref="F43:H44"/>
    <mergeCell ref="I43:N44"/>
    <mergeCell ref="O43:X44"/>
    <mergeCell ref="E41:K42"/>
    <mergeCell ref="I36:I37"/>
    <mergeCell ref="J36:N37"/>
    <mergeCell ref="X76:X77"/>
    <mergeCell ref="C1:F4"/>
    <mergeCell ref="G1:Y2"/>
    <mergeCell ref="G3:I4"/>
    <mergeCell ref="J3:L4"/>
    <mergeCell ref="N3:P4"/>
    <mergeCell ref="Q3:S4"/>
    <mergeCell ref="C8:D8"/>
    <mergeCell ref="E8:G8"/>
    <mergeCell ref="V74:W75"/>
    <mergeCell ref="X74:X75"/>
    <mergeCell ref="H70:U71"/>
    <mergeCell ref="H74:U75"/>
    <mergeCell ref="H72:U73"/>
    <mergeCell ref="X72:AC73"/>
    <mergeCell ref="H76:U77"/>
    <mergeCell ref="X70:X71"/>
    <mergeCell ref="V72:W73"/>
    <mergeCell ref="C64:O66"/>
    <mergeCell ref="Q64:U64"/>
    <mergeCell ref="K50:L51"/>
    <mergeCell ref="B47:AA47"/>
    <mergeCell ref="C63:O63"/>
    <mergeCell ref="AA55:AA56"/>
    <mergeCell ref="E84:H84"/>
    <mergeCell ref="I84:L84"/>
    <mergeCell ref="C88:I88"/>
    <mergeCell ref="J88:O88"/>
    <mergeCell ref="C89:I89"/>
    <mergeCell ref="J89:L89"/>
    <mergeCell ref="M89:O89"/>
    <mergeCell ref="C81:D81"/>
    <mergeCell ref="E81:G81"/>
    <mergeCell ref="C82:D84"/>
    <mergeCell ref="E82:H83"/>
    <mergeCell ref="C93:I93"/>
    <mergeCell ref="J93:L93"/>
    <mergeCell ref="M93:O93"/>
    <mergeCell ref="P89:X89"/>
    <mergeCell ref="C90:I90"/>
    <mergeCell ref="J90:L90"/>
    <mergeCell ref="M90:O90"/>
    <mergeCell ref="P90:X90"/>
    <mergeCell ref="C91:I91"/>
    <mergeCell ref="J91:L91"/>
    <mergeCell ref="M91:O91"/>
    <mergeCell ref="P91:X91"/>
    <mergeCell ref="P93:X93"/>
    <mergeCell ref="C94:I94"/>
    <mergeCell ref="J94:L94"/>
    <mergeCell ref="M94:O94"/>
    <mergeCell ref="P94:X94"/>
    <mergeCell ref="C95:I95"/>
    <mergeCell ref="J95:L95"/>
    <mergeCell ref="M95:O95"/>
    <mergeCell ref="C96:I96"/>
    <mergeCell ref="J96:L96"/>
    <mergeCell ref="M96:O96"/>
    <mergeCell ref="P97:R98"/>
    <mergeCell ref="D98:I100"/>
    <mergeCell ref="P99:R99"/>
    <mergeCell ref="S99:X99"/>
    <mergeCell ref="P100:X100"/>
    <mergeCell ref="S103:X103"/>
    <mergeCell ref="P104:X104"/>
    <mergeCell ref="E107:H108"/>
    <mergeCell ref="F109:H110"/>
    <mergeCell ref="C101:I104"/>
    <mergeCell ref="J101:L104"/>
    <mergeCell ref="M101:O104"/>
    <mergeCell ref="P101:R102"/>
    <mergeCell ref="P103:R103"/>
    <mergeCell ref="C97:D97"/>
    <mergeCell ref="J97:L100"/>
    <mergeCell ref="M97:O100"/>
    <mergeCell ref="F113:H113"/>
    <mergeCell ref="F122:K122"/>
    <mergeCell ref="F124:H125"/>
    <mergeCell ref="I124:L125"/>
    <mergeCell ref="M124:O125"/>
    <mergeCell ref="C114:F114"/>
    <mergeCell ref="G114:I114"/>
    <mergeCell ref="AC114:AC115"/>
    <mergeCell ref="F116:H117"/>
    <mergeCell ref="I116:L117"/>
    <mergeCell ref="M116:O117"/>
    <mergeCell ref="P116:T117"/>
    <mergeCell ref="P124:T125"/>
    <mergeCell ref="U124:Y125"/>
    <mergeCell ref="F118:H121"/>
    <mergeCell ref="I118:L121"/>
    <mergeCell ref="M118:O119"/>
    <mergeCell ref="P118:P119"/>
    <mergeCell ref="Q118:T119"/>
    <mergeCell ref="U118:Y119"/>
    <mergeCell ref="M120:O121"/>
    <mergeCell ref="P120:P121"/>
    <mergeCell ref="Q120:T121"/>
    <mergeCell ref="U120:Y121"/>
    <mergeCell ref="AC132:AC133"/>
    <mergeCell ref="F133:I133"/>
    <mergeCell ref="J133:L133"/>
    <mergeCell ref="D131:E131"/>
    <mergeCell ref="F131:H131"/>
    <mergeCell ref="M131:N131"/>
    <mergeCell ref="S131:U131"/>
    <mergeCell ref="V131:Z131"/>
    <mergeCell ref="C132:F132"/>
    <mergeCell ref="G132:I132"/>
    <mergeCell ref="H134:N134"/>
    <mergeCell ref="O134:R134"/>
    <mergeCell ref="U134:Z134"/>
    <mergeCell ref="H135:N135"/>
    <mergeCell ref="O135:R135"/>
    <mergeCell ref="U135:Z135"/>
    <mergeCell ref="V126:Y127"/>
    <mergeCell ref="F128:K128"/>
    <mergeCell ref="P128:T128"/>
    <mergeCell ref="U128:Y128"/>
    <mergeCell ref="F126:H127"/>
    <mergeCell ref="I126:L127"/>
    <mergeCell ref="M126:O127"/>
    <mergeCell ref="P126:P127"/>
    <mergeCell ref="Q126:T127"/>
    <mergeCell ref="U126:U127"/>
    <mergeCell ref="M141:P141"/>
    <mergeCell ref="H142:N142"/>
    <mergeCell ref="O142:R142"/>
    <mergeCell ref="S145:U145"/>
    <mergeCell ref="H146:N146"/>
    <mergeCell ref="O146:R146"/>
    <mergeCell ref="S146:U146"/>
    <mergeCell ref="H147:N147"/>
    <mergeCell ref="O147:R147"/>
    <mergeCell ref="S147:U147"/>
    <mergeCell ref="U142:Z142"/>
    <mergeCell ref="H143:N143"/>
    <mergeCell ref="O143:R143"/>
    <mergeCell ref="U143:Z143"/>
    <mergeCell ref="H136:N136"/>
    <mergeCell ref="O136:R136"/>
    <mergeCell ref="U136:Z136"/>
    <mergeCell ref="M137:P137"/>
    <mergeCell ref="H138:N138"/>
    <mergeCell ref="O138:P138"/>
    <mergeCell ref="R138:S138"/>
    <mergeCell ref="U138:Z138"/>
    <mergeCell ref="M140:P140"/>
    <mergeCell ref="H148:N148"/>
    <mergeCell ref="O148:R148"/>
    <mergeCell ref="U148:Z148"/>
    <mergeCell ref="AD155:AE155"/>
    <mergeCell ref="AD151:AE151"/>
    <mergeCell ref="O152:R152"/>
    <mergeCell ref="U152:Z152"/>
    <mergeCell ref="AD152:AE152"/>
    <mergeCell ref="AD153:AE153"/>
    <mergeCell ref="G154:S154"/>
    <mergeCell ref="G155:H156"/>
    <mergeCell ref="I155:N155"/>
    <mergeCell ref="O155:R156"/>
    <mergeCell ref="S155:S156"/>
    <mergeCell ref="H152:N152"/>
    <mergeCell ref="H151:N151"/>
    <mergeCell ref="O151:R151"/>
    <mergeCell ref="H150:N150"/>
    <mergeCell ref="O150:R150"/>
    <mergeCell ref="U165:V165"/>
    <mergeCell ref="O157:R158"/>
    <mergeCell ref="S157:S158"/>
    <mergeCell ref="O159:R159"/>
    <mergeCell ref="H161:N161"/>
    <mergeCell ref="O161:R161"/>
    <mergeCell ref="U161:Z161"/>
    <mergeCell ref="F163:I163"/>
    <mergeCell ref="J163:L163"/>
    <mergeCell ref="C192:F192"/>
    <mergeCell ref="H192:J192"/>
    <mergeCell ref="L192:N192"/>
    <mergeCell ref="Q192:T192"/>
    <mergeCell ref="D206:E206"/>
    <mergeCell ref="C205:E205"/>
    <mergeCell ref="M193:N193"/>
    <mergeCell ref="S193:T193"/>
    <mergeCell ref="U166:V166"/>
    <mergeCell ref="K167:K168"/>
    <mergeCell ref="N167:N168"/>
    <mergeCell ref="Q167:Q168"/>
    <mergeCell ref="U167:V167"/>
    <mergeCell ref="L168:M168"/>
    <mergeCell ref="O168:P168"/>
    <mergeCell ref="L169:M169"/>
    <mergeCell ref="O169:P169"/>
    <mergeCell ref="H171:N171"/>
    <mergeCell ref="O171:R171"/>
    <mergeCell ref="H186:L186"/>
    <mergeCell ref="B173:AA173"/>
    <mergeCell ref="E180:O180"/>
    <mergeCell ref="E181:E182"/>
    <mergeCell ref="F181:J181"/>
    <mergeCell ref="K181:O181"/>
    <mergeCell ref="F182:J182"/>
    <mergeCell ref="K182:O182"/>
    <mergeCell ref="O175:T175"/>
    <mergeCell ref="I177:M177"/>
    <mergeCell ref="E175:H177"/>
    <mergeCell ref="I175:M176"/>
    <mergeCell ref="O176:P176"/>
    <mergeCell ref="Q176:S176"/>
    <mergeCell ref="S203:T203"/>
    <mergeCell ref="Q195:S195"/>
    <mergeCell ref="R196:S196"/>
    <mergeCell ref="C201:F201"/>
    <mergeCell ref="E202:F202"/>
    <mergeCell ref="G202:L202"/>
    <mergeCell ref="S202:T202"/>
    <mergeCell ref="E193:F193"/>
    <mergeCell ref="I193:J193"/>
    <mergeCell ref="M186:N186"/>
    <mergeCell ref="AE205:AF206"/>
    <mergeCell ref="W169:AA169"/>
    <mergeCell ref="I159:N159"/>
    <mergeCell ref="I158:N158"/>
    <mergeCell ref="I157:N157"/>
    <mergeCell ref="I156:N156"/>
    <mergeCell ref="U203:Z203"/>
    <mergeCell ref="U202:Z202"/>
    <mergeCell ref="U193:Z193"/>
    <mergeCell ref="U171:Z171"/>
    <mergeCell ref="P186:U186"/>
    <mergeCell ref="O177:P177"/>
    <mergeCell ref="Q177:S177"/>
    <mergeCell ref="Q181:R181"/>
    <mergeCell ref="U181:X181"/>
    <mergeCell ref="Q182:R182"/>
    <mergeCell ref="U182:X182"/>
    <mergeCell ref="S181:T181"/>
    <mergeCell ref="S182:T182"/>
    <mergeCell ref="E183:J183"/>
    <mergeCell ref="K183:O183"/>
    <mergeCell ref="E203:F203"/>
    <mergeCell ref="G203:L203"/>
  </mergeCells>
  <dataValidations count="7">
    <dataValidation type="list" allowBlank="1" showInputMessage="1" showErrorMessage="1" sqref="I11:I12 I36:I37" xr:uid="{A0B34710-7EA8-467A-9DCD-360D0BECE256}">
      <formula1>$A$13:$A$14</formula1>
    </dataValidation>
    <dataValidation type="list" allowBlank="1" showInputMessage="1" showErrorMessage="1" sqref="I16:I17" xr:uid="{759572A2-77FF-4924-B450-4A7FE467D243}">
      <formula1>$B$13:$B$14</formula1>
    </dataValidation>
    <dataValidation type="list" allowBlank="1" showInputMessage="1" showErrorMessage="1" sqref="J88:O88" xr:uid="{085B4DBA-5CF9-4829-A498-52FBF4F06D5F}">
      <formula1>$AC$15:$AD$15</formula1>
    </dataValidation>
    <dataValidation type="list" allowBlank="1" showInputMessage="1" showErrorMessage="1" sqref="G114:I114" xr:uid="{B80DE897-6191-4207-8AD8-D86F14352946}">
      <formula1>$AD$114:$AD$115</formula1>
    </dataValidation>
    <dataValidation type="list" allowBlank="1" showInputMessage="1" showErrorMessage="1" sqref="G132:I132" xr:uid="{26C2D47B-39F4-43F1-9FDB-BE88B518D5AB}">
      <formula1>$AD$64:$AD$65</formula1>
    </dataValidation>
    <dataValidation type="list" allowBlank="1" showInputMessage="1" showErrorMessage="1" sqref="M95:O95" xr:uid="{F39B73BF-68DC-4933-905B-2080A188E988}">
      <formula1>$AD$23:$AF$23</formula1>
    </dataValidation>
    <dataValidation type="list" allowBlank="1" showInputMessage="1" showErrorMessage="1" sqref="M96:O96" xr:uid="{46D9BFFB-766A-491E-8840-FABD452081F7}">
      <formula1>$AD$100:$AF$100</formula1>
    </dataValidation>
  </dataValidations>
  <pageMargins left="0.7" right="0.7" top="0.75" bottom="0.75" header="0.3" footer="0.3"/>
  <pageSetup paperSize="9" scale="8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3B6E-91AE-41D2-B060-A57218D8DF64}">
          <x14:formula1>
            <xm:f>Outils!$C$9:$C$10</xm:f>
          </x14:formula1>
          <xm:sqref>U126:U127 P118:P121 P126:P127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46"/>
  <sheetViews>
    <sheetView zoomScaleNormal="100" workbookViewId="0">
      <selection activeCell="AA96" sqref="AA96"/>
    </sheetView>
  </sheetViews>
  <sheetFormatPr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166" customWidth="1"/>
    <col min="29" max="30" width="16.140625" customWidth="1"/>
    <col min="31" max="31" width="9.5703125" bestFit="1" customWidth="1"/>
    <col min="32" max="32" width="6.5703125" bestFit="1" customWidth="1"/>
    <col min="33" max="33" width="9.5703125" bestFit="1" customWidth="1"/>
    <col min="34" max="34" width="8.5703125" bestFit="1" customWidth="1"/>
  </cols>
  <sheetData>
    <row r="1" spans="1:66" s="16" customFormat="1" ht="17.25" customHeight="1">
      <c r="C1" s="375" t="s">
        <v>143</v>
      </c>
      <c r="D1" s="375"/>
      <c r="E1" s="375"/>
      <c r="F1" s="375"/>
      <c r="G1" s="362" t="s">
        <v>144</v>
      </c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AB1" s="165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375"/>
      <c r="D2" s="375"/>
      <c r="E2" s="375"/>
      <c r="F2" s="375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AB2" s="165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375"/>
      <c r="D3" s="375"/>
      <c r="E3" s="375"/>
      <c r="F3" s="375"/>
      <c r="G3" s="371" t="s">
        <v>148</v>
      </c>
      <c r="H3" s="371"/>
      <c r="I3" s="371"/>
      <c r="J3" s="373" t="s">
        <v>147</v>
      </c>
      <c r="K3" s="373"/>
      <c r="L3" s="373"/>
      <c r="N3" s="393" t="s">
        <v>242</v>
      </c>
      <c r="O3" s="393"/>
      <c r="P3" s="393"/>
      <c r="Q3" s="394" t="s">
        <v>207</v>
      </c>
      <c r="R3" s="394"/>
      <c r="S3" s="394"/>
      <c r="AB3" s="165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375"/>
      <c r="D4" s="375"/>
      <c r="E4" s="375"/>
      <c r="F4" s="375"/>
      <c r="G4" s="372"/>
      <c r="H4" s="372"/>
      <c r="I4" s="372"/>
      <c r="J4" s="374"/>
      <c r="K4" s="374"/>
      <c r="L4" s="374"/>
      <c r="N4" s="393"/>
      <c r="O4" s="393"/>
      <c r="P4" s="393"/>
      <c r="Q4" s="394"/>
      <c r="R4" s="394"/>
      <c r="S4" s="394"/>
      <c r="AB4" s="165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61"/>
      <c r="D5" s="61"/>
      <c r="E5" s="61"/>
      <c r="F5" s="61"/>
      <c r="G5" s="61"/>
      <c r="AB5" s="16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145" t="s">
        <v>281</v>
      </c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07" t="str">
        <f>dateDecimale2txt(dateConvert2Decimal(E8))</f>
        <v>2025/06/30 [YYYY/MM/DD]</v>
      </c>
      <c r="O7" s="107"/>
      <c r="P7" s="108"/>
      <c r="Q7" s="109"/>
      <c r="R7" s="135"/>
      <c r="S7" s="135"/>
      <c r="T7" s="135"/>
      <c r="U7" s="146"/>
      <c r="V7" s="146"/>
      <c r="W7" s="146"/>
      <c r="X7" s="146"/>
      <c r="Y7" s="146"/>
      <c r="Z7" s="146"/>
      <c r="AA7" s="146"/>
      <c r="AB7" s="16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>
      <c r="C8" s="363" t="s">
        <v>1</v>
      </c>
      <c r="D8" s="364"/>
      <c r="E8" s="540" t="s">
        <v>243</v>
      </c>
      <c r="F8" s="541"/>
      <c r="G8" s="541"/>
      <c r="H8"/>
      <c r="I8"/>
      <c r="J8"/>
      <c r="K8"/>
      <c r="L8"/>
      <c r="M8"/>
      <c r="N8"/>
      <c r="O8"/>
      <c r="AB8" s="165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>
      <c r="C9" s="14"/>
      <c r="D9" s="14"/>
      <c r="E9" s="632" t="s">
        <v>7</v>
      </c>
      <c r="F9" s="632"/>
      <c r="G9" s="632"/>
      <c r="H9" s="632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AB9" s="165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Bot="1">
      <c r="C10" s="14"/>
      <c r="D10" s="14"/>
      <c r="E10" s="632"/>
      <c r="F10" s="632"/>
      <c r="G10" s="632"/>
      <c r="H10" s="632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AB10" s="165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 s="626" t="s">
        <v>34</v>
      </c>
      <c r="B11" s="627"/>
      <c r="C11" s="628"/>
      <c r="D11" s="14"/>
      <c r="E11" s="14"/>
      <c r="F11" s="462">
        <f>AD12</f>
        <v>46.1</v>
      </c>
      <c r="G11" s="525"/>
      <c r="H11" s="525"/>
      <c r="I11" s="387" t="s">
        <v>3</v>
      </c>
      <c r="J11" s="389" t="s">
        <v>299</v>
      </c>
      <c r="K11" s="387"/>
      <c r="L11" s="387"/>
      <c r="M11" s="387"/>
      <c r="N11" s="387"/>
      <c r="O11" s="350" t="str" cm="1">
        <f t="array" ref="O11">angleDecimal2Txt(F11)</f>
        <v>+46°06.00 (+46.1000) [+46°06'00.00]</v>
      </c>
      <c r="P11" s="350"/>
      <c r="Q11" s="350"/>
      <c r="R11" s="350"/>
      <c r="S11" s="350"/>
      <c r="T11" s="350"/>
      <c r="U11" s="350"/>
      <c r="V11" s="350"/>
      <c r="W11" s="350"/>
      <c r="X11" s="350"/>
      <c r="Y11" s="14"/>
      <c r="Z11" s="14"/>
      <c r="AB11" s="165"/>
      <c r="AC11" s="131" t="s">
        <v>179</v>
      </c>
      <c r="AD11" s="3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A12" s="17" t="s">
        <v>41</v>
      </c>
      <c r="B12" s="32" t="s">
        <v>42</v>
      </c>
      <c r="C12" s="18"/>
      <c r="D12" s="14"/>
      <c r="E12" s="14"/>
      <c r="F12" s="525"/>
      <c r="G12" s="525"/>
      <c r="H12" s="525"/>
      <c r="I12" s="387"/>
      <c r="J12" s="387"/>
      <c r="K12" s="387"/>
      <c r="L12" s="387"/>
      <c r="M12" s="387"/>
      <c r="N12" s="387"/>
      <c r="O12" s="350"/>
      <c r="P12" s="350"/>
      <c r="Q12" s="350"/>
      <c r="R12" s="350"/>
      <c r="S12" s="350"/>
      <c r="T12" s="350"/>
      <c r="U12" s="350"/>
      <c r="V12" s="350"/>
      <c r="W12" s="350"/>
      <c r="X12" s="350"/>
      <c r="Y12" s="14"/>
      <c r="Z12" s="14"/>
      <c r="AB12" s="165"/>
      <c r="AC12" s="131" t="s">
        <v>180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>
      <c r="A13" s="17" t="s">
        <v>3</v>
      </c>
      <c r="B13" s="32" t="s">
        <v>5</v>
      </c>
      <c r="C13" s="18">
        <v>1</v>
      </c>
      <c r="D13" s="14"/>
      <c r="E13" s="14"/>
      <c r="F13" s="14"/>
      <c r="G13" s="14"/>
      <c r="H13" s="14"/>
      <c r="AB13" s="165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Bot="1">
      <c r="A14" s="19" t="s">
        <v>4</v>
      </c>
      <c r="B14" s="20" t="s">
        <v>6</v>
      </c>
      <c r="C14" s="21">
        <v>-1</v>
      </c>
      <c r="D14" s="14"/>
      <c r="E14" s="526" t="s">
        <v>8</v>
      </c>
      <c r="F14" s="526"/>
      <c r="G14" s="526"/>
      <c r="H14" s="526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165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Bot="1">
      <c r="C15" s="14"/>
      <c r="D15" s="14"/>
      <c r="E15" s="526"/>
      <c r="F15" s="526"/>
      <c r="G15" s="526"/>
      <c r="H15" s="526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16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2" customHeight="1" thickTop="1" thickBot="1">
      <c r="B16" s="14"/>
      <c r="C16" s="14"/>
      <c r="D16" s="14"/>
      <c r="E16" s="14"/>
      <c r="F16" s="462">
        <f>AD17</f>
        <v>-7.083333333333333</v>
      </c>
      <c r="G16" s="525"/>
      <c r="H16" s="525"/>
      <c r="I16" s="387" t="s">
        <v>6</v>
      </c>
      <c r="J16" s="389" t="s">
        <v>300</v>
      </c>
      <c r="K16" s="387"/>
      <c r="L16" s="387"/>
      <c r="M16" s="387"/>
      <c r="N16" s="387"/>
      <c r="O16" s="350" t="str" cm="1">
        <f t="array" ref="O16">angleDecimal2Txt(F16)</f>
        <v>-07°05.00 (-07.0833) [-07°05'00.00]</v>
      </c>
      <c r="P16" s="350"/>
      <c r="Q16" s="350"/>
      <c r="R16" s="350"/>
      <c r="S16" s="350"/>
      <c r="T16" s="350"/>
      <c r="U16" s="350"/>
      <c r="V16" s="350"/>
      <c r="W16" s="350"/>
      <c r="X16" s="350"/>
      <c r="Y16" s="14"/>
      <c r="Z16" s="14"/>
      <c r="AB16" s="165"/>
      <c r="AC16" s="131" t="s">
        <v>181</v>
      </c>
      <c r="AD16" s="3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2" customHeight="1" thickTop="1" thickBot="1">
      <c r="C17" s="14"/>
      <c r="D17" s="14"/>
      <c r="E17" s="14"/>
      <c r="F17" s="525"/>
      <c r="G17" s="525"/>
      <c r="H17" s="525"/>
      <c r="I17" s="387"/>
      <c r="J17" s="387"/>
      <c r="K17" s="387"/>
      <c r="L17" s="387"/>
      <c r="M17" s="387"/>
      <c r="N17" s="387"/>
      <c r="O17" s="350"/>
      <c r="P17" s="350"/>
      <c r="Q17" s="350"/>
      <c r="R17" s="350"/>
      <c r="S17" s="350"/>
      <c r="T17" s="350"/>
      <c r="U17" s="350"/>
      <c r="V17" s="350"/>
      <c r="W17" s="350"/>
      <c r="X17" s="350"/>
      <c r="Y17" s="14"/>
      <c r="Z17" s="14"/>
      <c r="AB17" s="165"/>
      <c r="AC17" s="131" t="s">
        <v>182</v>
      </c>
      <c r="AD17" s="3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ht="12" customHeight="1" thickTop="1"/>
    <row r="19" spans="2:66" ht="12" customHeight="1">
      <c r="E19" s="526" t="s">
        <v>266</v>
      </c>
      <c r="F19" s="526"/>
      <c r="G19" s="526"/>
      <c r="H19" s="526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16"/>
    </row>
    <row r="20" spans="2:66" ht="12" customHeight="1" thickBot="1">
      <c r="E20" s="526"/>
      <c r="F20" s="526"/>
      <c r="G20" s="526"/>
      <c r="H20" s="526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16"/>
    </row>
    <row r="21" spans="2:66" ht="12" customHeight="1" thickTop="1" thickBot="1">
      <c r="E21" s="14"/>
      <c r="F21" s="462">
        <f>heureConvert2Decimal(I21)</f>
        <v>10.340277777777779</v>
      </c>
      <c r="G21" s="525"/>
      <c r="H21" s="525"/>
      <c r="I21" s="753" t="s">
        <v>235</v>
      </c>
      <c r="J21" s="610"/>
      <c r="K21" s="610"/>
      <c r="L21" s="610"/>
      <c r="M21" s="610"/>
      <c r="N21" s="740"/>
      <c r="O21" s="350" t="str">
        <f>heureDecimal2Txt(F21)</f>
        <v>10:20:25.00(10.3402)</v>
      </c>
      <c r="P21" s="350"/>
      <c r="Q21" s="350"/>
      <c r="R21" s="350"/>
      <c r="S21" s="350"/>
      <c r="T21" s="350"/>
      <c r="U21" s="350"/>
      <c r="V21" s="350"/>
      <c r="W21" s="350"/>
      <c r="X21" s="350"/>
    </row>
    <row r="22" spans="2:66" ht="12" customHeight="1" thickTop="1" thickBot="1">
      <c r="E22" s="14"/>
      <c r="F22" s="525"/>
      <c r="G22" s="525"/>
      <c r="H22" s="525"/>
      <c r="I22" s="459"/>
      <c r="J22" s="460"/>
      <c r="K22" s="460"/>
      <c r="L22" s="460"/>
      <c r="M22" s="460"/>
      <c r="N22" s="742"/>
      <c r="O22" s="350"/>
      <c r="P22" s="350"/>
      <c r="Q22" s="350"/>
      <c r="R22" s="350"/>
      <c r="S22" s="350"/>
      <c r="T22" s="350"/>
      <c r="U22" s="350"/>
      <c r="V22" s="350"/>
      <c r="W22" s="350"/>
      <c r="X22" s="350"/>
    </row>
    <row r="23" spans="2:66" ht="15.75" thickTop="1"/>
    <row r="24" spans="2:66" ht="15.75" thickBot="1"/>
    <row r="25" spans="2:66" s="16" customFormat="1" ht="17.25" customHeight="1" thickBot="1">
      <c r="B25" s="25" t="s">
        <v>282</v>
      </c>
      <c r="C25" s="26"/>
      <c r="D25" s="26"/>
      <c r="E25" s="79"/>
      <c r="F25" s="79"/>
      <c r="G25" s="79"/>
      <c r="H25" s="79"/>
      <c r="I25" s="79"/>
      <c r="J25" s="79"/>
      <c r="K25" s="79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167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2:66" ht="12.75" customHeight="1">
      <c r="E26" s="727" t="s">
        <v>285</v>
      </c>
      <c r="F26" s="728"/>
      <c r="G26" s="728"/>
      <c r="H26" s="728"/>
      <c r="I26" s="728"/>
      <c r="J26" s="728"/>
      <c r="K26" s="729"/>
    </row>
    <row r="27" spans="2:66" ht="12.75" customHeight="1" thickBot="1">
      <c r="E27" s="730"/>
      <c r="F27" s="731"/>
      <c r="G27" s="731"/>
      <c r="H27" s="731"/>
      <c r="I27" s="731"/>
      <c r="J27" s="731"/>
      <c r="K27" s="732"/>
    </row>
    <row r="28" spans="2:66" ht="12.75" customHeight="1" thickTop="1" thickBot="1">
      <c r="F28" s="461">
        <f>angleConvert2Decimal(I28)</f>
        <v>260</v>
      </c>
      <c r="G28" s="736"/>
      <c r="H28" s="736"/>
      <c r="I28" s="738">
        <v>260</v>
      </c>
      <c r="J28" s="739"/>
      <c r="K28" s="739"/>
      <c r="L28" s="610"/>
      <c r="M28" s="610"/>
      <c r="N28" s="740"/>
      <c r="O28" s="350" t="str" cm="1">
        <f t="array" ref="O28">angleDecimal2Txt(F28)</f>
        <v>+260°00.00 (+260.0000) [+260°00'00.00]</v>
      </c>
      <c r="P28" s="350"/>
      <c r="Q28" s="350"/>
      <c r="R28" s="350"/>
      <c r="S28" s="350"/>
      <c r="T28" s="350"/>
      <c r="U28" s="350"/>
      <c r="V28" s="350"/>
      <c r="W28" s="350"/>
      <c r="X28" s="350"/>
    </row>
    <row r="29" spans="2:66" ht="12.75" customHeight="1" thickTop="1" thickBot="1">
      <c r="F29" s="737"/>
      <c r="G29" s="737"/>
      <c r="H29" s="737"/>
      <c r="I29" s="741"/>
      <c r="J29" s="739"/>
      <c r="K29" s="739"/>
      <c r="L29" s="460"/>
      <c r="M29" s="460"/>
      <c r="N29" s="742"/>
      <c r="O29" s="350"/>
      <c r="P29" s="350"/>
      <c r="Q29" s="350"/>
      <c r="R29" s="350"/>
      <c r="S29" s="350"/>
      <c r="T29" s="350"/>
      <c r="U29" s="350"/>
      <c r="V29" s="350"/>
      <c r="W29" s="350"/>
      <c r="X29" s="350"/>
    </row>
    <row r="30" spans="2:66" ht="12.75" customHeight="1" thickTop="1">
      <c r="E30" s="365" t="s">
        <v>286</v>
      </c>
      <c r="F30" s="381"/>
      <c r="G30" s="381"/>
      <c r="H30" s="381"/>
      <c r="I30" s="381"/>
      <c r="J30" s="381"/>
      <c r="K30" s="366"/>
    </row>
    <row r="31" spans="2:66" ht="12.75" customHeight="1" thickBot="1">
      <c r="E31" s="369"/>
      <c r="F31" s="382"/>
      <c r="G31" s="382"/>
      <c r="H31" s="382"/>
      <c r="I31" s="382"/>
      <c r="J31" s="382"/>
      <c r="K31" s="370"/>
    </row>
    <row r="32" spans="2:66" ht="12.75" customHeight="1" thickTop="1" thickBot="1">
      <c r="F32" s="461">
        <f>I32</f>
        <v>5</v>
      </c>
      <c r="G32" s="736"/>
      <c r="H32" s="736"/>
      <c r="I32" s="738">
        <v>5</v>
      </c>
      <c r="J32" s="739"/>
      <c r="K32" s="739"/>
      <c r="L32" s="610"/>
      <c r="M32" s="610"/>
      <c r="N32" s="740"/>
      <c r="O32" s="350" t="str" cm="1">
        <f t="array" ref="O32">angleDecimal2Txt(F32)</f>
        <v>+05°00.00 (+05.0000) [+05°00'00.00]</v>
      </c>
      <c r="P32" s="350"/>
      <c r="Q32" s="350"/>
      <c r="R32" s="350"/>
      <c r="S32" s="350"/>
      <c r="T32" s="350"/>
      <c r="U32" s="350"/>
      <c r="V32" s="350"/>
      <c r="W32" s="350"/>
      <c r="X32" s="350"/>
    </row>
    <row r="33" spans="2:30" ht="12.75" customHeight="1" thickTop="1" thickBot="1">
      <c r="F33" s="737"/>
      <c r="G33" s="737"/>
      <c r="H33" s="737"/>
      <c r="I33" s="741"/>
      <c r="J33" s="739"/>
      <c r="K33" s="739"/>
      <c r="L33" s="739"/>
      <c r="M33" s="739"/>
      <c r="N33" s="742"/>
      <c r="O33" s="350"/>
      <c r="P33" s="350"/>
      <c r="Q33" s="350"/>
      <c r="R33" s="350"/>
      <c r="S33" s="350"/>
      <c r="T33" s="350"/>
      <c r="U33" s="350"/>
      <c r="V33" s="350"/>
      <c r="W33" s="350"/>
      <c r="X33" s="350"/>
    </row>
    <row r="34" spans="2:30" ht="12.75" customHeight="1" thickTop="1">
      <c r="E34" s="721" t="s">
        <v>284</v>
      </c>
      <c r="F34" s="722"/>
      <c r="G34" s="722"/>
      <c r="H34" s="722"/>
      <c r="I34" s="722"/>
      <c r="J34" s="722"/>
      <c r="K34" s="722"/>
      <c r="L34" s="722"/>
      <c r="M34" s="723"/>
    </row>
    <row r="35" spans="2:30" ht="12.75" customHeight="1" thickBot="1">
      <c r="E35" s="724"/>
      <c r="F35" s="725"/>
      <c r="G35" s="725"/>
      <c r="H35" s="725"/>
      <c r="I35" s="725"/>
      <c r="J35" s="725"/>
      <c r="K35" s="725"/>
      <c r="L35" s="725"/>
      <c r="M35" s="726"/>
    </row>
    <row r="36" spans="2:30" s="147" customFormat="1" ht="12.75" customHeight="1" thickTop="1" thickBot="1">
      <c r="F36" s="763">
        <f>AD37</f>
        <v>46.1</v>
      </c>
      <c r="G36" s="764"/>
      <c r="H36" s="764"/>
      <c r="I36" s="758" t="str">
        <f>I11</f>
        <v>N</v>
      </c>
      <c r="J36" s="760" t="str">
        <f>J11</f>
        <v>46°06</v>
      </c>
      <c r="K36" s="758"/>
      <c r="L36" s="758"/>
      <c r="M36" s="758"/>
      <c r="N36" s="759"/>
      <c r="O36" s="766" t="str" cm="1">
        <f t="array" ref="O36">angleDecimal2Txt(F36)</f>
        <v>+46°06.00 (+46.1000) [+46°06'00.00]</v>
      </c>
      <c r="P36" s="766"/>
      <c r="Q36" s="766"/>
      <c r="R36" s="766"/>
      <c r="S36" s="766"/>
      <c r="T36" s="766"/>
      <c r="U36" s="766"/>
      <c r="V36" s="766"/>
      <c r="W36" s="766"/>
      <c r="X36" s="766"/>
      <c r="AB36" s="168"/>
      <c r="AC36" s="132" t="s">
        <v>179</v>
      </c>
      <c r="AD36" s="126">
        <f>VLOOKUP(I36,$A$13:$C$14,3)</f>
        <v>1</v>
      </c>
    </row>
    <row r="37" spans="2:30" s="147" customFormat="1" ht="12.75" customHeight="1" thickTop="1" thickBot="1">
      <c r="F37" s="765"/>
      <c r="G37" s="765"/>
      <c r="H37" s="765"/>
      <c r="I37" s="759"/>
      <c r="J37" s="759"/>
      <c r="K37" s="759"/>
      <c r="L37" s="759"/>
      <c r="M37" s="759"/>
      <c r="N37" s="759"/>
      <c r="O37" s="766"/>
      <c r="P37" s="766"/>
      <c r="Q37" s="766"/>
      <c r="R37" s="766"/>
      <c r="S37" s="766"/>
      <c r="T37" s="766"/>
      <c r="U37" s="766"/>
      <c r="V37" s="766"/>
      <c r="W37" s="766"/>
      <c r="X37" s="766"/>
      <c r="AB37" s="168"/>
      <c r="AC37" s="132" t="s">
        <v>180</v>
      </c>
      <c r="AD37" s="126" cm="1">
        <f t="array" ref="AD37">angleConvert2Decimal(J36)*AD36</f>
        <v>46.1</v>
      </c>
    </row>
    <row r="38" spans="2:30" s="147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166"/>
      <c r="AC38"/>
      <c r="AD38"/>
    </row>
    <row r="39" spans="2:30" ht="15.75" thickBot="1"/>
    <row r="40" spans="2:30" ht="15.75" thickBot="1">
      <c r="B40" s="25" t="s">
        <v>283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167"/>
    </row>
    <row r="41" spans="2:30" ht="12" customHeight="1">
      <c r="E41" s="754" t="s">
        <v>267</v>
      </c>
      <c r="F41" s="755"/>
      <c r="G41" s="755"/>
      <c r="H41" s="755"/>
      <c r="I41" s="755"/>
      <c r="J41" s="755"/>
      <c r="K41" s="755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16"/>
    </row>
    <row r="42" spans="2:30" ht="12" customHeight="1" thickBot="1">
      <c r="E42" s="756"/>
      <c r="F42" s="757"/>
      <c r="G42" s="757"/>
      <c r="H42" s="757"/>
      <c r="I42" s="757"/>
      <c r="J42" s="757"/>
      <c r="K42" s="757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16"/>
    </row>
    <row r="43" spans="2:30" ht="12" customHeight="1" thickTop="1" thickBot="1">
      <c r="E43" s="14"/>
      <c r="F43" s="462">
        <f>heureConvert2Decimal(I43)</f>
        <v>12.051666666666668</v>
      </c>
      <c r="G43" s="525"/>
      <c r="H43" s="525"/>
      <c r="I43" s="753" t="s">
        <v>268</v>
      </c>
      <c r="J43" s="610"/>
      <c r="K43" s="610"/>
      <c r="L43" s="610"/>
      <c r="M43" s="610"/>
      <c r="N43" s="740"/>
      <c r="O43" s="350" t="str">
        <f>heureDecimal2Txt(F43)</f>
        <v>12:03:06.00(12.0516)</v>
      </c>
      <c r="P43" s="350"/>
      <c r="Q43" s="350"/>
      <c r="R43" s="350"/>
      <c r="S43" s="350"/>
      <c r="T43" s="350"/>
      <c r="U43" s="350"/>
      <c r="V43" s="350"/>
      <c r="W43" s="350"/>
      <c r="X43" s="350"/>
    </row>
    <row r="44" spans="2:30" ht="12" customHeight="1" thickTop="1" thickBot="1">
      <c r="E44" s="14"/>
      <c r="F44" s="525"/>
      <c r="G44" s="525"/>
      <c r="H44" s="525"/>
      <c r="I44" s="459"/>
      <c r="J44" s="460"/>
      <c r="K44" s="460"/>
      <c r="L44" s="460"/>
      <c r="M44" s="460"/>
      <c r="N44" s="742"/>
      <c r="O44" s="350"/>
      <c r="P44" s="350"/>
      <c r="Q44" s="350"/>
      <c r="R44" s="350"/>
      <c r="S44" s="350"/>
      <c r="T44" s="350"/>
      <c r="U44" s="350"/>
      <c r="V44" s="350"/>
      <c r="W44" s="350"/>
      <c r="X44" s="350"/>
    </row>
    <row r="45" spans="2:30" ht="15.75" thickTop="1"/>
    <row r="46" spans="2:30" ht="15.75" thickBot="1"/>
    <row r="47" spans="2:30" ht="15.75" thickBot="1">
      <c r="B47" s="716" t="s">
        <v>289</v>
      </c>
      <c r="C47" s="717"/>
      <c r="D47" s="717"/>
      <c r="E47" s="717"/>
      <c r="F47" s="717"/>
      <c r="G47" s="717"/>
      <c r="H47" s="717"/>
      <c r="I47" s="717"/>
      <c r="J47" s="717"/>
      <c r="K47" s="717"/>
      <c r="L47" s="717"/>
      <c r="M47" s="717"/>
      <c r="N47" s="717"/>
      <c r="O47" s="717"/>
      <c r="P47" s="717"/>
      <c r="Q47" s="717"/>
      <c r="R47" s="717"/>
      <c r="S47" s="717"/>
      <c r="T47" s="717"/>
      <c r="U47" s="717"/>
      <c r="V47" s="717"/>
      <c r="W47" s="717"/>
      <c r="X47" s="717"/>
      <c r="Y47" s="717"/>
      <c r="Z47" s="717"/>
      <c r="AA47" s="717"/>
      <c r="AB47" s="167"/>
    </row>
    <row r="49" spans="3:27">
      <c r="C49" s="733" t="s">
        <v>287</v>
      </c>
      <c r="D49" s="734"/>
      <c r="E49" s="734"/>
      <c r="F49" s="734"/>
      <c r="G49" s="734"/>
      <c r="H49" s="734"/>
      <c r="I49" s="734"/>
      <c r="J49" s="734"/>
      <c r="K49" s="734"/>
      <c r="L49" s="734"/>
      <c r="M49" s="734"/>
      <c r="N49" s="734"/>
      <c r="O49" s="734"/>
      <c r="P49" s="734"/>
      <c r="Q49" s="734"/>
      <c r="R49" s="735"/>
    </row>
    <row r="50" spans="3:27">
      <c r="C50" s="646" t="s">
        <v>114</v>
      </c>
      <c r="D50" s="646"/>
      <c r="E50" s="646">
        <f>F28</f>
        <v>260</v>
      </c>
      <c r="F50" s="646"/>
      <c r="G50" s="646"/>
      <c r="I50" s="751" t="s">
        <v>288</v>
      </c>
      <c r="J50" s="751"/>
      <c r="K50" s="714" t="b">
        <f>IF(E50&lt;180,TRUE,FALSE)</f>
        <v>0</v>
      </c>
      <c r="L50" s="714"/>
      <c r="N50" s="743" t="s">
        <v>262</v>
      </c>
      <c r="O50" s="743"/>
      <c r="P50" s="745">
        <f>E51*ABS(SIN(Outils!$F$4*Meridienne!E50))*(IF(K50,1,-1))</f>
        <v>-4.9240387650610398</v>
      </c>
      <c r="Q50" s="746"/>
      <c r="R50" s="749" t="s">
        <v>261</v>
      </c>
    </row>
    <row r="51" spans="3:27">
      <c r="C51" s="397" t="s">
        <v>113</v>
      </c>
      <c r="D51" s="397"/>
      <c r="E51" s="397">
        <f>F32</f>
        <v>5</v>
      </c>
      <c r="F51" s="397"/>
      <c r="G51" s="397"/>
      <c r="I51" s="752"/>
      <c r="J51" s="752"/>
      <c r="K51" s="715"/>
      <c r="L51" s="715"/>
      <c r="N51" s="744"/>
      <c r="O51" s="744"/>
      <c r="P51" s="747"/>
      <c r="Q51" s="748"/>
      <c r="R51" s="750"/>
    </row>
    <row r="54" spans="3:27">
      <c r="C54" s="733" t="s">
        <v>264</v>
      </c>
      <c r="D54" s="734"/>
      <c r="E54" s="734"/>
      <c r="F54" s="734"/>
      <c r="G54" s="734"/>
      <c r="H54" s="734"/>
      <c r="I54" s="734"/>
      <c r="J54" s="734"/>
      <c r="K54" s="771"/>
      <c r="L54" s="771"/>
      <c r="M54" s="771"/>
      <c r="N54" s="771"/>
      <c r="O54" s="772"/>
    </row>
    <row r="55" spans="3:27">
      <c r="C55" s="646" t="s">
        <v>254</v>
      </c>
      <c r="D55" s="646"/>
      <c r="E55" s="646">
        <f>F36</f>
        <v>46.1</v>
      </c>
      <c r="F55" s="646"/>
      <c r="G55" s="646"/>
      <c r="I55" s="776" t="s">
        <v>263</v>
      </c>
      <c r="J55" s="776"/>
      <c r="K55" s="773" t="s">
        <v>74</v>
      </c>
      <c r="L55" s="774">
        <f>$P$50/(60 * COS($E$55*Outils!$F$4))</f>
        <v>-0.11835462412189314</v>
      </c>
      <c r="M55" s="774"/>
      <c r="N55" s="774"/>
      <c r="O55" s="775" t="s">
        <v>265</v>
      </c>
      <c r="P55" s="744" t="str">
        <f>IF(K50,"Vers l'Est","Vers l'Ouest")</f>
        <v>Vers l'Ouest</v>
      </c>
      <c r="Q55" s="744"/>
      <c r="R55" s="744"/>
      <c r="U55" s="777" t="s">
        <v>292</v>
      </c>
      <c r="V55" s="778"/>
      <c r="W55" s="779"/>
      <c r="X55" s="783">
        <f>IF(K50,-1*ABS(L55),ABS(L55))</f>
        <v>0.11835462412189314</v>
      </c>
      <c r="Y55" s="784"/>
      <c r="Z55" s="784"/>
      <c r="AA55" s="719" t="s">
        <v>265</v>
      </c>
    </row>
    <row r="56" spans="3:27">
      <c r="C56" s="397" t="str">
        <f>N50</f>
        <v>VLong.</v>
      </c>
      <c r="D56" s="397"/>
      <c r="E56" s="397">
        <f>P50</f>
        <v>-4.9240387650610398</v>
      </c>
      <c r="F56" s="397"/>
      <c r="G56" s="397"/>
      <c r="I56" s="776"/>
      <c r="J56" s="776"/>
      <c r="K56" s="773"/>
      <c r="L56" s="774"/>
      <c r="M56" s="774"/>
      <c r="N56" s="774"/>
      <c r="O56" s="775"/>
      <c r="P56" s="744"/>
      <c r="Q56" s="744"/>
      <c r="R56" s="744"/>
      <c r="U56" s="780"/>
      <c r="V56" s="781"/>
      <c r="W56" s="782"/>
      <c r="X56" s="785"/>
      <c r="Y56" s="786"/>
      <c r="Z56" s="786"/>
      <c r="AA56" s="720"/>
    </row>
    <row r="59" spans="3:27" ht="18.75" customHeight="1">
      <c r="C59" s="768" t="s">
        <v>291</v>
      </c>
      <c r="D59" s="769"/>
      <c r="E59" s="769"/>
      <c r="F59" s="769"/>
      <c r="G59" s="769"/>
      <c r="H59" s="769"/>
      <c r="I59" s="769"/>
      <c r="J59" s="769"/>
      <c r="K59" s="769"/>
      <c r="L59" s="769"/>
      <c r="M59" s="769"/>
      <c r="N59" s="769"/>
      <c r="O59" s="770"/>
    </row>
    <row r="60" spans="3:27" ht="15" customHeight="1">
      <c r="C60" s="646" t="s">
        <v>182</v>
      </c>
      <c r="D60" s="646"/>
      <c r="E60" s="646">
        <f>F16</f>
        <v>-7.083333333333333</v>
      </c>
      <c r="F60" s="646"/>
      <c r="G60" s="646"/>
      <c r="I60" s="761" t="s">
        <v>269</v>
      </c>
      <c r="J60" s="762"/>
      <c r="K60" s="767">
        <f>longitude2LongitudeHoraire(E60)</f>
        <v>7.083333333333333</v>
      </c>
      <c r="L60" s="767"/>
      <c r="M60" s="767"/>
      <c r="N60" s="767"/>
      <c r="O60" s="128" t="s">
        <v>28</v>
      </c>
    </row>
    <row r="63" spans="3:27">
      <c r="C63" s="718" t="s">
        <v>270</v>
      </c>
      <c r="D63" s="718"/>
      <c r="E63" s="718"/>
      <c r="F63" s="718"/>
      <c r="G63" s="718"/>
      <c r="H63" s="718"/>
      <c r="I63" s="718"/>
      <c r="J63" s="718"/>
      <c r="K63" s="718"/>
      <c r="L63" s="718"/>
      <c r="M63" s="718"/>
      <c r="N63" s="718"/>
      <c r="O63" s="718"/>
    </row>
    <row r="64" spans="3:27" ht="15" customHeight="1" thickBot="1">
      <c r="C64" s="712" t="s">
        <v>290</v>
      </c>
      <c r="D64" s="712"/>
      <c r="E64" s="712"/>
      <c r="F64" s="712"/>
      <c r="G64" s="712"/>
      <c r="H64" s="712"/>
      <c r="I64" s="712"/>
      <c r="J64" s="712"/>
      <c r="K64" s="712"/>
      <c r="L64" s="712"/>
      <c r="M64" s="712"/>
      <c r="N64" s="712"/>
      <c r="O64" s="712"/>
      <c r="P64" s="149" t="s">
        <v>294</v>
      </c>
      <c r="Q64" s="713" t="s">
        <v>293</v>
      </c>
      <c r="R64" s="713"/>
      <c r="S64" s="713"/>
      <c r="T64" s="713"/>
      <c r="U64" s="713"/>
      <c r="V64" s="129">
        <v>15.002000000000001</v>
      </c>
      <c r="W64" s="130" t="s">
        <v>265</v>
      </c>
    </row>
    <row r="65" spans="2:71" ht="15.75" thickTop="1">
      <c r="C65" s="712"/>
      <c r="D65" s="712"/>
      <c r="E65" s="712"/>
      <c r="F65" s="712"/>
      <c r="G65" s="712"/>
      <c r="H65" s="712"/>
      <c r="I65" s="712"/>
      <c r="J65" s="712"/>
      <c r="K65" s="712"/>
      <c r="L65" s="712"/>
      <c r="M65" s="712"/>
      <c r="N65" s="712"/>
      <c r="O65" s="712"/>
    </row>
    <row r="66" spans="2:71">
      <c r="C66" s="712"/>
      <c r="D66" s="712"/>
      <c r="E66" s="712"/>
      <c r="F66" s="712"/>
      <c r="G66" s="712"/>
      <c r="H66" s="712"/>
      <c r="I66" s="712"/>
      <c r="J66" s="712"/>
      <c r="K66" s="712"/>
      <c r="L66" s="712"/>
      <c r="M66" s="712"/>
      <c r="N66" s="712"/>
      <c r="O66" s="712"/>
    </row>
    <row r="70" spans="2:71" ht="15" customHeight="1">
      <c r="H70" s="706" t="s">
        <v>295</v>
      </c>
      <c r="I70" s="706"/>
      <c r="J70" s="706"/>
      <c r="K70" s="706"/>
      <c r="L70" s="706"/>
      <c r="M70" s="706"/>
      <c r="N70" s="706"/>
      <c r="O70" s="706"/>
      <c r="P70" s="706"/>
      <c r="Q70" s="706"/>
      <c r="R70" s="706"/>
      <c r="S70" s="706"/>
      <c r="T70" s="706"/>
      <c r="U70" s="706"/>
      <c r="V70" s="704">
        <f>$K$60/($V$64-$L$55)</f>
        <v>0.46846343947734581</v>
      </c>
      <c r="W70" s="704"/>
      <c r="X70" s="704" t="s">
        <v>280</v>
      </c>
    </row>
    <row r="71" spans="2:71">
      <c r="H71" s="706"/>
      <c r="I71" s="706"/>
      <c r="J71" s="706"/>
      <c r="K71" s="706"/>
      <c r="L71" s="706"/>
      <c r="M71" s="706"/>
      <c r="N71" s="706"/>
      <c r="O71" s="706"/>
      <c r="P71" s="706"/>
      <c r="Q71" s="706"/>
      <c r="R71" s="706"/>
      <c r="S71" s="706"/>
      <c r="T71" s="706"/>
      <c r="U71" s="706"/>
      <c r="V71" s="704"/>
      <c r="W71" s="704"/>
      <c r="X71" s="705"/>
    </row>
    <row r="72" spans="2:71">
      <c r="H72" s="707" t="s">
        <v>296</v>
      </c>
      <c r="I72" s="707"/>
      <c r="J72" s="707"/>
      <c r="K72" s="707"/>
      <c r="L72" s="707"/>
      <c r="M72" s="707"/>
      <c r="N72" s="707"/>
      <c r="O72" s="707"/>
      <c r="P72" s="707"/>
      <c r="Q72" s="707"/>
      <c r="R72" s="707"/>
      <c r="S72" s="707"/>
      <c r="T72" s="707"/>
      <c r="U72" s="707"/>
      <c r="V72" s="710">
        <f>F43+V70</f>
        <v>12.520130106144013</v>
      </c>
      <c r="W72" s="711"/>
      <c r="X72" s="708" t="str">
        <f>heureDecimal2Txt(V72)</f>
        <v>12:31:12.46(12.5201)</v>
      </c>
      <c r="Y72" s="709"/>
      <c r="Z72" s="709"/>
      <c r="AA72" s="709"/>
      <c r="AB72" s="709"/>
      <c r="AC72" s="709"/>
    </row>
    <row r="73" spans="2:71">
      <c r="H73" s="707"/>
      <c r="I73" s="707"/>
      <c r="J73" s="707"/>
      <c r="K73" s="707"/>
      <c r="L73" s="707"/>
      <c r="M73" s="707"/>
      <c r="N73" s="707"/>
      <c r="O73" s="707"/>
      <c r="P73" s="707"/>
      <c r="Q73" s="707"/>
      <c r="R73" s="707"/>
      <c r="S73" s="707"/>
      <c r="T73" s="707"/>
      <c r="U73" s="707"/>
      <c r="V73" s="711"/>
      <c r="W73" s="711"/>
      <c r="X73" s="708"/>
      <c r="Y73" s="709"/>
      <c r="Z73" s="709"/>
      <c r="AA73" s="709"/>
      <c r="AB73" s="709"/>
      <c r="AC73" s="709"/>
    </row>
    <row r="74" spans="2:71">
      <c r="H74" s="706" t="s">
        <v>297</v>
      </c>
      <c r="I74" s="706"/>
      <c r="J74" s="706"/>
      <c r="K74" s="706"/>
      <c r="L74" s="706"/>
      <c r="M74" s="706"/>
      <c r="N74" s="706"/>
      <c r="O74" s="706"/>
      <c r="P74" s="706"/>
      <c r="Q74" s="706"/>
      <c r="R74" s="706"/>
      <c r="S74" s="706"/>
      <c r="T74" s="706"/>
      <c r="U74" s="706"/>
      <c r="V74" s="703">
        <f>V72-F21</f>
        <v>2.1798523283662341</v>
      </c>
      <c r="W74" s="704"/>
      <c r="X74" s="704" t="s">
        <v>280</v>
      </c>
    </row>
    <row r="75" spans="2:71">
      <c r="H75" s="706"/>
      <c r="I75" s="706"/>
      <c r="J75" s="706"/>
      <c r="K75" s="706"/>
      <c r="L75" s="706"/>
      <c r="M75" s="706"/>
      <c r="N75" s="706"/>
      <c r="O75" s="706"/>
      <c r="P75" s="706"/>
      <c r="Q75" s="706"/>
      <c r="R75" s="706"/>
      <c r="S75" s="706"/>
      <c r="T75" s="706"/>
      <c r="U75" s="706"/>
      <c r="V75" s="704"/>
      <c r="W75" s="704"/>
      <c r="X75" s="705"/>
    </row>
    <row r="76" spans="2:71">
      <c r="H76" s="707" t="s">
        <v>301</v>
      </c>
      <c r="I76" s="707"/>
      <c r="J76" s="707"/>
      <c r="K76" s="707"/>
      <c r="L76" s="707"/>
      <c r="M76" s="707"/>
      <c r="N76" s="707"/>
      <c r="O76" s="707"/>
      <c r="P76" s="707"/>
      <c r="Q76" s="707"/>
      <c r="R76" s="707"/>
      <c r="S76" s="707"/>
      <c r="T76" s="707"/>
      <c r="U76" s="707"/>
      <c r="V76" s="710">
        <f>V74*E51</f>
        <v>10.899261641831171</v>
      </c>
      <c r="W76" s="711"/>
      <c r="X76" s="701" t="s">
        <v>112</v>
      </c>
    </row>
    <row r="77" spans="2:71">
      <c r="H77" s="707"/>
      <c r="I77" s="707"/>
      <c r="J77" s="707"/>
      <c r="K77" s="707"/>
      <c r="L77" s="707"/>
      <c r="M77" s="707"/>
      <c r="N77" s="707"/>
      <c r="O77" s="707"/>
      <c r="P77" s="707"/>
      <c r="Q77" s="707"/>
      <c r="R77" s="707"/>
      <c r="S77" s="707"/>
      <c r="T77" s="707"/>
      <c r="U77" s="707"/>
      <c r="V77" s="711"/>
      <c r="W77" s="711"/>
      <c r="X77" s="702"/>
    </row>
    <row r="79" spans="2:71" ht="15.75" thickBot="1"/>
    <row r="80" spans="2:71" s="16" customFormat="1" ht="17.25" customHeight="1" thickBot="1">
      <c r="B80" s="155" t="s">
        <v>312</v>
      </c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4"/>
      <c r="V80" s="154"/>
      <c r="W80" s="154"/>
      <c r="X80" s="154"/>
      <c r="Y80" s="154"/>
      <c r="Z80" s="154"/>
      <c r="AA80" s="154"/>
      <c r="AB80" s="172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96"/>
      <c r="AU80" s="96"/>
      <c r="AV80" s="96"/>
      <c r="AW80" s="96"/>
      <c r="AX80" s="96"/>
      <c r="AY80" s="96"/>
      <c r="AZ80" s="96"/>
      <c r="BA80" s="96"/>
      <c r="BB80" s="96"/>
      <c r="BC80" s="96"/>
      <c r="BD80" s="96"/>
      <c r="BE80" s="96"/>
      <c r="BF80" s="96"/>
      <c r="BG80" s="96"/>
      <c r="BH80" s="96"/>
      <c r="BI80" s="96"/>
      <c r="BJ80" s="96"/>
      <c r="BK80" s="96"/>
      <c r="BL80" s="96"/>
      <c r="BM80" s="96"/>
      <c r="BN80" s="96"/>
      <c r="BO80" s="96"/>
      <c r="BP80" s="96"/>
      <c r="BQ80" s="96"/>
      <c r="BR80" s="96"/>
      <c r="BS80" s="96"/>
    </row>
    <row r="81" spans="1:74" s="16" customFormat="1" ht="17.25" customHeight="1">
      <c r="C81" s="98"/>
      <c r="D81" s="99"/>
      <c r="E81" s="841" t="s">
        <v>60</v>
      </c>
      <c r="F81" s="842"/>
      <c r="G81" s="811" t="s">
        <v>2</v>
      </c>
      <c r="H81" s="812"/>
      <c r="I81" s="812"/>
      <c r="J81" s="490" t="s">
        <v>244</v>
      </c>
      <c r="K81" s="490"/>
      <c r="L81" s="490"/>
      <c r="M81" s="792" t="s">
        <v>314</v>
      </c>
      <c r="N81" s="793"/>
      <c r="O81" s="793"/>
      <c r="P81" s="794"/>
      <c r="Q81" s="792" t="s">
        <v>313</v>
      </c>
      <c r="R81" s="793"/>
      <c r="S81" s="793"/>
      <c r="T81" s="794"/>
      <c r="U81" s="803" t="s">
        <v>131</v>
      </c>
      <c r="V81" s="803"/>
      <c r="W81" s="803"/>
      <c r="X81" s="808" t="s">
        <v>315</v>
      </c>
      <c r="Y81" s="809"/>
      <c r="Z81" s="809"/>
      <c r="AA81" s="810"/>
      <c r="AB81" s="173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96"/>
      <c r="AU81" s="96"/>
      <c r="AV81" s="96"/>
      <c r="AW81" s="96"/>
      <c r="AX81" s="96"/>
      <c r="AY81" s="96"/>
      <c r="AZ81" s="96"/>
      <c r="BA81" s="96"/>
      <c r="BB81" s="96"/>
      <c r="BC81" s="96"/>
      <c r="BD81" s="96"/>
      <c r="BE81" s="96"/>
      <c r="BF81" s="96"/>
      <c r="BG81" s="96"/>
      <c r="BH81" s="96"/>
      <c r="BI81" s="96"/>
      <c r="BJ81" s="96"/>
      <c r="BK81" s="96"/>
      <c r="BL81" s="96"/>
      <c r="BM81" s="96"/>
      <c r="BN81" s="96"/>
      <c r="BO81" s="96"/>
      <c r="BP81" s="96"/>
      <c r="BQ81" s="96"/>
      <c r="BR81" s="96"/>
      <c r="BS81" s="96"/>
    </row>
    <row r="82" spans="1:74" s="16" customFormat="1" ht="17.25" customHeight="1" thickBot="1">
      <c r="C82" s="100"/>
      <c r="D82" s="101"/>
      <c r="E82" s="510"/>
      <c r="F82" s="512"/>
      <c r="G82" s="813"/>
      <c r="H82" s="814"/>
      <c r="I82" s="814"/>
      <c r="J82" s="490"/>
      <c r="K82" s="490"/>
      <c r="L82" s="490"/>
      <c r="M82" s="795"/>
      <c r="N82" s="796"/>
      <c r="O82" s="796"/>
      <c r="P82" s="797"/>
      <c r="Q82" s="795"/>
      <c r="R82" s="796"/>
      <c r="S82" s="796"/>
      <c r="T82" s="797"/>
      <c r="U82" s="803"/>
      <c r="V82" s="803"/>
      <c r="W82" s="803"/>
      <c r="X82" s="795"/>
      <c r="Y82" s="796"/>
      <c r="Z82" s="796"/>
      <c r="AA82" s="797"/>
      <c r="AB82" s="173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96"/>
      <c r="AU82" s="96"/>
      <c r="AV82" s="96"/>
      <c r="AW82" s="96"/>
      <c r="AX82" s="96"/>
      <c r="AY82" s="96"/>
      <c r="AZ82" s="96"/>
      <c r="BA82" s="96"/>
      <c r="BB82" s="96"/>
      <c r="BC82" s="96"/>
      <c r="BD82" s="96"/>
      <c r="BE82" s="96"/>
      <c r="BF82" s="96"/>
      <c r="BG82" s="96"/>
      <c r="BH82" s="96"/>
      <c r="BI82" s="96"/>
      <c r="BJ82" s="96"/>
      <c r="BK82" s="96"/>
      <c r="BL82" s="96"/>
      <c r="BM82" s="96"/>
      <c r="BN82" s="96"/>
      <c r="BO82" s="96"/>
      <c r="BP82" s="96"/>
      <c r="BQ82" s="96"/>
      <c r="BR82" s="96"/>
      <c r="BS82" s="96"/>
      <c r="BT82" s="96"/>
    </row>
    <row r="83" spans="1:74" s="96" customFormat="1" ht="17.25" customHeight="1" thickTop="1" thickBot="1">
      <c r="A83" s="16"/>
      <c r="B83" s="16"/>
      <c r="C83" s="162" t="s">
        <v>215</v>
      </c>
      <c r="D83" s="163"/>
      <c r="E83" s="843" t="s">
        <v>225</v>
      </c>
      <c r="F83" s="844"/>
      <c r="G83" s="798" t="str">
        <f>heureDecimal2Txt(AC83)</f>
        <v>10:30:50.00(10.5138)</v>
      </c>
      <c r="H83" s="799"/>
      <c r="I83" s="800"/>
      <c r="J83" s="801" t="s">
        <v>235</v>
      </c>
      <c r="K83" s="802"/>
      <c r="L83" s="802"/>
      <c r="M83" s="802">
        <v>0</v>
      </c>
      <c r="N83" s="802"/>
      <c r="O83" s="802"/>
      <c r="P83" s="802"/>
      <c r="Q83" s="804">
        <v>2</v>
      </c>
      <c r="R83" s="804"/>
      <c r="S83" s="804"/>
      <c r="T83" s="804"/>
      <c r="U83" s="805" t="s">
        <v>316</v>
      </c>
      <c r="V83" s="806"/>
      <c r="W83" s="806"/>
      <c r="X83" s="807" t="str">
        <f>heureDecimal2Txt(AH83)</f>
        <v>02:00:22.46(02.0062)</v>
      </c>
      <c r="Y83" s="807"/>
      <c r="Z83" s="807"/>
      <c r="AA83" s="807"/>
      <c r="AB83" s="174"/>
      <c r="AC83" s="131">
        <f>AD83+(AE83+AF83+AG83)/3600</f>
        <v>10.513888888888889</v>
      </c>
      <c r="AD83" s="3">
        <f>heureConvert2Decimal(J83)</f>
        <v>10.340277777777779</v>
      </c>
      <c r="AE83" s="164">
        <f>M83*3600</f>
        <v>0</v>
      </c>
      <c r="AF83" s="69">
        <f>Q83</f>
        <v>2</v>
      </c>
      <c r="AG83" s="3">
        <f>heureConvert2Decimal(U83)*60</f>
        <v>623</v>
      </c>
      <c r="AH83" s="5">
        <f>$V$72-AC83</f>
        <v>2.0062412172551234</v>
      </c>
      <c r="AI83" s="3"/>
      <c r="AJ83" s="3"/>
      <c r="AK83"/>
      <c r="AL83"/>
      <c r="AM83"/>
      <c r="AN83"/>
      <c r="AO83"/>
      <c r="AP83"/>
      <c r="AQ83"/>
      <c r="AR83"/>
      <c r="AS83"/>
      <c r="BU83" s="16"/>
      <c r="BV83" s="16"/>
    </row>
    <row r="84" spans="1:74" s="96" customFormat="1" ht="17.25" customHeight="1" thickTop="1" thickBot="1">
      <c r="C84" s="158" t="s">
        <v>217</v>
      </c>
      <c r="D84" s="159"/>
      <c r="E84" s="843" t="s">
        <v>325</v>
      </c>
      <c r="F84" s="844"/>
      <c r="G84" s="798" t="str">
        <f>heureDecimal2Txt(AC84)</f>
        <v>10:45:50.00(10.7638)</v>
      </c>
      <c r="H84" s="799"/>
      <c r="I84" s="800"/>
      <c r="J84" s="801" t="s">
        <v>319</v>
      </c>
      <c r="K84" s="802"/>
      <c r="L84" s="802"/>
      <c r="M84" s="802">
        <v>0</v>
      </c>
      <c r="N84" s="802"/>
      <c r="O84" s="802"/>
      <c r="P84" s="802"/>
      <c r="Q84" s="804">
        <v>2</v>
      </c>
      <c r="R84" s="804"/>
      <c r="S84" s="804"/>
      <c r="T84" s="804"/>
      <c r="U84" s="805" t="s">
        <v>316</v>
      </c>
      <c r="V84" s="806"/>
      <c r="W84" s="806"/>
      <c r="X84" s="807" t="str">
        <f t="shared" ref="X84:X87" si="0">heureDecimal2Txt(AH84)</f>
        <v>01:45:22.46(01.7562)</v>
      </c>
      <c r="Y84" s="807"/>
      <c r="Z84" s="807"/>
      <c r="AA84" s="807"/>
      <c r="AB84" s="174"/>
      <c r="AC84" s="131">
        <f>AD84+(AE84+AF84+AG84)/3600</f>
        <v>10.763888888888889</v>
      </c>
      <c r="AD84" s="3">
        <f>heureConvert2Decimal(J84)</f>
        <v>10.590277777777779</v>
      </c>
      <c r="AE84" s="164">
        <f>M84*3600</f>
        <v>0</v>
      </c>
      <c r="AF84" s="69">
        <f>Q84</f>
        <v>2</v>
      </c>
      <c r="AG84" s="3">
        <f>heureConvert2Decimal(U84)*60</f>
        <v>623</v>
      </c>
      <c r="AH84" s="5">
        <f t="shared" ref="AH84:AH87" si="1">$V$72-AC84</f>
        <v>1.7562412172551234</v>
      </c>
      <c r="AI84" s="3"/>
      <c r="AJ84" s="3"/>
      <c r="AK84"/>
      <c r="AL84"/>
      <c r="AM84"/>
      <c r="AN84"/>
      <c r="AO84"/>
      <c r="AP84"/>
      <c r="AQ84"/>
      <c r="AR84"/>
      <c r="AS84"/>
    </row>
    <row r="85" spans="1:74" s="96" customFormat="1" ht="17.25" customHeight="1" thickTop="1" thickBot="1">
      <c r="C85" s="158" t="s">
        <v>219</v>
      </c>
      <c r="D85" s="159"/>
      <c r="E85" s="843" t="s">
        <v>326</v>
      </c>
      <c r="F85" s="844"/>
      <c r="G85" s="798" t="str">
        <f>heureDecimal2Txt(AC85)</f>
        <v>11:04:50.00(11.0805)</v>
      </c>
      <c r="H85" s="799"/>
      <c r="I85" s="800"/>
      <c r="J85" s="801" t="s">
        <v>320</v>
      </c>
      <c r="K85" s="802"/>
      <c r="L85" s="802"/>
      <c r="M85" s="802">
        <v>0</v>
      </c>
      <c r="N85" s="802"/>
      <c r="O85" s="802"/>
      <c r="P85" s="802"/>
      <c r="Q85" s="804">
        <v>2</v>
      </c>
      <c r="R85" s="804"/>
      <c r="S85" s="804"/>
      <c r="T85" s="804"/>
      <c r="U85" s="805" t="s">
        <v>316</v>
      </c>
      <c r="V85" s="806"/>
      <c r="W85" s="806"/>
      <c r="X85" s="807" t="str">
        <f t="shared" si="0"/>
        <v>01:26:22.46(01.4395)</v>
      </c>
      <c r="Y85" s="807"/>
      <c r="Z85" s="807"/>
      <c r="AA85" s="807"/>
      <c r="AB85" s="174"/>
      <c r="AC85" s="131">
        <f>AD85+(AE85+AF85+AG85)/3600</f>
        <v>11.080555555555556</v>
      </c>
      <c r="AD85" s="3">
        <f>heureConvert2Decimal(J85)</f>
        <v>10.906944444444445</v>
      </c>
      <c r="AE85" s="164">
        <f>M85*3600</f>
        <v>0</v>
      </c>
      <c r="AF85" s="69">
        <f>Q85</f>
        <v>2</v>
      </c>
      <c r="AG85" s="3">
        <f>heureConvert2Decimal(U85)*60</f>
        <v>623</v>
      </c>
      <c r="AH85" s="5">
        <f t="shared" si="1"/>
        <v>1.439574550588457</v>
      </c>
      <c r="AI85" s="3"/>
      <c r="AJ85" s="3"/>
      <c r="AK85"/>
      <c r="AL85"/>
      <c r="AM85"/>
      <c r="AN85"/>
      <c r="AO85"/>
      <c r="AP85"/>
      <c r="AQ85"/>
      <c r="AR85"/>
      <c r="AS85"/>
    </row>
    <row r="86" spans="1:74" s="96" customFormat="1" ht="17.25" customHeight="1" thickTop="1" thickBot="1">
      <c r="C86" s="158" t="s">
        <v>221</v>
      </c>
      <c r="D86" s="159"/>
      <c r="E86" s="843" t="s">
        <v>327</v>
      </c>
      <c r="F86" s="844"/>
      <c r="G86" s="798" t="str">
        <f>heureDecimal2Txt(AC86)</f>
        <v>11:20:50.00(11.3472)</v>
      </c>
      <c r="H86" s="799"/>
      <c r="I86" s="800"/>
      <c r="J86" s="801" t="s">
        <v>321</v>
      </c>
      <c r="K86" s="802"/>
      <c r="L86" s="802"/>
      <c r="M86" s="802">
        <v>0</v>
      </c>
      <c r="N86" s="802"/>
      <c r="O86" s="802"/>
      <c r="P86" s="802"/>
      <c r="Q86" s="804">
        <v>2</v>
      </c>
      <c r="R86" s="804"/>
      <c r="S86" s="804"/>
      <c r="T86" s="804"/>
      <c r="U86" s="805" t="s">
        <v>316</v>
      </c>
      <c r="V86" s="806"/>
      <c r="W86" s="806"/>
      <c r="X86" s="807" t="str">
        <f t="shared" si="0"/>
        <v>01:10:22.46(01.1729)</v>
      </c>
      <c r="Y86" s="807"/>
      <c r="Z86" s="807"/>
      <c r="AA86" s="807"/>
      <c r="AB86" s="174"/>
      <c r="AC86" s="131">
        <f>AD86+(AE86+AF86+AG86)/3600</f>
        <v>11.347222222222221</v>
      </c>
      <c r="AD86" s="3">
        <f>heureConvert2Decimal(J86)</f>
        <v>11.173611111111111</v>
      </c>
      <c r="AE86" s="164">
        <f>M86*3600</f>
        <v>0</v>
      </c>
      <c r="AF86" s="69">
        <f>Q86</f>
        <v>2</v>
      </c>
      <c r="AG86" s="3">
        <f>heureConvert2Decimal(U86)*60</f>
        <v>623</v>
      </c>
      <c r="AH86" s="5">
        <f t="shared" si="1"/>
        <v>1.1729078839217912</v>
      </c>
      <c r="AI86" s="3"/>
      <c r="AJ86" s="3"/>
      <c r="AK86"/>
      <c r="AL86"/>
      <c r="AM86"/>
      <c r="AN86"/>
      <c r="AO86"/>
      <c r="AP86"/>
      <c r="AQ86"/>
      <c r="AR86"/>
      <c r="AS86"/>
    </row>
    <row r="87" spans="1:74" s="96" customFormat="1" ht="17.25" customHeight="1" thickTop="1">
      <c r="C87" s="177" t="s">
        <v>223</v>
      </c>
      <c r="D87" s="178"/>
      <c r="E87" s="821" t="s">
        <v>328</v>
      </c>
      <c r="F87" s="822"/>
      <c r="G87" s="823" t="str">
        <f>heureDecimal2Txt(AC87)</f>
        <v>12:20:50.00(12.3472)</v>
      </c>
      <c r="H87" s="824"/>
      <c r="I87" s="825"/>
      <c r="J87" s="826" t="s">
        <v>322</v>
      </c>
      <c r="K87" s="827"/>
      <c r="L87" s="827"/>
      <c r="M87" s="827">
        <v>0</v>
      </c>
      <c r="N87" s="827"/>
      <c r="O87" s="827"/>
      <c r="P87" s="827"/>
      <c r="Q87" s="828">
        <v>2</v>
      </c>
      <c r="R87" s="828"/>
      <c r="S87" s="828"/>
      <c r="T87" s="828"/>
      <c r="U87" s="831" t="s">
        <v>316</v>
      </c>
      <c r="V87" s="832"/>
      <c r="W87" s="832"/>
      <c r="X87" s="833" t="str">
        <f t="shared" si="0"/>
        <v>00:10:22.46(00.1729)</v>
      </c>
      <c r="Y87" s="833"/>
      <c r="Z87" s="833"/>
      <c r="AA87" s="833"/>
      <c r="AB87" s="174"/>
      <c r="AC87" s="179">
        <f>AD87+(AE87+AF87+AG87)/3600</f>
        <v>12.347222222222221</v>
      </c>
      <c r="AD87" s="180">
        <f>heureConvert2Decimal(J87)</f>
        <v>12.173611111111111</v>
      </c>
      <c r="AE87" s="181">
        <f>M87*3600</f>
        <v>0</v>
      </c>
      <c r="AF87" s="182">
        <f>Q87</f>
        <v>2</v>
      </c>
      <c r="AG87" s="180">
        <f>heureConvert2Decimal(U87)*60</f>
        <v>623</v>
      </c>
      <c r="AH87" s="186">
        <f t="shared" si="1"/>
        <v>0.17290788392179124</v>
      </c>
      <c r="AI87" s="180"/>
      <c r="AJ87" s="180"/>
      <c r="AK87"/>
      <c r="AL87"/>
      <c r="AM87"/>
      <c r="AN87"/>
      <c r="AO87"/>
      <c r="AP87"/>
      <c r="AQ87"/>
      <c r="AR87"/>
      <c r="AS87"/>
    </row>
    <row r="88" spans="1:74" s="8" customFormat="1" ht="15.75" customHeight="1">
      <c r="B88" s="853" t="str">
        <f>CONCATENATE(" C U L M I N A T I O N vers ", " ------  &gt;&gt;&gt;&gt; ", X72, "&lt;&lt;&lt;&lt; -------" )</f>
        <v xml:space="preserve"> C U L M I N A T I O N vers  ------  &gt;&gt;&gt;&gt; 12:31:12.46(12.5201)&lt;&lt;&lt;&lt; -------</v>
      </c>
      <c r="C88" s="853"/>
      <c r="D88" s="853"/>
      <c r="E88" s="853"/>
      <c r="F88" s="853"/>
      <c r="G88" s="853"/>
      <c r="H88" s="853"/>
      <c r="I88" s="853"/>
      <c r="J88" s="853"/>
      <c r="K88" s="853"/>
      <c r="L88" s="853"/>
      <c r="M88" s="853"/>
      <c r="N88" s="853"/>
      <c r="O88" s="853"/>
      <c r="P88" s="853"/>
      <c r="Q88" s="853"/>
      <c r="R88" s="853"/>
      <c r="S88" s="853"/>
      <c r="T88" s="853"/>
      <c r="U88" s="853"/>
      <c r="V88" s="853"/>
      <c r="W88" s="853"/>
      <c r="X88" s="853"/>
      <c r="Y88" s="853"/>
      <c r="Z88" s="853"/>
      <c r="AA88" s="853"/>
      <c r="AB88" s="853"/>
      <c r="AC88" s="853"/>
      <c r="AD88" s="853"/>
      <c r="AE88" s="853"/>
      <c r="AF88" s="853"/>
      <c r="AG88" s="853"/>
      <c r="AH88" s="853"/>
      <c r="AI88" s="853"/>
      <c r="AJ88" s="853"/>
    </row>
    <row r="89" spans="1:74" s="8" customFormat="1" ht="15.75" customHeight="1">
      <c r="B89" s="853"/>
      <c r="C89" s="853"/>
      <c r="D89" s="853"/>
      <c r="E89" s="853"/>
      <c r="F89" s="853"/>
      <c r="G89" s="853"/>
      <c r="H89" s="853"/>
      <c r="I89" s="853"/>
      <c r="J89" s="853"/>
      <c r="K89" s="853"/>
      <c r="L89" s="853"/>
      <c r="M89" s="853"/>
      <c r="N89" s="853"/>
      <c r="O89" s="853"/>
      <c r="P89" s="853"/>
      <c r="Q89" s="853"/>
      <c r="R89" s="853"/>
      <c r="S89" s="853"/>
      <c r="T89" s="853"/>
      <c r="U89" s="853"/>
      <c r="V89" s="853"/>
      <c r="W89" s="853"/>
      <c r="X89" s="853"/>
      <c r="Y89" s="853"/>
      <c r="Z89" s="853"/>
      <c r="AA89" s="853"/>
      <c r="AB89" s="853"/>
      <c r="AC89" s="853"/>
      <c r="AD89" s="853"/>
      <c r="AE89" s="853"/>
      <c r="AF89" s="853"/>
      <c r="AG89" s="853"/>
      <c r="AH89" s="853"/>
      <c r="AI89" s="853"/>
      <c r="AJ89" s="853"/>
    </row>
    <row r="90" spans="1:74" s="96" customFormat="1" ht="18" customHeight="1">
      <c r="C90" s="98"/>
      <c r="D90" s="99"/>
      <c r="E90" s="846" t="s">
        <v>317</v>
      </c>
      <c r="F90" s="846"/>
      <c r="G90" s="819" t="s">
        <v>318</v>
      </c>
      <c r="H90" s="819"/>
      <c r="I90" s="819"/>
      <c r="J90" s="849" t="s">
        <v>340</v>
      </c>
      <c r="K90" s="850"/>
      <c r="L90" s="850"/>
      <c r="M90" s="850"/>
      <c r="N90" s="850"/>
      <c r="O90" s="850"/>
      <c r="P90" s="850"/>
      <c r="Q90" s="850"/>
      <c r="R90" s="850"/>
      <c r="S90" s="850"/>
      <c r="T90" s="850"/>
      <c r="U90" s="850"/>
      <c r="V90" s="850"/>
      <c r="W90" s="850"/>
      <c r="X90" s="850"/>
      <c r="Y90" s="850"/>
      <c r="Z90" s="851"/>
      <c r="AA90" s="829" t="s">
        <v>323</v>
      </c>
      <c r="AB90" s="160"/>
      <c r="AC90" t="s">
        <v>324</v>
      </c>
      <c r="AD90" t="s">
        <v>3</v>
      </c>
      <c r="AE90" t="s">
        <v>339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74" s="96" customFormat="1" ht="24" customHeight="1">
      <c r="C91" s="100"/>
      <c r="D91" s="101"/>
      <c r="E91" s="847"/>
      <c r="F91" s="847"/>
      <c r="G91" s="820"/>
      <c r="H91" s="820"/>
      <c r="I91" s="820"/>
      <c r="J91" s="852" t="s">
        <v>329</v>
      </c>
      <c r="K91" s="852"/>
      <c r="L91" s="852"/>
      <c r="M91" s="854" t="s">
        <v>244</v>
      </c>
      <c r="N91" s="854"/>
      <c r="O91" s="854"/>
      <c r="P91" s="848" t="s">
        <v>314</v>
      </c>
      <c r="Q91" s="848"/>
      <c r="R91" s="848"/>
      <c r="S91" s="848"/>
      <c r="T91" s="848" t="s">
        <v>313</v>
      </c>
      <c r="U91" s="848"/>
      <c r="V91" s="848"/>
      <c r="W91" s="848"/>
      <c r="X91" s="848" t="s">
        <v>131</v>
      </c>
      <c r="Y91" s="848"/>
      <c r="Z91" s="848"/>
      <c r="AA91" s="830"/>
      <c r="AB91" s="16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74" s="96" customFormat="1" ht="17.25" customHeight="1" thickBot="1">
      <c r="C92" s="815" t="s">
        <v>224</v>
      </c>
      <c r="D92" s="815"/>
      <c r="E92" s="816" t="str">
        <f>E87</f>
        <v>6°54</v>
      </c>
      <c r="F92" s="817"/>
      <c r="G92" s="818" t="str">
        <f>heureDecimal2Txt(AC92)</f>
        <v>12:41:34.93(12.6930)</v>
      </c>
      <c r="H92" s="818"/>
      <c r="I92" s="818"/>
      <c r="J92" s="834" t="str">
        <f>heureDecimal2Txt(AD92)</f>
        <v>13:00:25.00(13.0069)</v>
      </c>
      <c r="K92" s="834"/>
      <c r="L92" s="835"/>
      <c r="M92" s="836" t="s">
        <v>337</v>
      </c>
      <c r="N92" s="837"/>
      <c r="O92" s="837"/>
      <c r="P92" s="837">
        <v>0</v>
      </c>
      <c r="Q92" s="837"/>
      <c r="R92" s="837"/>
      <c r="S92" s="837"/>
      <c r="T92" s="838">
        <v>2</v>
      </c>
      <c r="U92" s="838"/>
      <c r="V92" s="838"/>
      <c r="W92" s="838"/>
      <c r="X92" s="839" t="s">
        <v>316</v>
      </c>
      <c r="Y92" s="840"/>
      <c r="Z92" s="840"/>
      <c r="AA92" s="183" t="s">
        <v>324</v>
      </c>
      <c r="AB92" s="184"/>
      <c r="AC92">
        <f>AC87+2*AH87</f>
        <v>12.693037990065804</v>
      </c>
      <c r="AD92" s="131">
        <f>AE92+(AF92+AG92+AH92)/3600</f>
        <v>13.006944444444445</v>
      </c>
      <c r="AE92" s="3">
        <f>heureConvert2Decimal(M92)</f>
        <v>12.833333333333334</v>
      </c>
      <c r="AF92" s="164">
        <f>P92*3600</f>
        <v>0</v>
      </c>
      <c r="AG92" s="69">
        <f>T92</f>
        <v>2</v>
      </c>
      <c r="AH92" s="3">
        <f>heureConvert2Decimal(X92)*60</f>
        <v>623</v>
      </c>
      <c r="AI92" s="5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74" s="96" customFormat="1" ht="17.25" customHeight="1" thickTop="1" thickBot="1">
      <c r="C93" s="815" t="s">
        <v>222</v>
      </c>
      <c r="D93" s="815"/>
      <c r="E93" s="816" t="str">
        <f>E86</f>
        <v>5°54</v>
      </c>
      <c r="F93" s="817"/>
      <c r="G93" s="818" t="str">
        <f>heureDecimal2Txt(AC93)</f>
        <v>13:41:34.93(13.6930)</v>
      </c>
      <c r="H93" s="818"/>
      <c r="I93" s="818"/>
      <c r="J93" s="799" t="str">
        <f t="shared" ref="J93:J96" si="2">heureDecimal2Txt(AD93)</f>
        <v>13:50:25.00(13.8402)</v>
      </c>
      <c r="K93" s="799"/>
      <c r="L93" s="800"/>
      <c r="M93" s="801" t="s">
        <v>336</v>
      </c>
      <c r="N93" s="802"/>
      <c r="O93" s="802"/>
      <c r="P93" s="802">
        <v>0</v>
      </c>
      <c r="Q93" s="802"/>
      <c r="R93" s="802"/>
      <c r="S93" s="802"/>
      <c r="T93" s="804">
        <v>2</v>
      </c>
      <c r="U93" s="804"/>
      <c r="V93" s="804"/>
      <c r="W93" s="804"/>
      <c r="X93" s="805" t="s">
        <v>316</v>
      </c>
      <c r="Y93" s="806"/>
      <c r="Z93" s="806"/>
      <c r="AA93" s="183" t="s">
        <v>339</v>
      </c>
      <c r="AB93" s="184"/>
      <c r="AC93">
        <f>AC86+2*AH86</f>
        <v>13.693037990065804</v>
      </c>
      <c r="AD93" s="131">
        <f>AE93+(AF93+AG93+AH93)/3600</f>
        <v>13.840277777777777</v>
      </c>
      <c r="AE93" s="3">
        <f>heureConvert2Decimal(M93)</f>
        <v>13.666666666666666</v>
      </c>
      <c r="AF93" s="164">
        <f>P93*3600</f>
        <v>0</v>
      </c>
      <c r="AG93" s="69">
        <f>T93</f>
        <v>2</v>
      </c>
      <c r="AH93" s="3">
        <f>heureConvert2Decimal(X93)*60</f>
        <v>623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74" s="96" customFormat="1" ht="17.25" customHeight="1" thickTop="1" thickBot="1">
      <c r="C94" s="815" t="s">
        <v>220</v>
      </c>
      <c r="D94" s="815"/>
      <c r="E94" s="816" t="str">
        <f>E85</f>
        <v>4°54</v>
      </c>
      <c r="F94" s="817"/>
      <c r="G94" s="818" t="str">
        <f t="shared" ref="G94:G96" si="3">heureDecimal2Txt(AC94)</f>
        <v>13:57:34.93(13.9597)</v>
      </c>
      <c r="H94" s="818"/>
      <c r="I94" s="818"/>
      <c r="J94" s="799" t="str">
        <f t="shared" si="2"/>
        <v>13:52:02.00(13.8672)</v>
      </c>
      <c r="K94" s="799"/>
      <c r="L94" s="800"/>
      <c r="M94" s="801" t="s">
        <v>335</v>
      </c>
      <c r="N94" s="802"/>
      <c r="O94" s="802"/>
      <c r="P94" s="802">
        <v>0</v>
      </c>
      <c r="Q94" s="802"/>
      <c r="R94" s="802"/>
      <c r="S94" s="802"/>
      <c r="T94" s="804">
        <v>2</v>
      </c>
      <c r="U94" s="804"/>
      <c r="V94" s="804"/>
      <c r="W94" s="804"/>
      <c r="X94" s="805" t="s">
        <v>130</v>
      </c>
      <c r="Y94" s="806"/>
      <c r="Z94" s="806"/>
      <c r="AA94" s="183" t="s">
        <v>339</v>
      </c>
      <c r="AB94" s="157"/>
      <c r="AC94">
        <f>AC85+2*AH85</f>
        <v>13.95970465673247</v>
      </c>
      <c r="AD94" s="131">
        <f>AE94+(AF94+AG94+AH94)/3600</f>
        <v>13.867222222222223</v>
      </c>
      <c r="AE94" s="3">
        <f>heureConvert2Decimal(M94)</f>
        <v>13.866666666666667</v>
      </c>
      <c r="AF94" s="164">
        <f>P94*3600</f>
        <v>0</v>
      </c>
      <c r="AG94" s="69">
        <f>T94</f>
        <v>2</v>
      </c>
      <c r="AH94" s="3">
        <f>heureConvert2Decimal(X94)*60</f>
        <v>0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74" s="96" customFormat="1" ht="17.25" customHeight="1" thickTop="1" thickBot="1">
      <c r="C95" s="815" t="s">
        <v>218</v>
      </c>
      <c r="D95" s="815"/>
      <c r="E95" s="816" t="str">
        <f>E84</f>
        <v>3°54</v>
      </c>
      <c r="F95" s="817"/>
      <c r="G95" s="818" t="str">
        <f t="shared" si="3"/>
        <v>14:16:34.93(14.2763)</v>
      </c>
      <c r="H95" s="818"/>
      <c r="I95" s="818"/>
      <c r="J95" s="799" t="str">
        <f>heureDecimal2Txt(AD95)</f>
        <v>14:10:02.00(14.1672)</v>
      </c>
      <c r="K95" s="799"/>
      <c r="L95" s="800"/>
      <c r="M95" s="801" t="s">
        <v>334</v>
      </c>
      <c r="N95" s="802"/>
      <c r="O95" s="802"/>
      <c r="P95" s="802">
        <v>0</v>
      </c>
      <c r="Q95" s="802"/>
      <c r="R95" s="802"/>
      <c r="S95" s="802"/>
      <c r="T95" s="804">
        <v>2</v>
      </c>
      <c r="U95" s="804"/>
      <c r="V95" s="804"/>
      <c r="W95" s="804"/>
      <c r="X95" s="805" t="s">
        <v>130</v>
      </c>
      <c r="Y95" s="806"/>
      <c r="Z95" s="806"/>
      <c r="AA95" s="183" t="s">
        <v>339</v>
      </c>
      <c r="AB95" s="157"/>
      <c r="AC95">
        <f>AC84+2*AH84</f>
        <v>14.276371323399136</v>
      </c>
      <c r="AD95" s="131">
        <f>AE95+(AF95+AG95+AH95)/3600</f>
        <v>14.167222222222222</v>
      </c>
      <c r="AE95" s="3">
        <f>heureConvert2Decimal(M95)</f>
        <v>14.166666666666666</v>
      </c>
      <c r="AF95" s="164">
        <f>P95*3600</f>
        <v>0</v>
      </c>
      <c r="AG95" s="69">
        <f>T95</f>
        <v>2</v>
      </c>
      <c r="AH95" s="3">
        <f>heureConvert2Decimal(X95)*60</f>
        <v>0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74" s="96" customFormat="1" ht="17.25" customHeight="1" thickTop="1" thickBot="1">
      <c r="C96" s="815" t="s">
        <v>216</v>
      </c>
      <c r="D96" s="815"/>
      <c r="E96" s="816" t="str">
        <f>E83</f>
        <v>2°54</v>
      </c>
      <c r="F96" s="817"/>
      <c r="G96" s="818" t="str">
        <f t="shared" si="3"/>
        <v>14:31:34.93(14.5263)</v>
      </c>
      <c r="H96" s="818"/>
      <c r="I96" s="818"/>
      <c r="J96" s="799" t="str">
        <f t="shared" si="2"/>
        <v>14:32:03.00(14.5341)</v>
      </c>
      <c r="K96" s="799"/>
      <c r="L96" s="800"/>
      <c r="M96" s="801" t="s">
        <v>332</v>
      </c>
      <c r="N96" s="802"/>
      <c r="O96" s="802"/>
      <c r="P96" s="802">
        <v>0</v>
      </c>
      <c r="Q96" s="802"/>
      <c r="R96" s="802"/>
      <c r="S96" s="802"/>
      <c r="T96" s="804">
        <v>2</v>
      </c>
      <c r="U96" s="804"/>
      <c r="V96" s="804"/>
      <c r="W96" s="804"/>
      <c r="X96" s="805" t="s">
        <v>130</v>
      </c>
      <c r="Y96" s="806"/>
      <c r="Z96" s="806"/>
      <c r="AA96" s="183" t="s">
        <v>324</v>
      </c>
      <c r="AB96" s="157"/>
      <c r="AC96">
        <f>AC83+2*AH83</f>
        <v>14.526371323399136</v>
      </c>
      <c r="AD96" s="131">
        <f>AE96+(AF96+AG96+AH96)/3600</f>
        <v>14.534166666666666</v>
      </c>
      <c r="AE96" s="3">
        <f>heureConvert2Decimal(M96)</f>
        <v>14.53361111111111</v>
      </c>
      <c r="AF96" s="164">
        <f>P96*3600</f>
        <v>0</v>
      </c>
      <c r="AG96" s="69">
        <f>T96</f>
        <v>2</v>
      </c>
      <c r="AH96" s="3">
        <f>heureConvert2Decimal(X96)*60</f>
        <v>0</v>
      </c>
      <c r="AU96"/>
    </row>
    <row r="97" spans="2:30" ht="15.75" thickTop="1"/>
    <row r="98" spans="2:30" ht="15.75" thickBot="1"/>
    <row r="99" spans="2:30" ht="15.75" thickBot="1">
      <c r="B99" s="155" t="s">
        <v>330</v>
      </c>
      <c r="C99" s="156"/>
      <c r="D99" s="156"/>
      <c r="E99" s="154"/>
      <c r="F99" s="154"/>
      <c r="G99" s="154"/>
      <c r="H99" s="154"/>
      <c r="I99" s="154"/>
      <c r="J99" s="154"/>
      <c r="K99" s="154"/>
      <c r="L99" s="156"/>
      <c r="M99" s="156"/>
      <c r="N99" s="156"/>
      <c r="O99" s="156"/>
      <c r="P99" s="156"/>
      <c r="Q99" s="156"/>
      <c r="R99" s="156"/>
      <c r="S99" s="156"/>
      <c r="T99" s="156"/>
      <c r="U99" s="154"/>
      <c r="V99" s="154"/>
      <c r="W99" s="154"/>
      <c r="X99" s="154"/>
      <c r="Y99" s="154"/>
      <c r="Z99" s="154"/>
      <c r="AA99" s="154"/>
    </row>
    <row r="100" spans="2:30">
      <c r="B100" s="16"/>
      <c r="E100" s="790" t="s">
        <v>331</v>
      </c>
      <c r="F100" s="790"/>
      <c r="G100" s="790" t="s">
        <v>11</v>
      </c>
      <c r="H100" s="790"/>
      <c r="I100" s="790"/>
      <c r="J100" s="790"/>
      <c r="K100" s="790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</row>
    <row r="101" spans="2:30">
      <c r="B101" s="16"/>
      <c r="C101" s="162" t="s">
        <v>215</v>
      </c>
      <c r="D101" s="278"/>
      <c r="E101" s="790" t="b">
        <f>(AA96="O")</f>
        <v>1</v>
      </c>
      <c r="F101" s="790"/>
      <c r="G101" s="790">
        <f>IF(E101,(AD96+AC83)/2,0)</f>
        <v>12.524027777777778</v>
      </c>
      <c r="H101" s="790"/>
      <c r="I101" s="104" t="str">
        <f>heureDecimal2Txt(G101)</f>
        <v>12:31:26.50(12.5240)</v>
      </c>
      <c r="J101" s="104"/>
      <c r="K101" s="104"/>
      <c r="Z101" s="16"/>
      <c r="AA101" s="16"/>
      <c r="AC101" t="s">
        <v>341</v>
      </c>
      <c r="AD101">
        <f>IF(G101&gt;0,1,0)</f>
        <v>1</v>
      </c>
    </row>
    <row r="102" spans="2:30">
      <c r="B102" s="16"/>
      <c r="C102" s="158" t="s">
        <v>217</v>
      </c>
      <c r="D102" s="279"/>
      <c r="E102" s="790" t="b">
        <f>(AA95="O")</f>
        <v>0</v>
      </c>
      <c r="F102" s="790"/>
      <c r="G102" s="790">
        <f>IF(E102,(AD95+AC84)/2,0)</f>
        <v>0</v>
      </c>
      <c r="H102" s="790"/>
      <c r="I102" s="104" t="str">
        <f t="shared" ref="I102:I107" si="4">heureDecimal2Txt(G102)</f>
        <v>00:00:00.00(00.0000)</v>
      </c>
      <c r="J102" s="104"/>
      <c r="K102" s="104"/>
      <c r="Z102" s="16"/>
      <c r="AA102" s="16"/>
      <c r="AC102" t="s">
        <v>341</v>
      </c>
      <c r="AD102">
        <f t="shared" ref="AD102:AD105" si="5">IF(G102&gt;0,1,0)</f>
        <v>0</v>
      </c>
    </row>
    <row r="103" spans="2:30">
      <c r="B103" s="16"/>
      <c r="C103" s="158" t="s">
        <v>219</v>
      </c>
      <c r="D103" s="279"/>
      <c r="E103" s="790" t="b">
        <f>(AA94="O")</f>
        <v>0</v>
      </c>
      <c r="F103" s="790"/>
      <c r="G103" s="790">
        <f>IF(E103,(AD94+AC85)/2,0)</f>
        <v>0</v>
      </c>
      <c r="H103" s="790"/>
      <c r="I103" s="104" t="str">
        <f t="shared" si="4"/>
        <v>00:00:00.00(00.0000)</v>
      </c>
      <c r="J103" s="104"/>
      <c r="K103" s="104"/>
      <c r="Z103" s="16"/>
      <c r="AA103" s="16"/>
      <c r="AC103" t="s">
        <v>341</v>
      </c>
      <c r="AD103">
        <f t="shared" si="5"/>
        <v>0</v>
      </c>
    </row>
    <row r="104" spans="2:30">
      <c r="C104" s="158" t="s">
        <v>221</v>
      </c>
      <c r="D104" s="279"/>
      <c r="E104" s="790" t="b">
        <f>(AA93="O")</f>
        <v>0</v>
      </c>
      <c r="F104" s="790"/>
      <c r="G104" s="790">
        <f>IF(E104,(AD93+AC86)/2,0)</f>
        <v>0</v>
      </c>
      <c r="H104" s="790"/>
      <c r="I104" s="104" t="str">
        <f t="shared" si="4"/>
        <v>00:00:00.00(00.0000)</v>
      </c>
      <c r="J104" s="104"/>
      <c r="K104" s="104"/>
      <c r="AC104" t="s">
        <v>341</v>
      </c>
      <c r="AD104">
        <f t="shared" si="5"/>
        <v>0</v>
      </c>
    </row>
    <row r="105" spans="2:30">
      <c r="C105" s="177" t="s">
        <v>223</v>
      </c>
      <c r="D105" s="280"/>
      <c r="E105" s="790" t="b">
        <f>(AA92="O")</f>
        <v>1</v>
      </c>
      <c r="F105" s="790"/>
      <c r="G105" s="790">
        <f>IF(E105,(AD92+AC87)/2,0)</f>
        <v>12.677083333333332</v>
      </c>
      <c r="H105" s="790"/>
      <c r="I105" s="104" t="str">
        <f t="shared" si="4"/>
        <v>12:40:37.49(12.6770)</v>
      </c>
      <c r="J105" s="104"/>
      <c r="K105" s="104"/>
      <c r="AC105" t="s">
        <v>341</v>
      </c>
      <c r="AD105">
        <f t="shared" si="5"/>
        <v>1</v>
      </c>
    </row>
    <row r="107" spans="2:30">
      <c r="E107" t="s">
        <v>333</v>
      </c>
      <c r="G107" s="791">
        <f>SUM(G101:G105)/SUM(AD101:AD105)</f>
        <v>12.600555555555555</v>
      </c>
      <c r="H107" s="791"/>
      <c r="I107" t="str">
        <f t="shared" si="4"/>
        <v>12:36:02.00(12.6005)</v>
      </c>
      <c r="N107" s="788" t="s">
        <v>338</v>
      </c>
      <c r="O107" s="788"/>
      <c r="P107" s="788"/>
      <c r="Q107" s="788">
        <f>G107</f>
        <v>12.600555555555555</v>
      </c>
      <c r="R107" s="788"/>
      <c r="S107" s="789" t="str">
        <f>heureDecimal2Txt(Q107)</f>
        <v>12:36:02.00(12.6005)</v>
      </c>
      <c r="T107" s="789"/>
      <c r="U107" s="789"/>
      <c r="V107" s="789"/>
      <c r="W107" s="789"/>
      <c r="X107" s="789"/>
      <c r="Y107" s="789"/>
    </row>
    <row r="108" spans="2:30">
      <c r="N108" s="788"/>
      <c r="O108" s="788"/>
      <c r="P108" s="788"/>
      <c r="Q108" s="788"/>
      <c r="R108" s="788"/>
      <c r="S108" s="789"/>
      <c r="T108" s="789"/>
      <c r="U108" s="789"/>
      <c r="V108" s="789"/>
      <c r="W108" s="789"/>
      <c r="X108" s="789"/>
      <c r="Y108" s="789"/>
    </row>
    <row r="109" spans="2:30">
      <c r="N109" s="788" t="s">
        <v>182</v>
      </c>
      <c r="O109" s="788"/>
      <c r="P109" s="788"/>
      <c r="Q109" s="787">
        <f>(F43-Q107)</f>
        <v>-0.54888888888888765</v>
      </c>
      <c r="R109" s="788"/>
      <c r="S109" s="789" t="str">
        <f>longitudeDecimal2Txt(Q109)</f>
        <v>W 00°32.93 (W 00.5488) [W 00°32'55.99]</v>
      </c>
      <c r="T109" s="789"/>
      <c r="U109" s="789"/>
      <c r="V109" s="789"/>
      <c r="W109" s="789"/>
      <c r="X109" s="789"/>
      <c r="Y109" s="789"/>
    </row>
    <row r="110" spans="2:30">
      <c r="N110" s="788"/>
      <c r="O110" s="788"/>
      <c r="P110" s="788"/>
      <c r="Q110" s="788"/>
      <c r="R110" s="788"/>
      <c r="S110" s="789"/>
      <c r="T110" s="789"/>
      <c r="U110" s="789"/>
      <c r="V110" s="789"/>
      <c r="W110" s="789"/>
      <c r="X110" s="789"/>
      <c r="Y110" s="789"/>
    </row>
    <row r="112" spans="2:30" ht="15.75" thickBot="1"/>
    <row r="113" spans="2:66" s="16" customFormat="1" ht="17.25" customHeight="1" thickBot="1">
      <c r="B113" s="25" t="s">
        <v>0</v>
      </c>
      <c r="C113" s="26"/>
      <c r="D113" s="26"/>
      <c r="E113" s="107" t="str">
        <f>N7</f>
        <v>2025/06/30 [YYYY/MM/DD]</v>
      </c>
      <c r="F113" s="107"/>
      <c r="G113" s="108"/>
      <c r="H113" s="109"/>
      <c r="I113" s="107" t="str">
        <f>heureDecimal2Txt(E117)</f>
        <v>12:31:12.46(12.5201)</v>
      </c>
      <c r="J113" s="107"/>
      <c r="K113" s="107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167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16" customFormat="1" ht="17.25" customHeight="1">
      <c r="C114" s="363" t="s">
        <v>1</v>
      </c>
      <c r="D114" s="364"/>
      <c r="E114" s="699" t="s">
        <v>243</v>
      </c>
      <c r="F114" s="700"/>
      <c r="G114" s="700"/>
      <c r="H114" s="61"/>
      <c r="AB114" s="165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2:66" s="16" customFormat="1" ht="17.25" customHeight="1">
      <c r="C115" s="365" t="s">
        <v>11</v>
      </c>
      <c r="D115" s="366"/>
      <c r="E115" s="365" t="s">
        <v>2</v>
      </c>
      <c r="F115" s="381"/>
      <c r="G115" s="381"/>
      <c r="H115" s="366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AB115" s="17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 thickBot="1">
      <c r="C116" s="367"/>
      <c r="D116" s="368"/>
      <c r="E116" s="369"/>
      <c r="F116" s="382"/>
      <c r="G116" s="382"/>
      <c r="H116" s="370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AB116" s="165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Top="1" thickBot="1">
      <c r="C117" s="369"/>
      <c r="D117" s="370"/>
      <c r="E117" s="686">
        <f>V72</f>
        <v>12.520130106144013</v>
      </c>
      <c r="F117" s="686"/>
      <c r="G117" s="686"/>
      <c r="H117" s="686"/>
      <c r="I117" s="582" t="str" cm="1">
        <f t="array" ref="I117">heureDecimal2Txt(E117)</f>
        <v>12:31:12.46(12.5201)</v>
      </c>
      <c r="J117" s="583"/>
      <c r="K117" s="583"/>
      <c r="L117" s="584"/>
      <c r="M117"/>
      <c r="N117"/>
      <c r="O117"/>
      <c r="P117"/>
      <c r="Q117"/>
      <c r="R117"/>
      <c r="S117"/>
      <c r="T117"/>
      <c r="U117"/>
      <c r="V117"/>
      <c r="W117"/>
      <c r="X117"/>
      <c r="Y117"/>
      <c r="AB117" s="165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ht="17.25" customHeight="1" thickTop="1">
      <c r="B118" s="16"/>
      <c r="I118" s="11"/>
      <c r="J118" s="11"/>
      <c r="K118" s="11"/>
      <c r="V118" s="11"/>
      <c r="W118" s="11"/>
      <c r="X118" s="11"/>
      <c r="Y118" s="11"/>
      <c r="Z118" s="16"/>
      <c r="AA118" s="16"/>
      <c r="AB118" s="165"/>
      <c r="BN118" s="24"/>
    </row>
    <row r="119" spans="2:66" s="16" customFormat="1" ht="17.25" customHeight="1" thickBot="1">
      <c r="C119" s="15"/>
      <c r="D119" s="15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AB119" s="165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Bot="1">
      <c r="B120" s="25" t="s">
        <v>18</v>
      </c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167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s="16" customFormat="1" ht="18" customHeight="1" thickBot="1">
      <c r="B121"/>
      <c r="C121" s="687" t="s">
        <v>176</v>
      </c>
      <c r="D121" s="688"/>
      <c r="E121" s="688"/>
      <c r="F121" s="688"/>
      <c r="G121" s="688"/>
      <c r="H121" s="688"/>
      <c r="I121" s="689"/>
      <c r="J121" s="690" t="s">
        <v>178</v>
      </c>
      <c r="K121" s="691"/>
      <c r="L121" s="691"/>
      <c r="M121" s="691"/>
      <c r="N121" s="691"/>
      <c r="O121" s="692"/>
      <c r="P121"/>
      <c r="Q121"/>
      <c r="R121"/>
      <c r="S121"/>
      <c r="T121"/>
      <c r="U121"/>
      <c r="V121"/>
      <c r="W121"/>
      <c r="X121"/>
      <c r="Y121"/>
      <c r="Z121"/>
      <c r="AA121"/>
      <c r="AB121" s="165"/>
      <c r="AC121" s="169" t="s">
        <v>177</v>
      </c>
      <c r="AD121" s="70" t="s">
        <v>178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2:66" s="16" customFormat="1" ht="18" customHeight="1" thickTop="1" thickBot="1">
      <c r="B122" s="14"/>
      <c r="C122" s="687" t="s">
        <v>139</v>
      </c>
      <c r="D122" s="688"/>
      <c r="E122" s="688"/>
      <c r="F122" s="688"/>
      <c r="G122" s="688"/>
      <c r="H122" s="688"/>
      <c r="I122" s="689"/>
      <c r="J122" s="693" cm="1">
        <f t="array" ref="J122">angleConvert2Decimal(M122)</f>
        <v>0.9</v>
      </c>
      <c r="K122" s="694"/>
      <c r="L122" s="695"/>
      <c r="M122" s="696" t="s">
        <v>105</v>
      </c>
      <c r="N122" s="697"/>
      <c r="O122" s="698"/>
      <c r="P122" s="450" t="str" cm="1">
        <f t="array" ref="P122">angleDecimal2Txt(J122)</f>
        <v>+00°54.00 (+00.9000) [+00°54'00.00]</v>
      </c>
      <c r="Q122" s="451"/>
      <c r="R122" s="451"/>
      <c r="S122" s="451"/>
      <c r="T122" s="451"/>
      <c r="U122" s="451"/>
      <c r="V122" s="451"/>
      <c r="W122" s="451"/>
      <c r="X122" s="337"/>
      <c r="Y122" s="14"/>
      <c r="AB122" s="165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16" customFormat="1" ht="18" customHeight="1" thickTop="1" thickBot="1">
      <c r="C123" s="341" t="s">
        <v>138</v>
      </c>
      <c r="D123" s="341"/>
      <c r="E123" s="341"/>
      <c r="F123" s="341"/>
      <c r="G123" s="341"/>
      <c r="H123" s="341"/>
      <c r="I123" s="341"/>
      <c r="J123" s="463" cm="1">
        <f t="array" ref="J123">angleConvert2Decimal(M123)</f>
        <v>33.4</v>
      </c>
      <c r="K123" s="516"/>
      <c r="L123" s="439"/>
      <c r="M123" s="683" t="s">
        <v>226</v>
      </c>
      <c r="N123" s="684"/>
      <c r="O123" s="685"/>
      <c r="P123" s="327" t="str" cm="1">
        <f t="array" ref="P123">angleDecimal2Txt(J123)</f>
        <v>+33°24.00 (+33.3999) [+33°24'00.00]</v>
      </c>
      <c r="Q123" s="327"/>
      <c r="R123" s="327"/>
      <c r="S123" s="327"/>
      <c r="T123" s="327"/>
      <c r="U123" s="327"/>
      <c r="V123" s="327"/>
      <c r="W123" s="327"/>
      <c r="X123" s="327"/>
      <c r="Y123" s="14"/>
      <c r="AB123" s="165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2:66" s="16" customFormat="1" ht="18" customHeight="1" thickTop="1" thickBot="1">
      <c r="C124" s="341" t="s">
        <v>146</v>
      </c>
      <c r="D124" s="341"/>
      <c r="E124" s="341"/>
      <c r="F124" s="341"/>
      <c r="G124" s="341"/>
      <c r="H124" s="341"/>
      <c r="I124" s="341"/>
      <c r="J124" s="463" cm="1">
        <f t="array" ref="J124">angleConvert2Decimal(M124)</f>
        <v>16.25</v>
      </c>
      <c r="K124" s="516"/>
      <c r="L124" s="439"/>
      <c r="M124" s="683">
        <f>(J123-J122)/2</f>
        <v>16.25</v>
      </c>
      <c r="N124" s="684"/>
      <c r="O124" s="685"/>
      <c r="P124" s="327" t="str" cm="1">
        <f t="array" ref="P124">angleDecimal2Txt(J124)</f>
        <v>+16°15.00 (+16.2500) [+16°15'00.00]</v>
      </c>
      <c r="Q124" s="327"/>
      <c r="R124" s="327"/>
      <c r="S124" s="327"/>
      <c r="T124" s="327"/>
      <c r="U124" s="327"/>
      <c r="V124" s="327"/>
      <c r="W124" s="327"/>
      <c r="X124" s="327"/>
      <c r="Y124" s="14"/>
      <c r="AB124" s="165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8" customHeight="1" thickTop="1" thickBot="1">
      <c r="C125" s="585" t="s">
        <v>19</v>
      </c>
      <c r="D125" s="585"/>
      <c r="E125" s="585"/>
      <c r="F125" s="585"/>
      <c r="G125" s="585"/>
      <c r="H125" s="585"/>
      <c r="I125" s="585"/>
      <c r="J125" s="513">
        <f>M125</f>
        <v>2</v>
      </c>
      <c r="K125" s="514"/>
      <c r="L125" s="515"/>
      <c r="M125" s="492">
        <v>2</v>
      </c>
      <c r="N125" s="492"/>
      <c r="O125" s="492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AB125" s="16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8" customHeight="1" thickTop="1" thickBot="1">
      <c r="B126" s="14"/>
      <c r="C126" s="619" t="s">
        <v>20</v>
      </c>
      <c r="D126" s="620"/>
      <c r="E126" s="620"/>
      <c r="F126" s="620"/>
      <c r="G126" s="620"/>
      <c r="H126" s="620"/>
      <c r="I126" s="621"/>
      <c r="J126" s="463" cm="1">
        <f t="array" ref="J126">angleConvert2Decimal(M126)</f>
        <v>2.1666666666666667E-2</v>
      </c>
      <c r="K126" s="516"/>
      <c r="L126" s="439"/>
      <c r="M126" s="491" t="s">
        <v>260</v>
      </c>
      <c r="N126" s="492"/>
      <c r="O126" s="492"/>
      <c r="P126" s="327" t="str" cm="1">
        <f t="array" ref="P126">angleDecimal2Txt(J126)</f>
        <v>+00°01.30 (+00.0216) [+00°01'18.00]</v>
      </c>
      <c r="Q126" s="327"/>
      <c r="R126" s="327"/>
      <c r="S126" s="327"/>
      <c r="T126" s="327"/>
      <c r="U126" s="327"/>
      <c r="V126" s="327"/>
      <c r="W126" s="327"/>
      <c r="X126" s="327"/>
      <c r="Y126" s="14"/>
      <c r="AB126" s="165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8" customHeight="1" thickTop="1" thickBot="1">
      <c r="C127" s="629" t="s">
        <v>26</v>
      </c>
      <c r="D127" s="629"/>
      <c r="E127" s="629"/>
      <c r="F127" s="629"/>
      <c r="G127" s="629"/>
      <c r="H127" s="629"/>
      <c r="I127" s="629"/>
      <c r="J127" s="671" cm="1">
        <f t="array" ref="J127">IF(J121=AC121,J124,angleConvert2Decimal(M127))</f>
        <v>66.95</v>
      </c>
      <c r="K127" s="672"/>
      <c r="L127" s="673"/>
      <c r="M127" s="491" t="s">
        <v>271</v>
      </c>
      <c r="N127" s="492"/>
      <c r="O127" s="492"/>
      <c r="P127" s="327" t="str" cm="1">
        <f t="array" ref="P127">angleDecimal2Txt(J127)</f>
        <v>+66°57.00 (+66.9500) [+66°57'00.00]</v>
      </c>
      <c r="Q127" s="327"/>
      <c r="R127" s="327"/>
      <c r="S127" s="327"/>
      <c r="T127" s="327"/>
      <c r="U127" s="327"/>
      <c r="V127" s="327"/>
      <c r="W127" s="327"/>
      <c r="X127" s="327"/>
      <c r="Y127" s="14"/>
      <c r="AB127" s="165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8" customHeight="1" thickTop="1">
      <c r="C128" s="622" t="s">
        <v>30</v>
      </c>
      <c r="D128" s="622"/>
      <c r="E128" s="622"/>
      <c r="F128" s="622"/>
      <c r="G128" s="622"/>
      <c r="H128" s="622"/>
      <c r="I128" s="622"/>
      <c r="J128" s="623" t="str">
        <f>M128</f>
        <v>Soleil</v>
      </c>
      <c r="K128" s="624"/>
      <c r="L128" s="625"/>
      <c r="M128" s="680" t="s">
        <v>31</v>
      </c>
      <c r="N128" s="681"/>
      <c r="O128" s="682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AB128" s="165"/>
      <c r="AC128"/>
      <c r="AD128"/>
      <c r="AE128"/>
      <c r="AF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8" customHeight="1">
      <c r="C129" s="622" t="s">
        <v>56</v>
      </c>
      <c r="D129" s="622"/>
      <c r="E129" s="622"/>
      <c r="F129" s="622"/>
      <c r="G129" s="622"/>
      <c r="H129" s="622"/>
      <c r="I129" s="622"/>
      <c r="J129" s="623" t="str">
        <f>M129</f>
        <v>BordInf</v>
      </c>
      <c r="K129" s="624"/>
      <c r="L129" s="625"/>
      <c r="M129" s="517" t="s">
        <v>57</v>
      </c>
      <c r="N129" s="517"/>
      <c r="O129" s="517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AB129" s="165"/>
      <c r="AC129" s="170" t="s">
        <v>201</v>
      </c>
      <c r="AD129" s="72" t="s">
        <v>32</v>
      </c>
      <c r="AE129" s="72" t="s">
        <v>33</v>
      </c>
      <c r="AF129" s="72" t="s">
        <v>31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16" customFormat="1" ht="17.25" customHeight="1">
      <c r="C130" s="630" t="s">
        <v>162</v>
      </c>
      <c r="D130" s="631"/>
      <c r="E130" s="27"/>
      <c r="F130" s="27"/>
      <c r="G130" s="27"/>
      <c r="H130" s="27"/>
      <c r="I130" s="28"/>
      <c r="J130" s="553" cm="1">
        <f t="array" ref="J130">angleConvert2Decimal(M130)</f>
        <v>2.8833333333333332E-3</v>
      </c>
      <c r="K130" s="345"/>
      <c r="L130" s="346"/>
      <c r="M130" s="559" t="str">
        <f>P132</f>
        <v>0.173'</v>
      </c>
      <c r="N130" s="560"/>
      <c r="O130" s="560"/>
      <c r="P130" s="565" t="s">
        <v>101</v>
      </c>
      <c r="Q130" s="565"/>
      <c r="R130" s="565"/>
      <c r="S130" s="14"/>
      <c r="T130" s="14"/>
      <c r="U130" s="14"/>
      <c r="V130" s="14"/>
      <c r="W130" s="14"/>
      <c r="X130" s="14"/>
      <c r="Y130" s="14"/>
      <c r="AB130" s="165"/>
      <c r="AC130" s="170" t="s">
        <v>103</v>
      </c>
      <c r="AD130" s="73" t="s">
        <v>104</v>
      </c>
      <c r="AE130" s="73" t="s">
        <v>105</v>
      </c>
      <c r="AF130" s="73" t="s">
        <v>76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6" s="16" customFormat="1" ht="17.25" customHeight="1" thickBot="1">
      <c r="C131" s="29"/>
      <c r="D131" s="588" t="s">
        <v>163</v>
      </c>
      <c r="E131" s="588"/>
      <c r="F131" s="588"/>
      <c r="G131" s="588"/>
      <c r="H131" s="588"/>
      <c r="I131" s="589"/>
      <c r="J131" s="554"/>
      <c r="K131" s="372"/>
      <c r="L131" s="555"/>
      <c r="M131" s="561"/>
      <c r="N131" s="562"/>
      <c r="O131" s="562"/>
      <c r="P131" s="565"/>
      <c r="Q131" s="565"/>
      <c r="R131" s="565"/>
      <c r="S131" s="14"/>
      <c r="T131" s="14"/>
      <c r="U131" s="14"/>
      <c r="V131" s="14"/>
      <c r="W131" s="14"/>
      <c r="X131" s="14"/>
      <c r="Y131" s="14"/>
      <c r="AB131" s="165"/>
      <c r="AC131" s="170" t="s">
        <v>107</v>
      </c>
      <c r="AD131" s="73" t="s">
        <v>104</v>
      </c>
      <c r="AE131" s="73" t="s">
        <v>108</v>
      </c>
      <c r="AF131" s="73" t="s">
        <v>75</v>
      </c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 thickTop="1" thickBot="1">
      <c r="C132" s="29"/>
      <c r="D132" s="588"/>
      <c r="E132" s="588"/>
      <c r="F132" s="588"/>
      <c r="G132" s="588"/>
      <c r="H132" s="588"/>
      <c r="I132" s="589"/>
      <c r="J132" s="554"/>
      <c r="K132" s="372"/>
      <c r="L132" s="555"/>
      <c r="M132" s="561"/>
      <c r="N132" s="562"/>
      <c r="O132" s="562"/>
      <c r="P132" s="528" t="str">
        <f>HLOOKUP(M128,AD129:AF131,2,FALSE)</f>
        <v>0.173'</v>
      </c>
      <c r="Q132" s="528"/>
      <c r="R132" s="528"/>
      <c r="S132" s="391" t="str" cm="1">
        <f t="array" ref="S132">angleDecimal2Txt(angleConvert2Decimal(P132))</f>
        <v>+00°00.17 (+00.0028) [+00°00'10.37]</v>
      </c>
      <c r="T132" s="391"/>
      <c r="U132" s="391"/>
      <c r="V132" s="391"/>
      <c r="W132" s="391"/>
      <c r="X132" s="392"/>
      <c r="Y132" s="14"/>
      <c r="AB132" s="165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 thickTop="1" thickBot="1">
      <c r="C133" s="30"/>
      <c r="D133" s="590"/>
      <c r="E133" s="590"/>
      <c r="F133" s="590"/>
      <c r="G133" s="590"/>
      <c r="H133" s="590"/>
      <c r="I133" s="591"/>
      <c r="J133" s="679"/>
      <c r="K133" s="347"/>
      <c r="L133" s="348"/>
      <c r="M133" s="563"/>
      <c r="N133" s="564"/>
      <c r="O133" s="564"/>
      <c r="P133" s="527" t="str" cm="1">
        <f t="array" ref="P133">angleDecimal2Txt(J130)</f>
        <v>+00°00.17 (+00.0028) [+00°00'10.37]</v>
      </c>
      <c r="Q133" s="527"/>
      <c r="R133" s="527"/>
      <c r="S133" s="327"/>
      <c r="T133" s="327"/>
      <c r="U133" s="327"/>
      <c r="V133" s="327"/>
      <c r="W133" s="327"/>
      <c r="X133" s="327"/>
      <c r="Y133" s="14"/>
      <c r="AB133" s="165"/>
      <c r="AC133" s="170" t="s">
        <v>102</v>
      </c>
      <c r="AD133" s="72" t="s">
        <v>57</v>
      </c>
      <c r="AE133" s="72" t="s">
        <v>199</v>
      </c>
      <c r="AF133" s="72" t="s">
        <v>58</v>
      </c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Top="1">
      <c r="C134" s="545" t="s">
        <v>106</v>
      </c>
      <c r="D134" s="546"/>
      <c r="E134" s="546"/>
      <c r="F134" s="546"/>
      <c r="G134" s="546"/>
      <c r="H134" s="546"/>
      <c r="I134" s="547"/>
      <c r="J134" s="553" cm="1">
        <f t="array" ref="J134">angleConvert2Decimal(M134)</f>
        <v>0.53333333333333333</v>
      </c>
      <c r="K134" s="345"/>
      <c r="L134" s="346"/>
      <c r="M134" s="559" t="str">
        <f>P136</f>
        <v>32'</v>
      </c>
      <c r="N134" s="560"/>
      <c r="O134" s="560"/>
      <c r="P134" s="565" t="s">
        <v>101</v>
      </c>
      <c r="Q134" s="565"/>
      <c r="R134" s="565"/>
      <c r="S134" s="14"/>
      <c r="T134" s="14"/>
      <c r="U134" s="14"/>
      <c r="V134" s="14"/>
      <c r="W134" s="14"/>
      <c r="X134" s="14"/>
      <c r="Y134" s="14"/>
      <c r="AB134" s="165"/>
      <c r="AC134" s="170" t="s">
        <v>200</v>
      </c>
      <c r="AD134" s="74">
        <v>0.5</v>
      </c>
      <c r="AE134" s="74">
        <v>-0.5</v>
      </c>
      <c r="AF134" s="74">
        <v>0</v>
      </c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Bot="1">
      <c r="C135" s="548"/>
      <c r="D135" s="377"/>
      <c r="E135" s="377"/>
      <c r="F135" s="377"/>
      <c r="G135" s="377"/>
      <c r="H135" s="377"/>
      <c r="I135" s="549"/>
      <c r="J135" s="554"/>
      <c r="K135" s="372"/>
      <c r="L135" s="555"/>
      <c r="M135" s="561"/>
      <c r="N135" s="562"/>
      <c r="O135" s="562"/>
      <c r="P135" s="565"/>
      <c r="Q135" s="565"/>
      <c r="R135" s="565"/>
      <c r="S135" s="14"/>
      <c r="T135" s="14"/>
      <c r="U135" s="14"/>
      <c r="V135" s="14"/>
      <c r="W135" s="14"/>
      <c r="X135" s="14"/>
      <c r="Y135" s="14"/>
      <c r="AB135" s="16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 thickBot="1">
      <c r="C136" s="548"/>
      <c r="D136" s="377"/>
      <c r="E136" s="377"/>
      <c r="F136" s="377"/>
      <c r="G136" s="377"/>
      <c r="H136" s="377"/>
      <c r="I136" s="549"/>
      <c r="J136" s="554"/>
      <c r="K136" s="372"/>
      <c r="L136" s="555"/>
      <c r="M136" s="561"/>
      <c r="N136" s="562"/>
      <c r="O136" s="562"/>
      <c r="P136" s="528" t="str">
        <f>HLOOKUP(M128,AD129:AF131,3,FALSE)</f>
        <v>32'</v>
      </c>
      <c r="Q136" s="528"/>
      <c r="R136" s="528"/>
      <c r="S136" s="391" t="str" cm="1">
        <f t="array" ref="S136">angleDecimal2Txt(angleConvert2Decimal(P136))</f>
        <v>+00°32.00 (+00.5333) [+00°32'00.00]</v>
      </c>
      <c r="T136" s="391"/>
      <c r="U136" s="391"/>
      <c r="V136" s="391"/>
      <c r="W136" s="391"/>
      <c r="X136" s="392"/>
      <c r="Y136" s="14"/>
      <c r="AB136" s="165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 thickTop="1" thickBot="1">
      <c r="C137" s="550"/>
      <c r="D137" s="551"/>
      <c r="E137" s="551"/>
      <c r="F137" s="551"/>
      <c r="G137" s="551"/>
      <c r="H137" s="551"/>
      <c r="I137" s="552"/>
      <c r="J137" s="556"/>
      <c r="K137" s="557"/>
      <c r="L137" s="558"/>
      <c r="M137" s="563"/>
      <c r="N137" s="564"/>
      <c r="O137" s="564"/>
      <c r="P137" s="527" t="str" cm="1">
        <f t="array" ref="P137">angleDecimal2Txt(J134)</f>
        <v>+00°32.00 (+00.5333) [+00°32'00.00]</v>
      </c>
      <c r="Q137" s="527"/>
      <c r="R137" s="527"/>
      <c r="S137" s="327"/>
      <c r="T137" s="327"/>
      <c r="U137" s="327"/>
      <c r="V137" s="327"/>
      <c r="W137" s="327"/>
      <c r="X137" s="327"/>
      <c r="Y137" s="14"/>
      <c r="AB137" s="165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 thickTop="1" thickBot="1"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AB138" s="165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 thickBot="1">
      <c r="B139" s="25" t="s">
        <v>214</v>
      </c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167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>
      <c r="C140" s="14"/>
      <c r="D140" s="14"/>
      <c r="E140" s="632" t="s">
        <v>7</v>
      </c>
      <c r="F140" s="632"/>
      <c r="G140" s="632"/>
      <c r="H140" s="632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AB140" s="165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>
      <c r="C141" s="14"/>
      <c r="D141" s="14"/>
      <c r="E141" s="632"/>
      <c r="F141" s="632"/>
      <c r="G141" s="632"/>
      <c r="H141" s="632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B141" s="165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>
      <c r="A142"/>
      <c r="B142"/>
      <c r="C142"/>
      <c r="D142" s="14"/>
      <c r="E142" s="14"/>
      <c r="F142" s="677">
        <f>F36</f>
        <v>46.1</v>
      </c>
      <c r="G142" s="678"/>
      <c r="H142" s="678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 s="14"/>
      <c r="Z142" s="14"/>
      <c r="AB142" s="165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31"/>
    </row>
    <row r="143" spans="1:66" s="16" customFormat="1" ht="17.25" customHeight="1">
      <c r="A143"/>
      <c r="B143"/>
      <c r="C143"/>
      <c r="D143" s="14"/>
      <c r="E143" s="14"/>
      <c r="F143" s="678"/>
      <c r="G143" s="678"/>
      <c r="H143" s="678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 s="14"/>
      <c r="Z143" s="14"/>
      <c r="AB143" s="165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31"/>
    </row>
    <row r="144" spans="1:66" s="16" customFormat="1" ht="17.25" customHeight="1">
      <c r="A144"/>
      <c r="B144"/>
      <c r="C144"/>
      <c r="D144" s="14"/>
      <c r="E144" s="14"/>
      <c r="F144" s="14"/>
      <c r="G144" s="14"/>
      <c r="H144" s="14"/>
      <c r="AB144" s="165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31"/>
    </row>
    <row r="145" spans="2:66" s="16" customFormat="1" ht="17.25" customHeight="1" thickBot="1">
      <c r="C145" s="61"/>
      <c r="D145" s="61"/>
      <c r="E145" s="61"/>
      <c r="F145" s="61"/>
      <c r="G145" s="61"/>
      <c r="AB145" s="16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2:66" s="16" customFormat="1" ht="17.25" customHeight="1" thickBot="1">
      <c r="B146" s="25" t="s">
        <v>9</v>
      </c>
      <c r="C146" s="26"/>
      <c r="D146" s="26"/>
      <c r="E146" s="26"/>
      <c r="F146" s="379">
        <f>IF(G147=AD147,F151,F159)</f>
        <v>23.13413311648976</v>
      </c>
      <c r="G146" s="379"/>
      <c r="H146" s="379"/>
      <c r="I146" s="26"/>
      <c r="J146" s="26"/>
      <c r="K146" s="26" t="str" cm="1">
        <f t="array" ref="K146">angleDecimal2Txt(F146)</f>
        <v>+23°08.04 (+23.1341) [+23°08'02.87]</v>
      </c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167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2:66" s="33" customFormat="1" ht="17.25" customHeight="1">
      <c r="C147" s="377" t="s">
        <v>35</v>
      </c>
      <c r="D147" s="377"/>
      <c r="E147" s="377"/>
      <c r="F147" s="377"/>
      <c r="G147" s="383" t="s">
        <v>10</v>
      </c>
      <c r="H147" s="383"/>
      <c r="I147" s="383"/>
      <c r="AB147" s="176"/>
      <c r="AC147" s="845" t="s">
        <v>36</v>
      </c>
      <c r="AD147" s="70" t="s">
        <v>10</v>
      </c>
      <c r="AE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6" s="16" customFormat="1" ht="17.25" customHeight="1">
      <c r="C148" s="34" t="s">
        <v>10</v>
      </c>
      <c r="D148" s="34"/>
      <c r="E148" s="35"/>
      <c r="F148" s="35"/>
      <c r="G148" s="14"/>
      <c r="H148" s="14"/>
      <c r="I148" s="14"/>
      <c r="AB148" s="165"/>
      <c r="AC148" s="845"/>
      <c r="AD148" s="70" t="s">
        <v>14</v>
      </c>
      <c r="AE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2:66" s="16" customFormat="1" ht="17.25" customHeight="1">
      <c r="C149" s="61"/>
      <c r="D149" s="61"/>
      <c r="E149" s="61"/>
      <c r="F149" s="388" t="s">
        <v>9</v>
      </c>
      <c r="G149" s="388"/>
      <c r="H149" s="388"/>
      <c r="I149" s="365" t="s">
        <v>12</v>
      </c>
      <c r="J149" s="381"/>
      <c r="K149" s="381"/>
      <c r="L149" s="366"/>
      <c r="M149" s="380" t="s">
        <v>13</v>
      </c>
      <c r="N149" s="380"/>
      <c r="O149" s="380"/>
      <c r="P149" s="390" t="s">
        <v>15</v>
      </c>
      <c r="Q149" s="390"/>
      <c r="R149" s="390"/>
      <c r="S149" s="390"/>
      <c r="T149" s="390"/>
      <c r="U149" s="14"/>
      <c r="AB149" s="165"/>
      <c r="AC149"/>
      <c r="AD149" s="75" t="s">
        <v>73</v>
      </c>
      <c r="AE149" s="3" t="s">
        <v>191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2:66" s="16" customFormat="1" ht="17.25" customHeight="1" thickBot="1">
      <c r="C150" s="61"/>
      <c r="D150" s="61"/>
      <c r="E150" s="61"/>
      <c r="F150" s="388"/>
      <c r="G150" s="388"/>
      <c r="H150" s="388"/>
      <c r="I150" s="369"/>
      <c r="J150" s="382"/>
      <c r="K150" s="382"/>
      <c r="L150" s="370"/>
      <c r="M150" s="380"/>
      <c r="N150" s="380"/>
      <c r="O150" s="380"/>
      <c r="P150" s="390"/>
      <c r="Q150" s="390"/>
      <c r="R150" s="390"/>
      <c r="S150" s="390"/>
      <c r="T150" s="390"/>
      <c r="U150" s="14"/>
      <c r="AB150" s="165"/>
      <c r="AC150" s="131" t="s">
        <v>183</v>
      </c>
      <c r="AD150" s="3">
        <f>VLOOKUP(P151,Outils!C9:E10,3)</f>
        <v>1</v>
      </c>
      <c r="AE150" s="3" cm="1">
        <f t="array" ref="AE150">AD150*angleConvert2Decimal(Q151)</f>
        <v>23.135000000000002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2:66" s="16" customFormat="1" ht="17.25" customHeight="1" thickTop="1" thickBot="1">
      <c r="C151" s="61"/>
      <c r="D151" s="61"/>
      <c r="F151" s="461">
        <f>IF(G147=AD148,"---",AD155)</f>
        <v>23.13413311648976</v>
      </c>
      <c r="G151" s="461"/>
      <c r="H151" s="461"/>
      <c r="I151" s="452">
        <f>E117</f>
        <v>12.520130106144013</v>
      </c>
      <c r="J151" s="453"/>
      <c r="K151" s="453"/>
      <c r="L151" s="454"/>
      <c r="M151" s="599">
        <v>12</v>
      </c>
      <c r="N151" s="386"/>
      <c r="O151" s="386"/>
      <c r="P151" s="386" t="s">
        <v>3</v>
      </c>
      <c r="Q151" s="529" t="s">
        <v>272</v>
      </c>
      <c r="R151" s="592"/>
      <c r="S151" s="592"/>
      <c r="T151" s="592"/>
      <c r="U151" s="350" t="str" cm="1">
        <f t="array" ref="U151">angleDecimal2Txt(AE150)</f>
        <v>+23°08.09 (+23.1350) [+23°08'06.00]</v>
      </c>
      <c r="V151" s="524"/>
      <c r="W151" s="524"/>
      <c r="X151" s="524"/>
      <c r="Y151" s="524"/>
      <c r="AB151" s="165"/>
      <c r="AC151" s="131" t="s">
        <v>184</v>
      </c>
      <c r="AD151" s="3">
        <f>VLOOKUP(P153,Outils!C9:E10,3)</f>
        <v>1</v>
      </c>
      <c r="AE151" s="3" cm="1">
        <f t="array" ref="AE151">AD151*angleConvert2Decimal(Q153)</f>
        <v>23.133333333333333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2:66" s="16" customFormat="1" ht="17.25" customHeight="1" thickTop="1" thickBot="1">
      <c r="C152" s="61"/>
      <c r="D152" s="61"/>
      <c r="E152" s="61"/>
      <c r="F152" s="462"/>
      <c r="G152" s="462"/>
      <c r="H152" s="462"/>
      <c r="I152" s="401"/>
      <c r="J152" s="455"/>
      <c r="K152" s="455"/>
      <c r="L152" s="456"/>
      <c r="M152" s="595"/>
      <c r="N152" s="387"/>
      <c r="O152" s="387"/>
      <c r="P152" s="387"/>
      <c r="Q152" s="593"/>
      <c r="R152" s="593"/>
      <c r="S152" s="593"/>
      <c r="T152" s="593"/>
      <c r="U152" s="524"/>
      <c r="V152" s="524"/>
      <c r="W152" s="524"/>
      <c r="X152" s="524"/>
      <c r="Y152" s="524"/>
      <c r="AB152" s="165"/>
      <c r="AC152" s="131" t="s">
        <v>38</v>
      </c>
      <c r="AD152" s="5">
        <f>AE151-AE150</f>
        <v>-1.6666666666687036E-3</v>
      </c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4"/>
    </row>
    <row r="153" spans="2:66" s="16" customFormat="1" ht="17.25" customHeight="1" thickTop="1" thickBot="1">
      <c r="C153" s="61"/>
      <c r="D153" s="61"/>
      <c r="E153" s="61"/>
      <c r="F153" s="462"/>
      <c r="G153" s="462"/>
      <c r="H153" s="462"/>
      <c r="I153" s="401"/>
      <c r="J153" s="455"/>
      <c r="K153" s="455"/>
      <c r="L153" s="456"/>
      <c r="M153" s="595">
        <v>13</v>
      </c>
      <c r="N153" s="387"/>
      <c r="O153" s="387"/>
      <c r="P153" s="387" t="s">
        <v>3</v>
      </c>
      <c r="Q153" s="637" t="s">
        <v>275</v>
      </c>
      <c r="R153" s="593"/>
      <c r="S153" s="593"/>
      <c r="T153" s="593"/>
      <c r="U153" s="350" t="str" cm="1">
        <f t="array" ref="U153">angleDecimal2Txt((AE151))</f>
        <v>+23°08.00 (+23.1333) [+23°08'00.00]</v>
      </c>
      <c r="V153" s="524"/>
      <c r="W153" s="524"/>
      <c r="X153" s="524"/>
      <c r="Y153" s="524"/>
      <c r="AB153" s="165"/>
      <c r="AC153" s="131" t="s">
        <v>185</v>
      </c>
      <c r="AD153" s="5">
        <f>M153-M151</f>
        <v>1</v>
      </c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4"/>
    </row>
    <row r="154" spans="2:66" s="16" customFormat="1" ht="17.25" customHeight="1" thickTop="1" thickBot="1">
      <c r="C154" s="61"/>
      <c r="D154" s="61"/>
      <c r="E154" s="61"/>
      <c r="F154" s="462"/>
      <c r="G154" s="462"/>
      <c r="H154" s="462"/>
      <c r="I154" s="580"/>
      <c r="J154" s="670"/>
      <c r="K154" s="670"/>
      <c r="L154" s="581"/>
      <c r="M154" s="595"/>
      <c r="N154" s="387"/>
      <c r="O154" s="387"/>
      <c r="P154" s="387"/>
      <c r="Q154" s="593"/>
      <c r="R154" s="593"/>
      <c r="S154" s="593"/>
      <c r="T154" s="593"/>
      <c r="U154" s="524"/>
      <c r="V154" s="524"/>
      <c r="W154" s="524"/>
      <c r="X154" s="524"/>
      <c r="Y154" s="524"/>
      <c r="AB154" s="165"/>
      <c r="AC154" s="131" t="s">
        <v>39</v>
      </c>
      <c r="AD154" s="5">
        <f>I151-M151</f>
        <v>0.52013010614401267</v>
      </c>
      <c r="AE154"/>
      <c r="AF154"/>
      <c r="AG154"/>
      <c r="AH154"/>
      <c r="AI154" s="11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4"/>
    </row>
    <row r="155" spans="2:66" s="16" customFormat="1" ht="17.25" customHeight="1" thickTop="1" thickBot="1">
      <c r="C155" s="61"/>
      <c r="D155" s="61"/>
      <c r="E155" s="61"/>
      <c r="F155" s="327" t="str" cm="1">
        <f t="array" ref="F155">angleDecimal2Txt(F151)</f>
        <v>+23°08.04 (+23.1341) [+23°08'02.87]</v>
      </c>
      <c r="G155" s="327"/>
      <c r="H155" s="327"/>
      <c r="I155" s="527"/>
      <c r="J155" s="527"/>
      <c r="K155" s="527"/>
      <c r="AA155" s="14"/>
      <c r="AB155" s="165"/>
      <c r="AC155" s="131" t="s">
        <v>37</v>
      </c>
      <c r="AD155" s="3">
        <f>AE150+(AD152/AD153)*AD154</f>
        <v>23.13413311648976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4"/>
    </row>
    <row r="156" spans="2:66" s="16" customFormat="1" ht="17.25" customHeight="1" thickTop="1">
      <c r="C156" s="34" t="s">
        <v>14</v>
      </c>
      <c r="D156" s="34"/>
      <c r="E156" s="35"/>
      <c r="F156" s="35"/>
      <c r="G156" s="14"/>
      <c r="H156" s="14"/>
      <c r="I156" s="14"/>
      <c r="AA156" s="14"/>
      <c r="AB156" s="165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4"/>
    </row>
    <row r="157" spans="2:66" s="16" customFormat="1" ht="17.25" customHeight="1">
      <c r="C157" s="14"/>
      <c r="D157" s="14"/>
      <c r="E157" s="14"/>
      <c r="F157" s="388" t="s">
        <v>9</v>
      </c>
      <c r="G157" s="388"/>
      <c r="H157" s="388"/>
      <c r="I157" s="365" t="s">
        <v>12</v>
      </c>
      <c r="J157" s="381"/>
      <c r="K157" s="381"/>
      <c r="L157" s="366"/>
      <c r="M157" s="380" t="s">
        <v>13</v>
      </c>
      <c r="N157" s="380"/>
      <c r="O157" s="380"/>
      <c r="P157" s="390" t="s">
        <v>16</v>
      </c>
      <c r="Q157" s="390"/>
      <c r="R157" s="390"/>
      <c r="S157" s="390"/>
      <c r="T157" s="390"/>
      <c r="U157" s="390" t="s">
        <v>142</v>
      </c>
      <c r="V157" s="390"/>
      <c r="W157" s="390"/>
      <c r="X157" s="390"/>
      <c r="Y157" s="390"/>
      <c r="AA157" s="14"/>
      <c r="AB157" s="165"/>
      <c r="AC157" s="131" t="s">
        <v>186</v>
      </c>
      <c r="AD157" s="3">
        <f>VLOOKUP(P159,Outils!C9:E10,3)</f>
        <v>-1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4"/>
    </row>
    <row r="158" spans="2:66" s="16" customFormat="1" ht="17.25" customHeight="1">
      <c r="C158" s="61"/>
      <c r="D158" s="61"/>
      <c r="E158" s="61"/>
      <c r="F158" s="388"/>
      <c r="G158" s="388"/>
      <c r="H158" s="388"/>
      <c r="I158" s="369"/>
      <c r="J158" s="382"/>
      <c r="K158" s="382"/>
      <c r="L158" s="370"/>
      <c r="M158" s="380"/>
      <c r="N158" s="380"/>
      <c r="O158" s="380"/>
      <c r="P158" s="390"/>
      <c r="Q158" s="390"/>
      <c r="R158" s="390"/>
      <c r="S158" s="390"/>
      <c r="T158" s="390"/>
      <c r="U158" s="390"/>
      <c r="V158" s="390"/>
      <c r="W158" s="390"/>
      <c r="X158" s="390"/>
      <c r="Y158" s="390"/>
      <c r="Z158" s="14"/>
      <c r="AA158" s="14"/>
      <c r="AB158" s="165"/>
      <c r="AC158" s="131" t="s">
        <v>187</v>
      </c>
      <c r="AD158" s="3" cm="1">
        <f t="array" ref="AD158">angleConvert2Decimal(Q159)*AD157</f>
        <v>-12.24</v>
      </c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4"/>
    </row>
    <row r="159" spans="2:66" s="16" customFormat="1" ht="17.25" customHeight="1">
      <c r="C159" s="61"/>
      <c r="D159" s="61"/>
      <c r="F159" s="461" t="str">
        <f>IF(G147=AD148,AD161,"---")</f>
        <v>---</v>
      </c>
      <c r="G159" s="461"/>
      <c r="H159" s="461"/>
      <c r="I159" s="452">
        <f>E117</f>
        <v>12.520130106144013</v>
      </c>
      <c r="J159" s="453"/>
      <c r="K159" s="453"/>
      <c r="L159" s="454"/>
      <c r="M159" s="599">
        <v>0</v>
      </c>
      <c r="N159" s="386"/>
      <c r="O159" s="386"/>
      <c r="P159" s="386" t="s">
        <v>4</v>
      </c>
      <c r="Q159" s="602" t="s">
        <v>136</v>
      </c>
      <c r="R159" s="386"/>
      <c r="S159" s="386"/>
      <c r="T159" s="386"/>
      <c r="U159" s="386" t="s">
        <v>3</v>
      </c>
      <c r="V159" s="602" t="s">
        <v>117</v>
      </c>
      <c r="W159" s="386"/>
      <c r="X159" s="386"/>
      <c r="Y159" s="386"/>
      <c r="Z159" s="14"/>
      <c r="AB159" s="165"/>
      <c r="AC159" s="131" t="s">
        <v>188</v>
      </c>
      <c r="AD159" s="3">
        <f>VLOOKUP(U159,Outils!C9:E10,3)</f>
        <v>1</v>
      </c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4"/>
    </row>
    <row r="160" spans="2:66" s="16" customFormat="1" ht="17.25" customHeight="1" collapsed="1" thickBot="1">
      <c r="C160" s="61"/>
      <c r="D160" s="61"/>
      <c r="E160" s="61"/>
      <c r="F160" s="462"/>
      <c r="G160" s="462"/>
      <c r="H160" s="462"/>
      <c r="I160" s="580"/>
      <c r="J160" s="670"/>
      <c r="K160" s="670"/>
      <c r="L160" s="581"/>
      <c r="M160" s="595"/>
      <c r="N160" s="387"/>
      <c r="O160" s="387"/>
      <c r="P160" s="387"/>
      <c r="Q160" s="387"/>
      <c r="R160" s="387"/>
      <c r="S160" s="387"/>
      <c r="T160" s="387"/>
      <c r="U160" s="387"/>
      <c r="V160" s="387"/>
      <c r="W160" s="387"/>
      <c r="X160" s="387"/>
      <c r="Y160" s="387"/>
      <c r="Z160" s="14"/>
      <c r="AB160" s="165"/>
      <c r="AC160" s="131" t="s">
        <v>189</v>
      </c>
      <c r="AD160" s="3" cm="1">
        <f t="array" ref="AD160">angleConvert2Decimal(V159)*AD159</f>
        <v>1.6E-2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4"/>
    </row>
    <row r="161" spans="1:67" s="16" customFormat="1" ht="17.25" customHeight="1" thickTop="1" thickBot="1">
      <c r="C161" s="61"/>
      <c r="D161" s="61"/>
      <c r="E161" s="61"/>
      <c r="F161" s="327" t="e" cm="1">
        <f t="array" ref="F161">angleDecimal2Txt(F159)</f>
        <v>#VALUE!</v>
      </c>
      <c r="G161" s="327"/>
      <c r="H161" s="327"/>
      <c r="I161" s="527"/>
      <c r="J161" s="527"/>
      <c r="K161" s="527"/>
      <c r="P161" s="327" t="str" cm="1">
        <f t="array" ref="P161">angleDecimal2Txt(AD158)</f>
        <v>-12°14.40 (-12.2400) [-12°14'24.00]</v>
      </c>
      <c r="Q161" s="327"/>
      <c r="R161" s="327"/>
      <c r="S161" s="327"/>
      <c r="T161" s="327"/>
      <c r="U161" s="327" t="str" cm="1">
        <f t="array" ref="U161">angleDecimal2Txt(AD160)</f>
        <v>+00°00.96 (+00.0160) [+00°00'57.60]</v>
      </c>
      <c r="V161" s="538"/>
      <c r="W161" s="538"/>
      <c r="X161" s="538"/>
      <c r="Y161" s="538"/>
      <c r="AB161" s="165"/>
      <c r="AC161" s="131" t="s">
        <v>190</v>
      </c>
      <c r="AD161" s="3">
        <f>AD158+AD160*(I159-M159)</f>
        <v>-12.039677918301695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4"/>
    </row>
    <row r="162" spans="1:67" s="16" customFormat="1" ht="17.25" customHeight="1" thickTop="1">
      <c r="C162" s="61"/>
      <c r="D162" s="61"/>
      <c r="E162" s="61"/>
      <c r="F162" s="61"/>
      <c r="G162" s="61"/>
      <c r="S162" s="14"/>
      <c r="T162" s="14"/>
      <c r="U162" s="14"/>
      <c r="V162" s="14"/>
      <c r="W162" s="14"/>
      <c r="X162" s="14"/>
      <c r="AB162" s="165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4"/>
    </row>
    <row r="163" spans="1:67" s="16" customFormat="1" ht="17.25" customHeight="1" thickBot="1">
      <c r="C163" s="61"/>
      <c r="D163" s="61"/>
      <c r="E163" s="61"/>
      <c r="F163" s="61"/>
      <c r="G163" s="61"/>
      <c r="S163" s="14"/>
      <c r="T163" s="14"/>
      <c r="U163" s="14"/>
      <c r="V163" s="14"/>
      <c r="W163" s="14"/>
      <c r="X163" s="14"/>
      <c r="AB163" s="165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4"/>
    </row>
    <row r="164" spans="1:67" s="16" customFormat="1" ht="17.25" customHeight="1" thickBot="1">
      <c r="B164" s="25" t="s">
        <v>23</v>
      </c>
      <c r="C164" s="26"/>
      <c r="D164" s="569" t="s">
        <v>72</v>
      </c>
      <c r="E164" s="573"/>
      <c r="F164" s="379">
        <f>IF(G165=AD165,O204,O194)</f>
        <v>67.147622184360216</v>
      </c>
      <c r="G164" s="379"/>
      <c r="H164" s="379"/>
      <c r="I164" s="26"/>
      <c r="J164" s="26"/>
      <c r="K164" s="26"/>
      <c r="L164" s="26" t="s">
        <v>60</v>
      </c>
      <c r="M164" s="569">
        <f>O167</f>
        <v>66.95</v>
      </c>
      <c r="N164" s="569"/>
      <c r="O164" s="26"/>
      <c r="P164" s="62"/>
      <c r="Q164" s="26" t="s">
        <v>99</v>
      </c>
      <c r="R164" s="26"/>
      <c r="S164" s="605">
        <f>-O181+O176+O185</f>
        <v>0.260725308404401</v>
      </c>
      <c r="T164" s="606"/>
      <c r="U164" s="607"/>
      <c r="V164" s="674" t="str" cm="1">
        <f t="array" ref="V164">angleDecimal2Txt(S164)</f>
        <v>+00°15.64 (+00.2607) [+00°15'38.61]</v>
      </c>
      <c r="W164" s="675"/>
      <c r="X164" s="675"/>
      <c r="Y164" s="675"/>
      <c r="Z164" s="676"/>
      <c r="AA164" s="26"/>
      <c r="AB164" s="167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24"/>
    </row>
    <row r="165" spans="1:67" s="16" customFormat="1" ht="17.25" customHeight="1">
      <c r="C165" s="377" t="s">
        <v>35</v>
      </c>
      <c r="D165" s="377"/>
      <c r="E165" s="377"/>
      <c r="F165" s="377"/>
      <c r="G165" s="537" t="s">
        <v>51</v>
      </c>
      <c r="H165" s="537"/>
      <c r="I165" s="537"/>
      <c r="P165" s="16" t="s">
        <v>69</v>
      </c>
      <c r="V165" s="14"/>
      <c r="W165" s="14"/>
      <c r="X165" s="14"/>
      <c r="Y165" s="14"/>
      <c r="Z165" s="14"/>
      <c r="AB165" s="165"/>
      <c r="AC165" s="845" t="s">
        <v>36</v>
      </c>
      <c r="AD165" s="70" t="s">
        <v>50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4"/>
    </row>
    <row r="166" spans="1:67" s="16" customFormat="1" ht="17.25" customHeight="1" thickBot="1">
      <c r="C166" s="33"/>
      <c r="D166" s="33"/>
      <c r="E166" s="33"/>
      <c r="F166" s="440" t="s">
        <v>62</v>
      </c>
      <c r="G166" s="440"/>
      <c r="H166" s="539"/>
      <c r="I166" s="539"/>
      <c r="J166" s="671">
        <f>IF(G165=AD165,"---",O194)</f>
        <v>67.147622184360216</v>
      </c>
      <c r="K166" s="672"/>
      <c r="L166" s="673"/>
      <c r="M166" s="110"/>
      <c r="N166" s="110"/>
      <c r="O166" s="110"/>
      <c r="P166" s="110"/>
      <c r="Q166" s="110"/>
      <c r="R166" s="110"/>
      <c r="S166" s="110"/>
      <c r="T166" s="110"/>
      <c r="U166" s="110"/>
      <c r="V166" s="111"/>
      <c r="W166" s="111"/>
      <c r="X166" s="111"/>
      <c r="Y166" s="111"/>
      <c r="Z166" s="111"/>
      <c r="AB166" s="165"/>
      <c r="AC166" s="845"/>
      <c r="AD166" s="70" t="s">
        <v>51</v>
      </c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s="16" customFormat="1" ht="17.25" customHeight="1" thickTop="1" thickBot="1">
      <c r="H167" s="666" t="s">
        <v>47</v>
      </c>
      <c r="I167" s="667"/>
      <c r="J167" s="667"/>
      <c r="K167" s="667"/>
      <c r="L167" s="667"/>
      <c r="M167" s="667"/>
      <c r="N167" s="668"/>
      <c r="O167" s="397">
        <f>J127</f>
        <v>66.95</v>
      </c>
      <c r="P167" s="397"/>
      <c r="Q167" s="397"/>
      <c r="R167" s="397"/>
      <c r="S167" s="16" t="s">
        <v>54</v>
      </c>
      <c r="U167" s="450" t="str" cm="1">
        <f t="array" ref="U167">angleDecimal2Txt(O167)</f>
        <v>+66°57.00 (+66.9500) [+66°57'00.00]</v>
      </c>
      <c r="V167" s="451"/>
      <c r="W167" s="451"/>
      <c r="X167" s="451"/>
      <c r="Y167" s="451"/>
      <c r="Z167" s="337"/>
      <c r="AB167" s="165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 s="24"/>
    </row>
    <row r="168" spans="1:67" s="16" customFormat="1" ht="17.25" customHeight="1" thickTop="1" thickBot="1">
      <c r="H168" s="666" t="s">
        <v>24</v>
      </c>
      <c r="I168" s="667"/>
      <c r="J168" s="667"/>
      <c r="K168" s="667"/>
      <c r="L168" s="667"/>
      <c r="M168" s="667"/>
      <c r="N168" s="668"/>
      <c r="O168" s="397">
        <f>J126</f>
        <v>2.1666666666666667E-2</v>
      </c>
      <c r="P168" s="397"/>
      <c r="Q168" s="397"/>
      <c r="R168" s="397"/>
      <c r="S168" s="16" t="s">
        <v>54</v>
      </c>
      <c r="U168" s="450" t="str" cm="1">
        <f t="array" ref="U168">angleDecimal2Txt(O168)</f>
        <v>+00°01.30 (+00.0216) [+00°01'18.00]</v>
      </c>
      <c r="V168" s="451"/>
      <c r="W168" s="451"/>
      <c r="X168" s="451"/>
      <c r="Y168" s="451"/>
      <c r="Z168" s="337"/>
      <c r="AB168" s="165"/>
      <c r="AC168" s="131" t="s">
        <v>59</v>
      </c>
      <c r="AD168" s="5">
        <f>O168</f>
        <v>2.1666666666666667E-2</v>
      </c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4"/>
    </row>
    <row r="169" spans="1:67" s="16" customFormat="1" ht="17.25" customHeight="1" thickTop="1" thickBot="1">
      <c r="C169" s="61"/>
      <c r="D169" s="61"/>
      <c r="E169" s="61"/>
      <c r="F169" s="61"/>
      <c r="H169" s="666" t="s">
        <v>68</v>
      </c>
      <c r="I169" s="667"/>
      <c r="J169" s="667"/>
      <c r="K169" s="667"/>
      <c r="L169" s="667"/>
      <c r="M169" s="667"/>
      <c r="N169" s="668"/>
      <c r="O169" s="330">
        <f>AD170</f>
        <v>4.1436457377531689E-2</v>
      </c>
      <c r="P169" s="330"/>
      <c r="Q169" s="330"/>
      <c r="R169" s="330"/>
      <c r="S169" s="16" t="s">
        <v>54</v>
      </c>
      <c r="U169" s="450" t="str" cm="1">
        <f t="array" ref="U169">angleDecimal2Txt(O169)</f>
        <v>+00°02.48 (+00.0414) [+00°02'29.17]</v>
      </c>
      <c r="V169" s="451"/>
      <c r="W169" s="451"/>
      <c r="X169" s="451"/>
      <c r="Y169" s="451"/>
      <c r="Z169" s="337"/>
      <c r="AB169" s="165"/>
      <c r="AC169" s="131" t="s">
        <v>46</v>
      </c>
      <c r="AD169" s="3">
        <f>J125</f>
        <v>2</v>
      </c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s="16" customFormat="1" ht="17.25" customHeight="1" thickTop="1" thickBot="1">
      <c r="C170" s="61"/>
      <c r="D170" s="61"/>
      <c r="E170" s="61"/>
      <c r="F170" s="61"/>
      <c r="G170" s="61"/>
      <c r="K170" s="14"/>
      <c r="L170" s="14"/>
      <c r="M170" s="579" t="s">
        <v>122</v>
      </c>
      <c r="N170" s="579"/>
      <c r="O170" s="579"/>
      <c r="P170" s="579"/>
      <c r="Q170" s="14"/>
      <c r="R170" s="14"/>
      <c r="U170" s="14"/>
      <c r="V170" s="14"/>
      <c r="W170" s="14"/>
      <c r="X170" s="14"/>
      <c r="Y170" s="14"/>
      <c r="Z170" s="14"/>
      <c r="AB170" s="165"/>
      <c r="AC170" s="171" t="s">
        <v>67</v>
      </c>
      <c r="AD170" s="3">
        <f>0.0293 * SQRT(AD169)</f>
        <v>4.1436457377531689E-2</v>
      </c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 s="24"/>
    </row>
    <row r="171" spans="1:67" s="16" customFormat="1" ht="17.25" customHeight="1" thickTop="1" thickBot="1">
      <c r="C171" s="61"/>
      <c r="D171" s="61"/>
      <c r="E171" s="61"/>
      <c r="F171" s="61"/>
      <c r="H171" s="669" t="s">
        <v>48</v>
      </c>
      <c r="I171" s="428"/>
      <c r="J171" s="428"/>
      <c r="K171" s="428"/>
      <c r="L171" s="428"/>
      <c r="M171" s="428"/>
      <c r="N171" s="429"/>
      <c r="O171" s="463">
        <f>O167-O168-O169</f>
        <v>66.886896875955813</v>
      </c>
      <c r="P171" s="439"/>
      <c r="Q171" s="16" t="s">
        <v>54</v>
      </c>
      <c r="R171" s="469">
        <f>O171*Outils!F4</f>
        <v>1.1673965769273382</v>
      </c>
      <c r="S171" s="469"/>
      <c r="T171" s="37" t="s">
        <v>64</v>
      </c>
      <c r="U171" s="450" t="str" cm="1">
        <f t="array" ref="U171">angleDecimal2Txt(O171)</f>
        <v>+66°53.21 (+66.8868) [+66°53'12.82]</v>
      </c>
      <c r="V171" s="451"/>
      <c r="W171" s="451"/>
      <c r="X171" s="451"/>
      <c r="Y171" s="451"/>
      <c r="Z171" s="337"/>
      <c r="AB171" s="165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 s="24"/>
    </row>
    <row r="172" spans="1:67" s="16" customFormat="1" ht="17.25" customHeight="1" thickTop="1"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U172" s="14"/>
      <c r="V172" s="14"/>
      <c r="W172" s="14"/>
      <c r="X172" s="14"/>
      <c r="Y172" s="14"/>
      <c r="Z172" s="14"/>
      <c r="AB172" s="165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 s="24"/>
    </row>
    <row r="173" spans="1:67" s="16" customFormat="1" ht="17.25" customHeight="1">
      <c r="C173" s="61"/>
      <c r="D173" s="61"/>
      <c r="E173" s="61"/>
      <c r="F173" s="61"/>
      <c r="H173" s="14"/>
      <c r="I173" s="14"/>
      <c r="J173" s="14"/>
      <c r="K173" s="14"/>
      <c r="L173" s="14"/>
      <c r="M173" s="465" t="s">
        <v>61</v>
      </c>
      <c r="N173" s="465"/>
      <c r="O173" s="465"/>
      <c r="P173" s="465"/>
      <c r="Q173" s="14"/>
      <c r="R173" s="14"/>
      <c r="U173" s="14"/>
      <c r="V173" s="14"/>
      <c r="W173" s="14"/>
      <c r="X173" s="14"/>
      <c r="Y173" s="14"/>
      <c r="Z173" s="14"/>
      <c r="AB173" s="165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4"/>
    </row>
    <row r="174" spans="1:67" s="16" customFormat="1" ht="17.25" customHeight="1" thickBot="1">
      <c r="M174" s="466" t="s">
        <v>150</v>
      </c>
      <c r="N174" s="466"/>
      <c r="O174" s="465"/>
      <c r="P174" s="465"/>
      <c r="AB174" s="165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4"/>
    </row>
    <row r="175" spans="1:67" ht="17.25" customHeight="1" thickTop="1" thickBot="1">
      <c r="A175" s="14"/>
      <c r="B175" s="14"/>
      <c r="C175" s="14"/>
      <c r="D175" s="14"/>
      <c r="E175" s="14"/>
      <c r="F175" s="16"/>
      <c r="G175" s="16"/>
      <c r="H175" s="623" t="s">
        <v>52</v>
      </c>
      <c r="I175" s="624"/>
      <c r="J175" s="624"/>
      <c r="K175" s="624"/>
      <c r="L175" s="624"/>
      <c r="M175" s="624"/>
      <c r="N175" s="625"/>
      <c r="O175" s="467">
        <f>J130</f>
        <v>2.8833333333333332E-3</v>
      </c>
      <c r="P175" s="468"/>
      <c r="Q175" s="468"/>
      <c r="R175" s="468"/>
      <c r="S175" s="16" t="s">
        <v>54</v>
      </c>
      <c r="T175" s="16"/>
      <c r="U175" s="450" t="str" cm="1">
        <f t="array" ref="U175">angleDecimal2Txt(O175)</f>
        <v>+00°00.17 (+00.0028) [+00°00'10.37]</v>
      </c>
      <c r="V175" s="451"/>
      <c r="W175" s="451"/>
      <c r="X175" s="451"/>
      <c r="Y175" s="451"/>
      <c r="Z175" s="337"/>
      <c r="AA175" s="16"/>
      <c r="AB175" s="165"/>
      <c r="AC175" s="131" t="s">
        <v>194</v>
      </c>
      <c r="AD175" s="3">
        <f>O175*COS(R171)</f>
        <v>1.1318451843031962E-3</v>
      </c>
      <c r="BN175" s="24"/>
      <c r="BO175" s="16"/>
    </row>
    <row r="176" spans="1:67" ht="17.25" customHeight="1" thickTop="1" thickBot="1">
      <c r="A176" s="14"/>
      <c r="B176" s="14"/>
      <c r="C176" s="14"/>
      <c r="D176" s="14"/>
      <c r="E176" s="14"/>
      <c r="F176" s="16"/>
      <c r="G176" s="16"/>
      <c r="H176" s="427" t="s">
        <v>151</v>
      </c>
      <c r="I176" s="428"/>
      <c r="J176" s="428"/>
      <c r="K176" s="428"/>
      <c r="L176" s="428"/>
      <c r="M176" s="428"/>
      <c r="N176" s="429"/>
      <c r="O176" s="329">
        <f>AD175</f>
        <v>1.1318451843031962E-3</v>
      </c>
      <c r="P176" s="329"/>
      <c r="Q176" s="329"/>
      <c r="R176" s="329"/>
      <c r="S176" s="16" t="s">
        <v>54</v>
      </c>
      <c r="T176" s="16"/>
      <c r="U176" s="450" t="str" cm="1">
        <f t="array" ref="U176">angleDecimal2Txt(O176)</f>
        <v>+00°00.06 (+00.0011) [+00°00'04.07]</v>
      </c>
      <c r="V176" s="451"/>
      <c r="W176" s="451"/>
      <c r="X176" s="451"/>
      <c r="Y176" s="451"/>
      <c r="Z176" s="337"/>
      <c r="AA176" s="16"/>
      <c r="AB176" s="165"/>
      <c r="BN176" s="24"/>
      <c r="BO176" s="16"/>
    </row>
    <row r="177" spans="1:67" ht="17.25" customHeight="1" thickTop="1">
      <c r="A177" s="14"/>
      <c r="B177" s="14"/>
      <c r="C177" s="14"/>
      <c r="D177" s="14"/>
      <c r="E177" s="14"/>
      <c r="F177" s="16"/>
      <c r="G177" s="16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6"/>
      <c r="AB177" s="165"/>
      <c r="BN177" s="24"/>
      <c r="BO177" s="16"/>
    </row>
    <row r="178" spans="1:67" ht="17.25" customHeight="1">
      <c r="A178" s="14"/>
      <c r="B178" s="14"/>
      <c r="C178" s="14"/>
      <c r="D178" s="14"/>
      <c r="E178" s="61"/>
      <c r="F178" s="16"/>
      <c r="G178" s="16"/>
      <c r="H178" s="14"/>
      <c r="I178" s="14"/>
      <c r="J178" s="14"/>
      <c r="K178" s="14"/>
      <c r="L178" s="14"/>
      <c r="M178" s="14"/>
      <c r="N178" s="14"/>
      <c r="O178" s="14"/>
      <c r="P178" s="16"/>
      <c r="Q178" s="16"/>
      <c r="R178" s="16"/>
      <c r="S178" s="476" t="s">
        <v>135</v>
      </c>
      <c r="T178" s="477"/>
      <c r="U178" s="478"/>
      <c r="V178" s="16"/>
      <c r="W178" s="16"/>
      <c r="X178" s="16"/>
      <c r="Y178" s="14"/>
      <c r="Z178" s="14"/>
      <c r="AA178" s="16"/>
      <c r="AB178" s="165"/>
      <c r="AC178" s="131" t="s">
        <v>49</v>
      </c>
      <c r="AD178" s="3" t="s">
        <v>196</v>
      </c>
      <c r="BN178" s="24"/>
      <c r="BO178" s="16"/>
    </row>
    <row r="179" spans="1:67" ht="17.25" customHeight="1">
      <c r="A179" s="14"/>
      <c r="B179" s="14"/>
      <c r="C179" s="14"/>
      <c r="D179" s="14"/>
      <c r="E179" s="61"/>
      <c r="F179" s="16"/>
      <c r="G179" s="16"/>
      <c r="H179" s="623" t="s">
        <v>65</v>
      </c>
      <c r="I179" s="624"/>
      <c r="J179" s="624"/>
      <c r="K179" s="624"/>
      <c r="L179" s="624"/>
      <c r="M179" s="624"/>
      <c r="N179" s="625"/>
      <c r="O179" s="430">
        <f>S179</f>
        <v>10</v>
      </c>
      <c r="P179" s="431"/>
      <c r="Q179" s="431"/>
      <c r="R179" s="431"/>
      <c r="S179" s="576">
        <v>10</v>
      </c>
      <c r="T179" s="577"/>
      <c r="U179" s="578"/>
      <c r="V179" s="16"/>
      <c r="W179" s="16"/>
      <c r="X179" s="16"/>
      <c r="Y179" s="14"/>
      <c r="Z179" s="14"/>
      <c r="AA179" s="16"/>
      <c r="AB179" s="165"/>
      <c r="AC179" s="131" t="s">
        <v>197</v>
      </c>
      <c r="AD179" s="3">
        <f>1/TAN((O171 + 7.31 / (O171 + 4.4)) * Outils!F4)</f>
        <v>0.4246923427253872</v>
      </c>
      <c r="BN179" s="24"/>
      <c r="BO179" s="16"/>
    </row>
    <row r="180" spans="1:67" ht="17.25" customHeight="1" thickBot="1">
      <c r="A180" s="14"/>
      <c r="B180" s="14"/>
      <c r="C180" s="14"/>
      <c r="D180" s="14"/>
      <c r="E180" s="14"/>
      <c r="F180" s="16"/>
      <c r="G180" s="16"/>
      <c r="H180" s="623" t="s">
        <v>66</v>
      </c>
      <c r="I180" s="624"/>
      <c r="J180" s="624"/>
      <c r="K180" s="624"/>
      <c r="L180" s="624"/>
      <c r="M180" s="624"/>
      <c r="N180" s="625"/>
      <c r="O180" s="430">
        <f>S180</f>
        <v>1010</v>
      </c>
      <c r="P180" s="431"/>
      <c r="Q180" s="431"/>
      <c r="R180" s="431"/>
      <c r="S180" s="576">
        <v>1010</v>
      </c>
      <c r="T180" s="577"/>
      <c r="U180" s="578"/>
      <c r="V180" s="16"/>
      <c r="W180" s="16"/>
      <c r="X180" s="16"/>
      <c r="Y180" s="14"/>
      <c r="Z180" s="14"/>
      <c r="AA180" s="16"/>
      <c r="AB180" s="165"/>
      <c r="AC180" s="131" t="s">
        <v>198</v>
      </c>
      <c r="AD180" s="3">
        <f>AD179/60</f>
        <v>7.0782057120897862E-3</v>
      </c>
      <c r="BN180" s="24"/>
      <c r="BO180" s="16"/>
    </row>
    <row r="181" spans="1:67" ht="17.25" customHeight="1" thickTop="1" thickBot="1">
      <c r="A181" s="14"/>
      <c r="B181" s="14"/>
      <c r="C181" s="14"/>
      <c r="D181" s="14"/>
      <c r="E181" s="14"/>
      <c r="F181" s="16"/>
      <c r="G181" s="16"/>
      <c r="H181" s="427" t="s">
        <v>152</v>
      </c>
      <c r="I181" s="428"/>
      <c r="J181" s="428"/>
      <c r="K181" s="428"/>
      <c r="L181" s="428"/>
      <c r="M181" s="428"/>
      <c r="N181" s="429"/>
      <c r="O181" s="329">
        <f>AD182</f>
        <v>7.0732034465688749E-3</v>
      </c>
      <c r="P181" s="329"/>
      <c r="Q181" s="329"/>
      <c r="R181" s="329"/>
      <c r="S181" s="16" t="s">
        <v>54</v>
      </c>
      <c r="T181" s="16"/>
      <c r="U181" s="450" t="str" cm="1">
        <f t="array" ref="U181">angleDecimal2Txt(O181)</f>
        <v>+00°00.42 (+00.0070) [+00°00'25.46]</v>
      </c>
      <c r="V181" s="451"/>
      <c r="W181" s="451"/>
      <c r="X181" s="451"/>
      <c r="Y181" s="451"/>
      <c r="Z181" s="337"/>
      <c r="AA181" s="16"/>
      <c r="AB181" s="165"/>
      <c r="AC181" s="131" t="s">
        <v>100</v>
      </c>
      <c r="AD181" s="3">
        <f xml:space="preserve"> 0.28 * O180 / (273 + O179)</f>
        <v>0.99929328621908131</v>
      </c>
      <c r="BN181" s="24"/>
      <c r="BO181" s="16"/>
    </row>
    <row r="182" spans="1:67" ht="17.25" customHeight="1" thickTop="1">
      <c r="A182" s="14"/>
      <c r="B182" s="14"/>
      <c r="C182" s="14"/>
      <c r="D182" s="14"/>
      <c r="E182" s="14"/>
      <c r="F182" s="16"/>
      <c r="G182" s="16"/>
      <c r="H182" s="14"/>
      <c r="I182" s="14"/>
      <c r="J182" s="14"/>
      <c r="K182" s="14"/>
      <c r="L182" s="14"/>
      <c r="M182" s="14"/>
      <c r="N182" s="14"/>
      <c r="O182" s="14"/>
      <c r="P182" s="16"/>
      <c r="Q182" s="16"/>
      <c r="R182" s="16"/>
      <c r="S182" s="16"/>
      <c r="T182" s="16"/>
      <c r="U182" s="16"/>
      <c r="V182" s="16"/>
      <c r="W182" s="16"/>
      <c r="X182" s="16"/>
      <c r="Y182" s="14"/>
      <c r="Z182" s="14"/>
      <c r="AA182" s="16"/>
      <c r="AB182" s="165"/>
      <c r="AC182" s="131" t="s">
        <v>195</v>
      </c>
      <c r="AD182" s="3">
        <f>AD181*AD180</f>
        <v>7.0732034465688749E-3</v>
      </c>
      <c r="BN182" s="24"/>
      <c r="BO182" s="16"/>
    </row>
    <row r="183" spans="1:67" ht="17.25" customHeight="1">
      <c r="A183" s="14"/>
      <c r="B183" s="14"/>
      <c r="C183" s="14"/>
      <c r="D183" s="14"/>
      <c r="E183" s="14"/>
      <c r="F183" s="16"/>
      <c r="G183" s="16"/>
      <c r="H183" s="623" t="s">
        <v>106</v>
      </c>
      <c r="I183" s="624"/>
      <c r="J183" s="624"/>
      <c r="K183" s="624"/>
      <c r="L183" s="624"/>
      <c r="M183" s="624"/>
      <c r="N183" s="625"/>
      <c r="O183" s="479">
        <f>J134</f>
        <v>0.53333333333333333</v>
      </c>
      <c r="P183" s="479"/>
      <c r="Q183" s="479"/>
      <c r="R183" s="479"/>
      <c r="S183" s="16"/>
      <c r="T183" s="16"/>
      <c r="U183" s="16"/>
      <c r="V183" s="16"/>
      <c r="W183" s="16"/>
      <c r="X183" s="16"/>
      <c r="Y183" s="16"/>
      <c r="Z183" s="16"/>
      <c r="AA183" s="16"/>
      <c r="AB183" s="165"/>
      <c r="BN183" s="24"/>
      <c r="BO183" s="16"/>
    </row>
    <row r="184" spans="1:67" ht="17.25" customHeight="1" thickBot="1">
      <c r="A184" s="16"/>
      <c r="B184" s="14"/>
      <c r="C184" s="14"/>
      <c r="D184" s="14"/>
      <c r="E184" s="61"/>
      <c r="F184" s="61"/>
      <c r="G184" s="61"/>
      <c r="H184" s="623" t="s">
        <v>70</v>
      </c>
      <c r="I184" s="624"/>
      <c r="J184" s="624"/>
      <c r="K184" s="624"/>
      <c r="L184" s="624"/>
      <c r="M184" s="624"/>
      <c r="N184" s="625"/>
      <c r="O184" s="479" t="str">
        <f>J129</f>
        <v>BordInf</v>
      </c>
      <c r="P184" s="479"/>
      <c r="Q184" s="479"/>
      <c r="R184" s="479"/>
      <c r="S184" s="16"/>
      <c r="T184" s="16"/>
      <c r="U184" s="16"/>
      <c r="V184" s="16"/>
      <c r="W184" s="16"/>
      <c r="X184" s="16"/>
      <c r="Y184" s="16"/>
      <c r="Z184" s="16"/>
      <c r="AA184" s="16"/>
      <c r="AB184" s="165"/>
      <c r="AC184" s="131" t="s">
        <v>30</v>
      </c>
      <c r="AD184" s="323" t="str">
        <f>J128</f>
        <v>Soleil</v>
      </c>
      <c r="AE184" s="323"/>
      <c r="BN184" s="24"/>
      <c r="BO184" s="16"/>
    </row>
    <row r="185" spans="1:67" ht="17.25" customHeight="1" thickTop="1" thickBot="1">
      <c r="A185" s="16"/>
      <c r="B185" s="16"/>
      <c r="C185" s="61"/>
      <c r="D185" s="61"/>
      <c r="E185" s="61"/>
      <c r="F185" s="61"/>
      <c r="G185" s="61"/>
      <c r="H185" s="427" t="s">
        <v>71</v>
      </c>
      <c r="I185" s="428"/>
      <c r="J185" s="428"/>
      <c r="K185" s="428"/>
      <c r="L185" s="428"/>
      <c r="M185" s="428"/>
      <c r="N185" s="429"/>
      <c r="O185" s="435">
        <f>AD188</f>
        <v>0.26666666666666666</v>
      </c>
      <c r="P185" s="435"/>
      <c r="Q185" s="435"/>
      <c r="R185" s="435"/>
      <c r="S185" s="16" t="s">
        <v>54</v>
      </c>
      <c r="T185" s="16"/>
      <c r="U185" s="450" t="str" cm="1">
        <f t="array" ref="U185">angleDecimal2Txt(O185)</f>
        <v>+00°16.00 (+00.2666) [+00°16'00.00]</v>
      </c>
      <c r="V185" s="451"/>
      <c r="W185" s="451"/>
      <c r="X185" s="451"/>
      <c r="Y185" s="451"/>
      <c r="Z185" s="337"/>
      <c r="AA185" s="16"/>
      <c r="AB185" s="165"/>
      <c r="AC185" s="131" t="s">
        <v>202</v>
      </c>
      <c r="AD185" s="323" t="str">
        <f>O184</f>
        <v>BordInf</v>
      </c>
      <c r="AE185" s="323"/>
      <c r="BN185" s="24"/>
      <c r="BO185" s="16"/>
    </row>
    <row r="186" spans="1:67" ht="17.25" customHeight="1" thickTop="1">
      <c r="A186" s="16"/>
      <c r="B186" s="16"/>
      <c r="C186" s="61"/>
      <c r="D186" s="61"/>
      <c r="E186" s="61"/>
      <c r="F186" s="61"/>
      <c r="G186" s="61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6"/>
      <c r="AB186" s="165"/>
      <c r="AC186" s="131" t="s">
        <v>203</v>
      </c>
      <c r="AD186" s="572">
        <f>HLOOKUP(AD185,AD133:AF134,2)</f>
        <v>0.5</v>
      </c>
      <c r="AE186" s="572"/>
      <c r="BN186" s="24"/>
      <c r="BO186" s="16"/>
    </row>
    <row r="187" spans="1:67" ht="17.25" customHeight="1">
      <c r="A187" s="16"/>
      <c r="B187" s="16"/>
      <c r="C187" s="61"/>
      <c r="D187" s="61"/>
      <c r="E187" s="61"/>
      <c r="F187" s="61"/>
      <c r="G187" s="493" t="s">
        <v>115</v>
      </c>
      <c r="H187" s="494"/>
      <c r="I187" s="494"/>
      <c r="J187" s="494"/>
      <c r="K187" s="494"/>
      <c r="L187" s="494"/>
      <c r="M187" s="494"/>
      <c r="N187" s="494"/>
      <c r="O187" s="494"/>
      <c r="P187" s="494"/>
      <c r="Q187" s="494"/>
      <c r="R187" s="494"/>
      <c r="S187" s="495"/>
      <c r="T187" s="14"/>
      <c r="U187" s="14"/>
      <c r="V187" s="14"/>
      <c r="W187" s="14"/>
      <c r="X187" s="14"/>
      <c r="Y187" s="14"/>
      <c r="Z187" s="14"/>
      <c r="AA187" s="16"/>
      <c r="AB187" s="165"/>
      <c r="AC187" s="131" t="s">
        <v>106</v>
      </c>
      <c r="AD187" s="3" t="str">
        <f>HLOOKUP(AD184,AD129:AF131,3)</f>
        <v>32'</v>
      </c>
      <c r="AE187" s="3" cm="1">
        <f t="array" ref="AE187">angleConvert2Decimal(AD187)</f>
        <v>0.53333333333333333</v>
      </c>
      <c r="BN187" s="24"/>
      <c r="BO187" s="16"/>
    </row>
    <row r="188" spans="1:67" ht="17.25" customHeight="1">
      <c r="A188" s="16"/>
      <c r="B188" s="16"/>
      <c r="C188" s="61"/>
      <c r="D188" s="61"/>
      <c r="E188" s="61"/>
      <c r="F188" s="61"/>
      <c r="G188" s="452" t="s">
        <v>124</v>
      </c>
      <c r="H188" s="454"/>
      <c r="I188" s="470" t="s">
        <v>119</v>
      </c>
      <c r="J188" s="471"/>
      <c r="K188" s="471"/>
      <c r="L188" s="471"/>
      <c r="M188" s="471"/>
      <c r="N188" s="472"/>
      <c r="O188" s="481">
        <f>(O176-O181-O169+O183/2) * 60</f>
        <v>13.157331061612158</v>
      </c>
      <c r="P188" s="482"/>
      <c r="Q188" s="482"/>
      <c r="R188" s="482"/>
      <c r="S188" s="485" t="s">
        <v>116</v>
      </c>
      <c r="T188" s="14"/>
      <c r="U188" s="14"/>
      <c r="V188" s="14"/>
      <c r="W188" s="14"/>
      <c r="X188" s="14"/>
      <c r="Y188" s="14"/>
      <c r="Z188" s="14"/>
      <c r="AA188" s="16"/>
      <c r="AB188" s="165"/>
      <c r="AC188" s="131" t="s">
        <v>203</v>
      </c>
      <c r="AD188" s="572">
        <f>AE187*AD186</f>
        <v>0.26666666666666666</v>
      </c>
      <c r="AE188" s="572"/>
      <c r="BN188" s="24"/>
      <c r="BO188" s="16"/>
    </row>
    <row r="189" spans="1:67" ht="17.25" customHeight="1">
      <c r="A189" s="16"/>
      <c r="B189" s="16"/>
      <c r="C189" s="61"/>
      <c r="D189" s="61"/>
      <c r="E189" s="61"/>
      <c r="F189" s="61"/>
      <c r="G189" s="580"/>
      <c r="H189" s="581"/>
      <c r="I189" s="487" t="s">
        <v>123</v>
      </c>
      <c r="J189" s="488"/>
      <c r="K189" s="488"/>
      <c r="L189" s="488"/>
      <c r="M189" s="488"/>
      <c r="N189" s="489"/>
      <c r="O189" s="483"/>
      <c r="P189" s="484"/>
      <c r="Q189" s="484"/>
      <c r="R189" s="484"/>
      <c r="S189" s="486"/>
      <c r="T189" s="14"/>
      <c r="U189" s="14"/>
      <c r="V189" s="14"/>
      <c r="W189" s="14"/>
      <c r="X189" s="14"/>
      <c r="Y189" s="14"/>
      <c r="Z189" s="14"/>
      <c r="AA189" s="16"/>
      <c r="AB189" s="165"/>
      <c r="BN189" s="24"/>
      <c r="BO189" s="16"/>
    </row>
    <row r="190" spans="1:67" ht="17.25" customHeight="1">
      <c r="A190" s="16"/>
      <c r="B190" s="16"/>
      <c r="C190" s="61"/>
      <c r="D190" s="61"/>
      <c r="E190" s="61"/>
      <c r="F190" s="61"/>
      <c r="G190" s="61"/>
      <c r="H190" s="14"/>
      <c r="I190" s="470" t="s">
        <v>120</v>
      </c>
      <c r="J190" s="471"/>
      <c r="K190" s="471"/>
      <c r="L190" s="471"/>
      <c r="M190" s="471"/>
      <c r="N190" s="472"/>
      <c r="O190" s="482">
        <f>(O176-O181+O183/2)*60</f>
        <v>15.64351850426406</v>
      </c>
      <c r="P190" s="482"/>
      <c r="Q190" s="482"/>
      <c r="R190" s="482"/>
      <c r="S190" s="485" t="s">
        <v>116</v>
      </c>
      <c r="T190" s="14"/>
      <c r="U190" s="14"/>
      <c r="V190" s="14"/>
      <c r="W190" s="14"/>
      <c r="X190" s="14"/>
      <c r="Y190" s="14"/>
      <c r="Z190" s="14"/>
      <c r="AA190" s="16"/>
      <c r="AB190" s="165"/>
      <c r="BN190" s="24"/>
      <c r="BO190" s="16"/>
    </row>
    <row r="191" spans="1:67" ht="17.25" customHeight="1">
      <c r="A191" s="16"/>
      <c r="B191" s="16"/>
      <c r="C191" s="61"/>
      <c r="D191" s="61"/>
      <c r="E191" s="61"/>
      <c r="F191" s="61"/>
      <c r="G191" s="61"/>
      <c r="H191" s="14"/>
      <c r="I191" s="487" t="s">
        <v>121</v>
      </c>
      <c r="J191" s="488"/>
      <c r="K191" s="488"/>
      <c r="L191" s="488"/>
      <c r="M191" s="488"/>
      <c r="N191" s="489"/>
      <c r="O191" s="484"/>
      <c r="P191" s="484"/>
      <c r="Q191" s="484"/>
      <c r="R191" s="484"/>
      <c r="S191" s="486"/>
      <c r="T191" s="14"/>
      <c r="U191" s="14"/>
      <c r="V191" s="14"/>
      <c r="W191" s="14"/>
      <c r="X191" s="14"/>
      <c r="Y191" s="14"/>
      <c r="Z191" s="14"/>
      <c r="AA191" s="16"/>
      <c r="AB191" s="165"/>
      <c r="BN191" s="24"/>
      <c r="BO191" s="16"/>
    </row>
    <row r="192" spans="1:67" ht="17.25" customHeight="1">
      <c r="A192" s="16"/>
      <c r="B192" s="16"/>
      <c r="C192" s="61"/>
      <c r="D192" s="61"/>
      <c r="E192" s="61"/>
      <c r="F192" s="61"/>
      <c r="G192" s="61"/>
      <c r="H192" s="14"/>
      <c r="I192" s="640" t="s">
        <v>71</v>
      </c>
      <c r="J192" s="641"/>
      <c r="K192" s="641"/>
      <c r="L192" s="641"/>
      <c r="M192" s="641"/>
      <c r="N192" s="642"/>
      <c r="O192" s="441">
        <f>O185*60</f>
        <v>16</v>
      </c>
      <c r="P192" s="442"/>
      <c r="Q192" s="442"/>
      <c r="R192" s="442"/>
      <c r="S192" s="77" t="s">
        <v>116</v>
      </c>
      <c r="T192" s="14"/>
      <c r="U192" s="14"/>
      <c r="V192" s="14"/>
      <c r="W192" s="14"/>
      <c r="X192" s="14"/>
      <c r="Y192" s="14"/>
      <c r="Z192" s="14"/>
      <c r="AA192" s="16"/>
      <c r="AB192" s="165"/>
      <c r="BN192" s="24"/>
      <c r="BO192" s="16"/>
    </row>
    <row r="193" spans="1:67" ht="17.25" customHeight="1" thickBot="1">
      <c r="A193" s="16"/>
      <c r="B193" s="16"/>
      <c r="C193" s="61"/>
      <c r="D193" s="61"/>
      <c r="E193" s="61"/>
      <c r="F193" s="61"/>
      <c r="G193" s="61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6"/>
      <c r="T193" s="16"/>
      <c r="U193" s="16"/>
      <c r="V193" s="16"/>
      <c r="W193" s="16"/>
      <c r="X193" s="16"/>
      <c r="Y193" s="16"/>
      <c r="Z193" s="16"/>
      <c r="AA193" s="16"/>
      <c r="AB193" s="165"/>
      <c r="BN193" s="24"/>
      <c r="BO193" s="16"/>
    </row>
    <row r="194" spans="1:67" ht="17.25" customHeight="1" thickTop="1" thickBot="1">
      <c r="A194" s="16"/>
      <c r="B194" s="16"/>
      <c r="C194" s="61"/>
      <c r="D194" s="61"/>
      <c r="E194" s="61"/>
      <c r="F194" s="61"/>
      <c r="G194" s="61"/>
      <c r="H194" s="436" t="s">
        <v>153</v>
      </c>
      <c r="I194" s="437"/>
      <c r="J194" s="437"/>
      <c r="K194" s="437"/>
      <c r="L194" s="437"/>
      <c r="M194" s="437"/>
      <c r="N194" s="438"/>
      <c r="O194" s="439">
        <f>O171-O181+O176+O185</f>
        <v>67.147622184360216</v>
      </c>
      <c r="P194" s="329"/>
      <c r="Q194" s="329"/>
      <c r="R194" s="329"/>
      <c r="S194" s="16" t="s">
        <v>54</v>
      </c>
      <c r="T194" s="16"/>
      <c r="U194" s="450" t="str" cm="1">
        <f t="array" ref="U194">angleDecimal2Txt(O194)</f>
        <v>+67°08.85 (+67.1476) [+67°08'51.43]</v>
      </c>
      <c r="V194" s="451"/>
      <c r="W194" s="451"/>
      <c r="X194" s="451"/>
      <c r="Y194" s="451"/>
      <c r="Z194" s="337"/>
      <c r="AA194" s="16"/>
      <c r="AB194" s="165"/>
      <c r="BN194" s="24"/>
      <c r="BO194" s="16"/>
    </row>
    <row r="195" spans="1:67" ht="17.25" customHeight="1" thickTop="1">
      <c r="A195" s="16"/>
      <c r="B195" s="16"/>
      <c r="C195" s="61"/>
      <c r="D195" s="61"/>
      <c r="E195" s="61"/>
      <c r="F195" s="61"/>
      <c r="G195" s="61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5"/>
      <c r="BN195" s="24"/>
      <c r="BO195" s="16"/>
    </row>
    <row r="196" spans="1:67" ht="17.25" customHeight="1">
      <c r="A196" s="16"/>
      <c r="B196" s="16"/>
      <c r="C196" s="61"/>
      <c r="D196" s="61"/>
      <c r="E196" s="61"/>
      <c r="F196" s="440" t="s">
        <v>63</v>
      </c>
      <c r="G196" s="440"/>
      <c r="H196" s="440"/>
      <c r="I196" s="440"/>
      <c r="J196" s="463" t="str">
        <f>IF(G165=AD165,O204,"---")</f>
        <v>---</v>
      </c>
      <c r="K196" s="516"/>
      <c r="L196" s="439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6"/>
      <c r="AB196" s="165"/>
      <c r="BN196" s="24"/>
      <c r="BO196" s="16"/>
    </row>
    <row r="197" spans="1:67" ht="17.25" customHeight="1">
      <c r="A197" s="16"/>
      <c r="B197" s="16"/>
      <c r="C197" s="61"/>
      <c r="D197" s="61"/>
      <c r="E197" s="61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5"/>
      <c r="BN197" s="24"/>
      <c r="BO197" s="16"/>
    </row>
    <row r="198" spans="1:67" ht="17.25" customHeight="1">
      <c r="A198" s="16"/>
      <c r="B198" s="16"/>
      <c r="C198" s="61"/>
      <c r="D198" s="61"/>
      <c r="E198" s="61"/>
      <c r="M198" s="16"/>
      <c r="N198" s="16"/>
      <c r="O198" s="16"/>
      <c r="P198" s="16"/>
      <c r="Q198" s="16"/>
      <c r="R198" s="16"/>
      <c r="S198" s="16"/>
      <c r="T198" s="113" t="s">
        <v>84</v>
      </c>
      <c r="U198" s="415" t="s">
        <v>33</v>
      </c>
      <c r="V198" s="415"/>
      <c r="W198" s="16"/>
      <c r="X198" s="16"/>
      <c r="Y198" s="16"/>
      <c r="Z198" s="16"/>
      <c r="AA198" s="16"/>
      <c r="AB198" s="165"/>
      <c r="BN198" s="24"/>
      <c r="BO198" s="16"/>
    </row>
    <row r="199" spans="1:67" ht="17.25" customHeight="1">
      <c r="A199" s="16"/>
      <c r="B199" s="16"/>
      <c r="C199" s="61"/>
      <c r="D199" s="61"/>
      <c r="E199" s="61"/>
      <c r="F199" s="61"/>
      <c r="G199" s="61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14" t="s">
        <v>80</v>
      </c>
      <c r="U199" s="415" t="s">
        <v>82</v>
      </c>
      <c r="V199" s="415"/>
      <c r="W199" s="16"/>
      <c r="X199" s="16"/>
      <c r="Y199" s="16"/>
      <c r="Z199" s="16"/>
      <c r="AA199" s="16"/>
      <c r="AB199" s="165"/>
      <c r="BN199" s="24"/>
      <c r="BO199" s="16"/>
    </row>
    <row r="200" spans="1:67" ht="17.25" customHeight="1">
      <c r="A200" s="16"/>
      <c r="B200" s="16"/>
      <c r="C200" s="61"/>
      <c r="D200" s="61"/>
      <c r="E200" s="61"/>
      <c r="F200" s="61"/>
      <c r="G200" s="61"/>
      <c r="H200" s="16" t="s">
        <v>72</v>
      </c>
      <c r="I200" s="40" t="s">
        <v>74</v>
      </c>
      <c r="J200" s="16" t="s">
        <v>60</v>
      </c>
      <c r="K200" s="417" t="s">
        <v>77</v>
      </c>
      <c r="L200" s="16" t="s">
        <v>59</v>
      </c>
      <c r="M200" s="16"/>
      <c r="N200" s="417" t="s">
        <v>79</v>
      </c>
      <c r="O200" s="40" t="s">
        <v>246</v>
      </c>
      <c r="P200" s="16"/>
      <c r="Q200" s="417" t="s">
        <v>79</v>
      </c>
      <c r="R200" s="16" t="s">
        <v>247</v>
      </c>
      <c r="S200" s="16"/>
      <c r="T200" s="112" t="s">
        <v>81</v>
      </c>
      <c r="U200" s="416" t="s">
        <v>83</v>
      </c>
      <c r="V200" s="416"/>
      <c r="W200" s="16"/>
      <c r="X200" s="16"/>
      <c r="Y200" s="16"/>
      <c r="AB200" s="165"/>
      <c r="BN200" s="24"/>
      <c r="BO200" s="16"/>
    </row>
    <row r="201" spans="1:67" ht="17.25" customHeight="1" thickBot="1">
      <c r="A201" s="16"/>
      <c r="B201" s="16"/>
      <c r="C201" s="61"/>
      <c r="D201" s="61"/>
      <c r="E201" s="61"/>
      <c r="F201" s="61"/>
      <c r="G201" s="61"/>
      <c r="H201" s="16"/>
      <c r="I201" s="40"/>
      <c r="J201" s="42">
        <f>O167</f>
        <v>66.95</v>
      </c>
      <c r="K201" s="417"/>
      <c r="L201" s="443">
        <f>O168</f>
        <v>2.1666666666666667E-2</v>
      </c>
      <c r="M201" s="444"/>
      <c r="N201" s="417"/>
      <c r="O201" s="447" t="s">
        <v>157</v>
      </c>
      <c r="P201" s="448"/>
      <c r="Q201" s="417"/>
      <c r="R201" s="115" t="s">
        <v>81</v>
      </c>
      <c r="S201" s="16"/>
      <c r="T201" s="16"/>
      <c r="U201" s="16"/>
      <c r="AB201" s="165"/>
      <c r="BN201" s="24"/>
      <c r="BO201" s="16"/>
    </row>
    <row r="202" spans="1:67" ht="17.25" customHeight="1" thickTop="1" thickBot="1">
      <c r="A202" s="16"/>
      <c r="B202" s="16"/>
      <c r="C202" s="61"/>
      <c r="D202" s="61"/>
      <c r="E202" s="61"/>
      <c r="F202" s="61"/>
      <c r="G202" s="61"/>
      <c r="H202" s="16"/>
      <c r="I202" s="40"/>
      <c r="K202" s="40" t="s">
        <v>245</v>
      </c>
      <c r="L202" s="445" cm="1">
        <f t="array" ref="L202">angleConvert2Decimal(L201)</f>
        <v>2.1666666666666699E-2</v>
      </c>
      <c r="M202" s="446"/>
      <c r="N202" s="16"/>
      <c r="O202" s="570" cm="1">
        <f t="array" ref="O202">angleConvert2Decimal(O201)</f>
        <v>0.17166666666666669</v>
      </c>
      <c r="P202" s="571"/>
      <c r="Q202" s="11"/>
      <c r="R202" s="106" cm="1">
        <f t="array" ref="R202">angleConvert2Decimal(R201)</f>
        <v>-0.53333333333333333</v>
      </c>
      <c r="T202" s="7" t="s">
        <v>111</v>
      </c>
      <c r="U202" s="7"/>
      <c r="V202" s="7">
        <f>R202+O202</f>
        <v>-0.36166666666666664</v>
      </c>
      <c r="W202" s="450" t="str" cm="1">
        <f t="array" ref="W202">angleDecimal2Txt(V202)</f>
        <v>-00°21.69 (-00.3616) [-00°21'42.00]</v>
      </c>
      <c r="X202" s="451"/>
      <c r="Y202" s="451"/>
      <c r="Z202" s="451"/>
      <c r="AA202" s="337"/>
      <c r="AB202" s="165"/>
      <c r="BN202" s="24"/>
      <c r="BO202" s="16"/>
    </row>
    <row r="203" spans="1:67" ht="17.25" customHeight="1" thickTop="1" thickBot="1">
      <c r="A203" s="16"/>
      <c r="B203" s="16"/>
      <c r="C203" s="61"/>
      <c r="D203" s="61"/>
      <c r="E203" s="61"/>
      <c r="F203" s="61"/>
      <c r="G203" s="61"/>
      <c r="H203" s="16"/>
      <c r="I203" s="40"/>
      <c r="J203" s="16"/>
      <c r="K203" s="40"/>
      <c r="L203" s="16"/>
      <c r="M203" s="16"/>
      <c r="N203" s="40"/>
      <c r="O203" s="16"/>
      <c r="P203" s="16"/>
      <c r="Q203" s="40"/>
      <c r="R203" s="45"/>
      <c r="S203" s="16"/>
      <c r="T203" s="16"/>
      <c r="U203" s="16"/>
      <c r="V203" s="16"/>
      <c r="W203" s="16"/>
      <c r="X203" s="16"/>
      <c r="Y203" s="16"/>
      <c r="Z203" s="16"/>
      <c r="AA203" s="16"/>
      <c r="AB203" s="165"/>
      <c r="BN203" s="24"/>
      <c r="BO203" s="16"/>
    </row>
    <row r="204" spans="1:67" ht="17.25" customHeight="1" thickTop="1" thickBot="1">
      <c r="A204" s="16"/>
      <c r="B204" s="16"/>
      <c r="C204" s="61"/>
      <c r="D204" s="61"/>
      <c r="E204" s="61"/>
      <c r="F204" s="61"/>
      <c r="G204" s="61"/>
      <c r="H204" s="436" t="s">
        <v>156</v>
      </c>
      <c r="I204" s="437"/>
      <c r="J204" s="437"/>
      <c r="K204" s="437"/>
      <c r="L204" s="437"/>
      <c r="M204" s="437"/>
      <c r="N204" s="438"/>
      <c r="O204" s="439">
        <f>J201-L202+O202+R202</f>
        <v>66.566666666666677</v>
      </c>
      <c r="P204" s="329"/>
      <c r="Q204" s="329"/>
      <c r="R204" s="329"/>
      <c r="S204" s="16" t="s">
        <v>54</v>
      </c>
      <c r="T204" s="16"/>
      <c r="U204" s="450" t="str" cm="1">
        <f t="array" ref="U204">angleDecimal2Txt(O204)</f>
        <v>+66°34.00 (+66.5666) [+66°34'00.00]</v>
      </c>
      <c r="V204" s="451"/>
      <c r="W204" s="451"/>
      <c r="X204" s="451"/>
      <c r="Y204" s="451"/>
      <c r="Z204" s="337"/>
      <c r="AA204" s="16"/>
      <c r="AB204" s="165"/>
      <c r="BN204" s="24"/>
      <c r="BO204" s="16"/>
    </row>
    <row r="205" spans="1:67" ht="17.25" customHeight="1" thickTop="1" thickBot="1">
      <c r="A205" s="16"/>
      <c r="B205" s="16"/>
      <c r="C205" s="61"/>
      <c r="D205" s="46"/>
      <c r="E205" s="61"/>
      <c r="F205" s="61"/>
      <c r="G205" s="61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5"/>
      <c r="BN205" s="24"/>
      <c r="BO205" s="16"/>
    </row>
    <row r="206" spans="1:67" ht="17.25" customHeight="1" thickBot="1">
      <c r="A206" s="16"/>
      <c r="B206" s="661" t="s">
        <v>273</v>
      </c>
      <c r="C206" s="662"/>
      <c r="D206" s="662"/>
      <c r="E206" s="662"/>
      <c r="F206" s="662"/>
      <c r="G206" s="662"/>
      <c r="H206" s="662"/>
      <c r="I206" s="662"/>
      <c r="J206" s="662"/>
      <c r="K206" s="662"/>
      <c r="L206" s="662"/>
      <c r="M206" s="662"/>
      <c r="N206" s="662"/>
      <c r="O206" s="662"/>
      <c r="P206" s="662"/>
      <c r="Q206" s="662"/>
      <c r="R206" s="662"/>
      <c r="S206" s="662"/>
      <c r="T206" s="662"/>
      <c r="U206" s="662"/>
      <c r="V206" s="662"/>
      <c r="W206" s="662"/>
      <c r="X206" s="662"/>
      <c r="Y206" s="662"/>
      <c r="Z206" s="662"/>
      <c r="AA206" s="662"/>
      <c r="AB206" s="167"/>
      <c r="BN206" s="24"/>
      <c r="BO206" s="16"/>
    </row>
    <row r="207" spans="1:67" ht="17.2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5"/>
      <c r="BN207" s="24"/>
      <c r="BO207" s="16"/>
    </row>
    <row r="208" spans="1:67" ht="17.25" customHeight="1">
      <c r="A208" s="16"/>
      <c r="B208" s="16"/>
      <c r="C208" s="14"/>
      <c r="D208" s="14"/>
      <c r="E208" s="418" t="s">
        <v>279</v>
      </c>
      <c r="F208" s="419"/>
      <c r="G208" s="419"/>
      <c r="H208" s="419"/>
      <c r="I208" s="553">
        <f>90-Q209</f>
        <v>22.852377815639784</v>
      </c>
      <c r="J208" s="345"/>
      <c r="K208" s="345"/>
      <c r="L208" s="345"/>
      <c r="M208" s="346"/>
      <c r="N208" s="16"/>
      <c r="O208" s="653" t="s">
        <v>274</v>
      </c>
      <c r="P208" s="654"/>
      <c r="Q208" s="655"/>
      <c r="R208" s="655"/>
      <c r="S208" s="655"/>
      <c r="T208" s="656"/>
      <c r="AB208" s="165"/>
      <c r="BN208" s="24"/>
      <c r="BO208" s="16"/>
    </row>
    <row r="209" spans="1:67" ht="17.25" customHeight="1" thickBot="1">
      <c r="A209" s="16"/>
      <c r="B209" s="16"/>
      <c r="C209" s="14"/>
      <c r="D209" s="14"/>
      <c r="E209" s="421"/>
      <c r="F209" s="422"/>
      <c r="G209" s="422"/>
      <c r="H209" s="422"/>
      <c r="I209" s="657"/>
      <c r="J209" s="658"/>
      <c r="K209" s="658"/>
      <c r="L209" s="658"/>
      <c r="M209" s="659"/>
      <c r="N209" s="48" t="s">
        <v>125</v>
      </c>
      <c r="O209" s="646" t="s">
        <v>72</v>
      </c>
      <c r="P209" s="647"/>
      <c r="Q209" s="357">
        <f>F164</f>
        <v>67.147622184360216</v>
      </c>
      <c r="R209" s="358"/>
      <c r="S209" s="358"/>
      <c r="T209" s="127" t="s">
        <v>54</v>
      </c>
      <c r="Y209" s="16"/>
      <c r="Z209" s="16"/>
      <c r="AA209" s="16"/>
      <c r="AB209" s="165"/>
      <c r="BN209" s="24"/>
      <c r="BO209" s="16"/>
    </row>
    <row r="210" spans="1:67" ht="17.25" customHeight="1" thickTop="1" thickBot="1">
      <c r="A210" s="16"/>
      <c r="B210" s="16"/>
      <c r="C210" s="14"/>
      <c r="D210" s="14"/>
      <c r="E210" s="424"/>
      <c r="F210" s="425"/>
      <c r="G210" s="425"/>
      <c r="H210" s="425"/>
      <c r="I210" s="450" t="str" cm="1">
        <f t="array" ref="I210">angleDecimal2Txt(I208)</f>
        <v>+22°51.14 (+22.8523) [+22°51'08.56]</v>
      </c>
      <c r="J210" s="451"/>
      <c r="K210" s="451"/>
      <c r="L210" s="451"/>
      <c r="M210" s="337"/>
      <c r="N210" s="16"/>
      <c r="O210" s="646" t="s">
        <v>86</v>
      </c>
      <c r="P210" s="647"/>
      <c r="Q210" s="357">
        <f>F146</f>
        <v>23.13413311648976</v>
      </c>
      <c r="R210" s="358"/>
      <c r="S210" s="358"/>
      <c r="T210" s="127" t="s">
        <v>54</v>
      </c>
      <c r="Y210" s="16"/>
      <c r="Z210" s="16"/>
      <c r="AA210" s="16"/>
      <c r="AB210" s="165"/>
      <c r="BN210" s="24"/>
      <c r="BO210" s="16"/>
    </row>
    <row r="211" spans="1:67" ht="17.25" customHeight="1" thickTop="1">
      <c r="A211" s="16"/>
      <c r="B211" s="16"/>
      <c r="C211" s="14"/>
      <c r="D211" s="14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AA211" s="16"/>
      <c r="AB211" s="165"/>
      <c r="BN211" s="24"/>
      <c r="BO211" s="16"/>
    </row>
    <row r="212" spans="1:67" ht="17.25" customHeight="1">
      <c r="A212" s="16"/>
      <c r="B212" s="16"/>
      <c r="C212" s="14"/>
      <c r="D212" s="14"/>
      <c r="AB212" s="165"/>
      <c r="BN212" s="24"/>
      <c r="BO212" s="16"/>
    </row>
    <row r="213" spans="1:67" ht="17.25" customHeight="1">
      <c r="A213" s="16"/>
      <c r="B213" s="16"/>
      <c r="C213" s="14"/>
      <c r="D213" s="14"/>
      <c r="E213" s="663" t="s">
        <v>228</v>
      </c>
      <c r="F213" s="664"/>
      <c r="G213" s="664"/>
      <c r="H213" s="664"/>
      <c r="I213" s="664"/>
      <c r="J213" s="664"/>
      <c r="K213" s="664"/>
      <c r="L213" s="664"/>
      <c r="M213" s="664"/>
      <c r="N213" s="664"/>
      <c r="O213" s="665"/>
      <c r="AB213" s="165"/>
      <c r="BN213" s="24"/>
      <c r="BO213" s="16"/>
    </row>
    <row r="214" spans="1:67" ht="17.25" customHeight="1">
      <c r="A214" s="16"/>
      <c r="B214" s="16"/>
      <c r="C214" s="14"/>
      <c r="D214" s="14"/>
      <c r="E214" s="361"/>
      <c r="F214" s="361" t="s">
        <v>230</v>
      </c>
      <c r="G214" s="361"/>
      <c r="H214" s="361"/>
      <c r="I214" s="361"/>
      <c r="J214" s="361"/>
      <c r="K214" s="650" t="s">
        <v>232</v>
      </c>
      <c r="L214" s="651"/>
      <c r="M214" s="651"/>
      <c r="N214" s="651"/>
      <c r="O214" s="652"/>
      <c r="Q214" s="397" t="s">
        <v>87</v>
      </c>
      <c r="R214" s="397"/>
      <c r="S214" s="648">
        <f>F142</f>
        <v>46.1</v>
      </c>
      <c r="T214" s="648"/>
      <c r="U214" s="330" t="str">
        <f>CONCATENATE("Lat et Dec - Meme sens ?: ",AC214)</f>
        <v>Lat et Dec - Meme sens ?: TRUE</v>
      </c>
      <c r="V214" s="330"/>
      <c r="W214" s="330"/>
      <c r="X214" s="330"/>
      <c r="Y214" s="16"/>
      <c r="AB214" s="165"/>
      <c r="AC214" t="b">
        <f>IF(S214*S215&gt;0,TRUE,FALSE)</f>
        <v>1</v>
      </c>
      <c r="BN214" s="24"/>
      <c r="BO214" s="16"/>
    </row>
    <row r="215" spans="1:67" ht="17.25" customHeight="1">
      <c r="A215" s="16"/>
      <c r="B215" s="16"/>
      <c r="C215" s="14"/>
      <c r="D215" s="14"/>
      <c r="E215" s="361"/>
      <c r="F215" s="361" t="s">
        <v>231</v>
      </c>
      <c r="G215" s="361"/>
      <c r="H215" s="361"/>
      <c r="I215" s="361"/>
      <c r="J215" s="361"/>
      <c r="K215" s="650" t="s">
        <v>233</v>
      </c>
      <c r="L215" s="651"/>
      <c r="M215" s="651"/>
      <c r="N215" s="651"/>
      <c r="O215" s="652"/>
      <c r="Q215" s="397" t="s">
        <v>86</v>
      </c>
      <c r="R215" s="397"/>
      <c r="S215" s="648">
        <f>F146</f>
        <v>23.13413311648976</v>
      </c>
      <c r="T215" s="648"/>
      <c r="U215" s="330" t="str">
        <f>CONCATENATE("Lat &gt; Dec  ? : ",AC215)</f>
        <v>Lat &gt; Dec  ? : TRUE</v>
      </c>
      <c r="V215" s="330"/>
      <c r="W215" s="330"/>
      <c r="X215" s="330"/>
      <c r="Y215" s="16"/>
      <c r="AB215" s="165"/>
      <c r="AC215" s="96" t="b">
        <f>IF(ABS(S214)&gt;ABS(S215),TRUE, FALSE)</f>
        <v>1</v>
      </c>
      <c r="BN215" s="24"/>
      <c r="BO215" s="16"/>
    </row>
    <row r="216" spans="1:67" ht="17.25" customHeight="1">
      <c r="A216" s="16"/>
      <c r="B216" s="16"/>
      <c r="C216" s="16"/>
      <c r="D216" s="16"/>
      <c r="E216" s="649" t="s">
        <v>229</v>
      </c>
      <c r="F216" s="649"/>
      <c r="G216" s="649"/>
      <c r="H216" s="649"/>
      <c r="I216" s="649"/>
      <c r="J216" s="649"/>
      <c r="K216" s="650" t="s">
        <v>234</v>
      </c>
      <c r="L216" s="651"/>
      <c r="M216" s="651"/>
      <c r="N216" s="651"/>
      <c r="O216" s="652"/>
      <c r="AB216" s="165"/>
      <c r="AC216" t="s">
        <v>276</v>
      </c>
      <c r="AD216" s="105">
        <f>I208+S215</f>
        <v>45.986510932129548</v>
      </c>
      <c r="BN216" s="24"/>
      <c r="BO216" s="16"/>
    </row>
    <row r="217" spans="1:67" ht="17.25" customHeight="1">
      <c r="A217" s="16"/>
      <c r="B217" s="16"/>
      <c r="C217" s="61"/>
      <c r="D217" s="61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AB217" s="165"/>
      <c r="AC217" t="s">
        <v>277</v>
      </c>
      <c r="AD217" s="105">
        <f>S215-I208</f>
        <v>0.28175530084997646</v>
      </c>
      <c r="BN217" s="24"/>
      <c r="BO217" s="16"/>
    </row>
    <row r="218" spans="1:67" ht="17.25" customHeight="1" thickBot="1">
      <c r="A218" s="16"/>
      <c r="B218" s="16"/>
      <c r="C218" s="61"/>
      <c r="D218" s="61"/>
      <c r="E218" s="61"/>
      <c r="F218" s="61"/>
      <c r="G218" s="61"/>
      <c r="H218" s="16"/>
      <c r="I218" s="16"/>
      <c r="J218" s="16"/>
      <c r="K218" s="16"/>
      <c r="L218" s="16"/>
      <c r="AB218" s="165"/>
      <c r="AC218" t="s">
        <v>278</v>
      </c>
      <c r="AD218" s="105">
        <f>I208-S215</f>
        <v>-0.28175530084997646</v>
      </c>
      <c r="BN218" s="24"/>
      <c r="BO218" s="16"/>
    </row>
    <row r="219" spans="1:67" ht="17.25" customHeight="1" thickTop="1" thickBot="1">
      <c r="A219" s="16"/>
      <c r="B219" s="16"/>
      <c r="C219" s="61"/>
      <c r="D219" s="61"/>
      <c r="E219" s="61"/>
      <c r="F219" s="61"/>
      <c r="G219" s="61"/>
      <c r="H219" s="321" t="s">
        <v>227</v>
      </c>
      <c r="I219" s="322"/>
      <c r="J219" s="322"/>
      <c r="K219" s="322"/>
      <c r="L219" s="660"/>
      <c r="M219" s="638">
        <f>AC219</f>
        <v>45.986510932129548</v>
      </c>
      <c r="N219" s="639"/>
      <c r="O219" s="50" t="s">
        <v>28</v>
      </c>
      <c r="P219" s="337" t="str">
        <f>latitudeDecimal2Txt(M219)</f>
        <v>N 45°59.19 (N 45.9865) [N 45°59'11.43]</v>
      </c>
      <c r="Q219" s="327"/>
      <c r="R219" s="327"/>
      <c r="S219" s="327"/>
      <c r="T219" s="327"/>
      <c r="U219" s="327"/>
      <c r="AB219" s="165"/>
      <c r="AC219">
        <f>IF(AC214,IF(AC215,AD216,AD217),AD218)</f>
        <v>45.986510932129548</v>
      </c>
      <c r="BN219" s="24"/>
      <c r="BO219" s="16"/>
    </row>
    <row r="220" spans="1:67" ht="17.25" customHeight="1" thickTop="1" thickBot="1">
      <c r="A220" s="14"/>
      <c r="B220" s="14"/>
      <c r="C220" s="14"/>
      <c r="D220" s="14"/>
      <c r="H220" s="321" t="s">
        <v>182</v>
      </c>
      <c r="I220" s="322"/>
      <c r="J220" s="322"/>
      <c r="K220" s="322"/>
      <c r="L220" s="660"/>
      <c r="M220" s="638">
        <f>Q109</f>
        <v>-0.54888888888888765</v>
      </c>
      <c r="N220" s="639"/>
      <c r="O220" s="50" t="s">
        <v>28</v>
      </c>
      <c r="P220" s="337" t="str">
        <f>longitudeDecimal2Txt(M220)</f>
        <v>W 00°32.93 (W 00.5488) [W 00°32'55.99]</v>
      </c>
      <c r="Q220" s="327"/>
      <c r="R220" s="327"/>
      <c r="S220" s="327"/>
      <c r="T220" s="327"/>
      <c r="U220" s="327"/>
      <c r="V220" s="16"/>
      <c r="W220" s="16"/>
      <c r="X220" s="16"/>
      <c r="Y220" s="16"/>
      <c r="Z220" s="16"/>
      <c r="AA220" s="16"/>
      <c r="AB220" s="165"/>
      <c r="BN220" s="24"/>
      <c r="BO220" s="16"/>
    </row>
    <row r="221" spans="1:67" s="16" customFormat="1" ht="17.25" customHeight="1" thickTop="1">
      <c r="C221" s="61"/>
      <c r="D221" s="61"/>
      <c r="E221" s="61"/>
      <c r="F221" s="61"/>
      <c r="G221" s="61"/>
      <c r="AB221" s="165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 s="24"/>
    </row>
    <row r="222" spans="1:67" ht="17.25" customHeight="1" thickBot="1">
      <c r="A222" s="16"/>
      <c r="B222" s="16"/>
      <c r="C222" s="61"/>
      <c r="D222" s="61"/>
      <c r="E222" s="61"/>
      <c r="F222" s="61"/>
      <c r="G222" s="61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5"/>
      <c r="BN222" s="24"/>
      <c r="BO222" s="16"/>
    </row>
    <row r="223" spans="1:67" ht="17.25" customHeight="1" thickBot="1">
      <c r="A223" s="16"/>
      <c r="B223" s="25" t="s">
        <v>248</v>
      </c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167"/>
      <c r="BN223" s="24"/>
      <c r="BO223" s="16"/>
    </row>
    <row r="224" spans="1:67" s="16" customFormat="1" ht="17.25" customHeight="1">
      <c r="C224" s="61"/>
      <c r="D224" s="61"/>
      <c r="E224" s="61"/>
      <c r="F224" s="61"/>
      <c r="G224" s="61"/>
      <c r="AB224" s="165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 s="24"/>
    </row>
    <row r="225" spans="1:67" ht="17.25" customHeight="1" thickBot="1">
      <c r="A225" s="16"/>
      <c r="B225" s="16"/>
      <c r="C225" s="356" t="s">
        <v>249</v>
      </c>
      <c r="D225" s="356"/>
      <c r="E225" s="356"/>
      <c r="F225" s="356"/>
      <c r="G225" s="116"/>
      <c r="H225" s="356" t="s">
        <v>250</v>
      </c>
      <c r="I225" s="356"/>
      <c r="J225" s="356"/>
      <c r="K225" s="16"/>
      <c r="L225" s="360" t="s">
        <v>239</v>
      </c>
      <c r="M225" s="360"/>
      <c r="N225" s="360"/>
      <c r="O225" s="16"/>
      <c r="P225" s="16"/>
      <c r="Q225" s="325" t="s">
        <v>251</v>
      </c>
      <c r="R225" s="325"/>
      <c r="S225" s="325"/>
      <c r="T225" s="325"/>
      <c r="U225" s="102"/>
      <c r="V225" s="16"/>
      <c r="W225" s="16"/>
      <c r="X225" s="16"/>
      <c r="Y225" s="16"/>
      <c r="Z225" s="16"/>
      <c r="AA225" s="16"/>
      <c r="AB225" s="165"/>
      <c r="AD225" s="105"/>
      <c r="BN225" s="24"/>
      <c r="BO225" s="16"/>
    </row>
    <row r="226" spans="1:67" ht="17.25" customHeight="1" thickTop="1" thickBot="1">
      <c r="A226" s="16"/>
      <c r="B226" s="16"/>
      <c r="C226" s="61"/>
      <c r="D226" s="150" t="s">
        <v>41</v>
      </c>
      <c r="E226" s="361">
        <f>M219</f>
        <v>45.986510932129548</v>
      </c>
      <c r="F226" s="361"/>
      <c r="G226" s="61"/>
      <c r="H226" s="16"/>
      <c r="I226" s="361">
        <f>V213</f>
        <v>0</v>
      </c>
      <c r="J226" s="361"/>
      <c r="K226" s="16" t="s">
        <v>112</v>
      </c>
      <c r="L226" s="16"/>
      <c r="M226" s="361">
        <v>180</v>
      </c>
      <c r="N226" s="361"/>
      <c r="O226" s="16"/>
      <c r="P226" s="16"/>
      <c r="Q226" s="16"/>
      <c r="R226" s="151" t="s">
        <v>41</v>
      </c>
      <c r="S226" s="323">
        <f>E226</f>
        <v>45.986510932129548</v>
      </c>
      <c r="T226" s="323"/>
      <c r="U226" s="643" t="str" cm="1">
        <f t="array" ref="U226">latitudeDecimal2Txt(S226)</f>
        <v>N 45°59.19 (N 45.9865) [N 45°59'11.43]</v>
      </c>
      <c r="V226" s="644"/>
      <c r="W226" s="644"/>
      <c r="X226" s="644"/>
      <c r="Y226" s="644"/>
      <c r="Z226" s="645"/>
      <c r="AA226" s="16"/>
      <c r="AB226" s="165"/>
      <c r="AD226" s="105"/>
      <c r="BN226" s="24"/>
      <c r="BO226" s="16"/>
    </row>
    <row r="227" spans="1:67" ht="17.25" customHeight="1" thickTop="1">
      <c r="A227" s="16"/>
      <c r="B227" s="16"/>
      <c r="C227" s="61"/>
      <c r="D227" s="150" t="s">
        <v>42</v>
      </c>
      <c r="E227" s="361">
        <f>M220</f>
        <v>-0.54888888888888765</v>
      </c>
      <c r="F227" s="361"/>
      <c r="G227" s="61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5"/>
      <c r="BN227" s="24"/>
      <c r="BO227" s="16"/>
    </row>
    <row r="228" spans="1:67" ht="17.25" customHeight="1">
      <c r="A228" s="16"/>
      <c r="B228" s="16"/>
      <c r="F228" s="61"/>
      <c r="G228" s="61"/>
      <c r="H228" s="16"/>
      <c r="I228" s="16"/>
      <c r="J228" s="16"/>
      <c r="K228" s="16"/>
      <c r="L228" s="16"/>
      <c r="M228" s="16"/>
      <c r="N228" s="16"/>
      <c r="O228" s="16"/>
      <c r="P228" s="16"/>
      <c r="Q228" s="325" t="s">
        <v>252</v>
      </c>
      <c r="R228" s="325"/>
      <c r="S228" s="325"/>
      <c r="T228" s="16"/>
      <c r="U228" s="16"/>
      <c r="V228" s="16"/>
      <c r="W228" s="16"/>
      <c r="X228" s="16"/>
      <c r="Y228" s="16"/>
      <c r="Z228" s="16"/>
      <c r="AA228" s="16"/>
      <c r="AB228" s="165"/>
      <c r="BN228" s="24"/>
      <c r="BO228" s="16"/>
    </row>
    <row r="229" spans="1:67" ht="17.25" customHeight="1">
      <c r="A229" s="16"/>
      <c r="B229" s="16"/>
      <c r="C229" s="61"/>
      <c r="D229" s="61"/>
      <c r="E229" s="61"/>
      <c r="F229" s="61"/>
      <c r="G229" s="61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323">
        <f>M226-90</f>
        <v>90</v>
      </c>
      <c r="S229" s="323"/>
      <c r="T229" s="50" t="s">
        <v>28</v>
      </c>
      <c r="U229" s="16"/>
      <c r="V229" s="16"/>
      <c r="W229" s="16"/>
      <c r="X229" s="16"/>
      <c r="Y229" s="16"/>
      <c r="Z229" s="16"/>
      <c r="AA229" s="16"/>
      <c r="AB229" s="165"/>
      <c r="BN229" s="24"/>
      <c r="BO229" s="16"/>
    </row>
    <row r="230" spans="1:67" ht="17.25" customHeight="1"/>
    <row r="231" spans="1:67" ht="17.25" customHeight="1" thickBot="1"/>
    <row r="232" spans="1:67" ht="17.25" customHeight="1" thickBot="1">
      <c r="B232" s="122" t="s">
        <v>256</v>
      </c>
      <c r="C232" s="123"/>
      <c r="D232" s="123"/>
      <c r="E232" s="123"/>
      <c r="F232" s="123"/>
      <c r="G232" s="123"/>
      <c r="H232" s="123"/>
      <c r="I232" s="123"/>
      <c r="J232" s="123"/>
      <c r="K232" s="123"/>
      <c r="L232" s="123"/>
      <c r="M232" s="123"/>
      <c r="N232" s="123"/>
      <c r="O232" s="123"/>
      <c r="P232" s="123"/>
      <c r="Q232" s="123"/>
      <c r="R232" s="123"/>
      <c r="S232" s="123"/>
      <c r="T232" s="123"/>
      <c r="U232" s="123"/>
      <c r="V232" s="123"/>
      <c r="W232" s="123"/>
      <c r="X232" s="123"/>
      <c r="Y232" s="123"/>
      <c r="Z232" s="123"/>
      <c r="AA232" s="123"/>
    </row>
    <row r="233" spans="1:67" ht="17.25" customHeight="1">
      <c r="AD233" s="105"/>
    </row>
    <row r="234" spans="1:67" ht="17.25" customHeight="1" thickBot="1">
      <c r="C234" s="355" t="s">
        <v>251</v>
      </c>
      <c r="D234" s="355"/>
      <c r="E234" s="355"/>
      <c r="F234" s="355"/>
      <c r="G234" s="102"/>
      <c r="H234" s="16"/>
      <c r="I234" s="16"/>
      <c r="J234" s="16"/>
      <c r="K234" s="16"/>
      <c r="L234" s="16"/>
      <c r="Q234" s="117" t="s">
        <v>257</v>
      </c>
      <c r="R234" s="117"/>
      <c r="S234" s="117"/>
      <c r="T234" s="117"/>
      <c r="U234" s="117"/>
      <c r="V234" s="117"/>
      <c r="W234" s="117"/>
    </row>
    <row r="235" spans="1:67" ht="17.25" customHeight="1" thickTop="1" thickBot="1">
      <c r="D235" s="152" t="s">
        <v>41</v>
      </c>
      <c r="E235" s="354">
        <f>I244</f>
        <v>0</v>
      </c>
      <c r="F235" s="354"/>
      <c r="G235" s="324" t="str" cm="1">
        <f t="array" ref="G235">latitudeDecimal2Txt(E235)</f>
        <v>N 00°00.00 (N 00.0000) [N 00°00'00.00]</v>
      </c>
      <c r="H235" s="324"/>
      <c r="I235" s="324"/>
      <c r="J235" s="324"/>
      <c r="K235" s="324"/>
      <c r="L235" s="324"/>
      <c r="R235" s="151" t="s">
        <v>41</v>
      </c>
      <c r="S235" s="323">
        <f>AG238</f>
        <v>45.986510932129548</v>
      </c>
      <c r="T235" s="323"/>
      <c r="U235" s="324" t="str" cm="1">
        <f t="array" ref="U235">latitudeDecimal2Txt(S235)</f>
        <v>N 45°59.19 (N 45.9865) [N 45°59'11.43]</v>
      </c>
      <c r="V235" s="324"/>
      <c r="W235" s="324"/>
      <c r="X235" s="324"/>
      <c r="Y235" s="324"/>
      <c r="Z235" s="324"/>
      <c r="AC235" s="139" t="s">
        <v>303</v>
      </c>
      <c r="AD235" s="140">
        <f>D239</f>
        <v>30</v>
      </c>
    </row>
    <row r="236" spans="1:67" ht="17.25" customHeight="1" thickTop="1" thickBot="1">
      <c r="D236" s="152" t="s">
        <v>42</v>
      </c>
      <c r="E236" s="354">
        <v>-7</v>
      </c>
      <c r="F236" s="354"/>
      <c r="G236" s="324" t="str" cm="1">
        <f t="array" ref="G236">longitudeDecimal2Txt(E236)</f>
        <v>W 07°00.00 (W 07.0000) [W 07°00'00.00]</v>
      </c>
      <c r="H236" s="324"/>
      <c r="I236" s="324"/>
      <c r="J236" s="324"/>
      <c r="K236" s="324"/>
      <c r="L236" s="324"/>
      <c r="R236" s="151" t="s">
        <v>42</v>
      </c>
      <c r="S236" s="323">
        <f>AG239</f>
        <v>19.55032446575666</v>
      </c>
      <c r="T236" s="323"/>
      <c r="U236" s="324" t="str" cm="1">
        <f t="array" ref="U236">longitudeDecimal2Txt(S236)</f>
        <v>E 19°33.01 (E 19.5503) [E 19°33'01.16]</v>
      </c>
      <c r="V236" s="324"/>
      <c r="W236" s="324"/>
      <c r="X236" s="324"/>
      <c r="Y236" s="324"/>
      <c r="Z236" s="324"/>
      <c r="AC236" s="141" t="s">
        <v>305</v>
      </c>
      <c r="AD236" s="140">
        <f>E235</f>
        <v>0</v>
      </c>
    </row>
    <row r="237" spans="1:67" ht="17.25" customHeight="1" thickTop="1"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AC237" s="139" t="s">
        <v>306</v>
      </c>
      <c r="AD237" s="140">
        <f>E236</f>
        <v>-7</v>
      </c>
    </row>
    <row r="238" spans="1:67" ht="17.25" customHeight="1">
      <c r="C238" s="355" t="s">
        <v>252</v>
      </c>
      <c r="D238" s="355"/>
      <c r="E238" s="355"/>
      <c r="F238" s="121"/>
      <c r="G238" s="16"/>
      <c r="H238" s="16"/>
      <c r="I238" s="16"/>
      <c r="J238" s="16"/>
      <c r="K238" s="16"/>
      <c r="L238" s="16"/>
      <c r="AC238" s="139" t="s">
        <v>258</v>
      </c>
      <c r="AD238" s="139">
        <f>TAN(AD235*Outils!F37) * (1 / COS(AD236*Outils!F37))</f>
        <v>0</v>
      </c>
      <c r="AE238" s="320" t="s">
        <v>309</v>
      </c>
      <c r="AF238" s="320"/>
      <c r="AG238" s="143">
        <f>S226</f>
        <v>45.986510932129548</v>
      </c>
    </row>
    <row r="239" spans="1:67" ht="17.25" customHeight="1">
      <c r="D239" s="354">
        <v>30</v>
      </c>
      <c r="E239" s="354"/>
      <c r="F239" s="153" t="s">
        <v>28</v>
      </c>
      <c r="G239" s="16"/>
      <c r="H239" s="16"/>
      <c r="I239" s="16"/>
      <c r="J239" s="16"/>
      <c r="K239" s="16"/>
      <c r="L239" s="16"/>
      <c r="AC239" s="139" t="s">
        <v>259</v>
      </c>
      <c r="AD239" s="139">
        <f>AD237-AD236*AD238</f>
        <v>-7</v>
      </c>
      <c r="AE239" s="320"/>
      <c r="AF239" s="320"/>
      <c r="AG239" s="142">
        <f>E236+(S226-E235)*TAN(D239*Outils!F4)/COS(Outils!F4*E235)</f>
        <v>19.55032446575666</v>
      </c>
    </row>
    <row r="241" spans="7:20">
      <c r="S241" s="16"/>
      <c r="T241" s="16"/>
    </row>
    <row r="243" spans="7:20" ht="17.25" customHeight="1">
      <c r="G243" s="11"/>
      <c r="P243" s="16"/>
      <c r="Q243" s="16"/>
    </row>
    <row r="244" spans="7:20" ht="17.25" customHeight="1">
      <c r="G244" s="11"/>
    </row>
    <row r="245" spans="7:20">
      <c r="K245" s="16"/>
      <c r="L245" s="16"/>
    </row>
    <row r="246" spans="7:20">
      <c r="K246" s="16"/>
      <c r="L246" s="16"/>
    </row>
  </sheetData>
  <protectedRanges>
    <protectedRange sqref="M117:Y117 M103:Y103" name="Heure visee" securityDescriptor="O:WDG:WDD:(A;;CC;;;WD)"/>
  </protectedRanges>
  <dataConsolidate link="1"/>
  <mergeCells count="420">
    <mergeCell ref="P126:X126"/>
    <mergeCell ref="C127:I127"/>
    <mergeCell ref="J127:L127"/>
    <mergeCell ref="M127:O127"/>
    <mergeCell ref="P127:X127"/>
    <mergeCell ref="C128:I128"/>
    <mergeCell ref="J128:L128"/>
    <mergeCell ref="M128:O128"/>
    <mergeCell ref="F151:H154"/>
    <mergeCell ref="I151:L154"/>
    <mergeCell ref="C129:I129"/>
    <mergeCell ref="J129:L129"/>
    <mergeCell ref="M129:O129"/>
    <mergeCell ref="C130:D130"/>
    <mergeCell ref="J130:L133"/>
    <mergeCell ref="M130:O133"/>
    <mergeCell ref="P130:R131"/>
    <mergeCell ref="D131:I133"/>
    <mergeCell ref="P132:R132"/>
    <mergeCell ref="S132:X132"/>
    <mergeCell ref="P133:X133"/>
    <mergeCell ref="C134:I137"/>
    <mergeCell ref="J134:L137"/>
    <mergeCell ref="M134:O137"/>
    <mergeCell ref="A11:C11"/>
    <mergeCell ref="F11:H12"/>
    <mergeCell ref="J124:L124"/>
    <mergeCell ref="C125:I125"/>
    <mergeCell ref="J125:L125"/>
    <mergeCell ref="M125:O125"/>
    <mergeCell ref="C126:I126"/>
    <mergeCell ref="J126:L126"/>
    <mergeCell ref="M126:O126"/>
    <mergeCell ref="M91:O91"/>
    <mergeCell ref="I43:N44"/>
    <mergeCell ref="O43:X44"/>
    <mergeCell ref="B47:AA47"/>
    <mergeCell ref="E41:K42"/>
    <mergeCell ref="F43:H44"/>
    <mergeCell ref="O36:X37"/>
    <mergeCell ref="I11:I12"/>
    <mergeCell ref="J11:N12"/>
    <mergeCell ref="O11:X12"/>
    <mergeCell ref="E14:H15"/>
    <mergeCell ref="F16:H17"/>
    <mergeCell ref="I16:I17"/>
    <mergeCell ref="J16:N17"/>
    <mergeCell ref="O16:X17"/>
    <mergeCell ref="P91:S91"/>
    <mergeCell ref="T91:W91"/>
    <mergeCell ref="X91:Z91"/>
    <mergeCell ref="J90:Z90"/>
    <mergeCell ref="J91:L91"/>
    <mergeCell ref="B88:AJ89"/>
    <mergeCell ref="C1:F4"/>
    <mergeCell ref="G1:Y2"/>
    <mergeCell ref="G3:I4"/>
    <mergeCell ref="J3:L4"/>
    <mergeCell ref="N3:P4"/>
    <mergeCell ref="Q3:S4"/>
    <mergeCell ref="C8:D8"/>
    <mergeCell ref="E8:G8"/>
    <mergeCell ref="E9:H10"/>
    <mergeCell ref="H74:U75"/>
    <mergeCell ref="V74:W75"/>
    <mergeCell ref="X74:X75"/>
    <mergeCell ref="H76:U77"/>
    <mergeCell ref="V76:W77"/>
    <mergeCell ref="E34:M35"/>
    <mergeCell ref="F36:H37"/>
    <mergeCell ref="I36:I37"/>
    <mergeCell ref="J36:N37"/>
    <mergeCell ref="E19:H20"/>
    <mergeCell ref="F21:H22"/>
    <mergeCell ref="I21:N22"/>
    <mergeCell ref="O21:X22"/>
    <mergeCell ref="E26:K27"/>
    <mergeCell ref="F28:H29"/>
    <mergeCell ref="I28:N29"/>
    <mergeCell ref="O28:X29"/>
    <mergeCell ref="E30:K31"/>
    <mergeCell ref="F32:H33"/>
    <mergeCell ref="I32:N33"/>
    <mergeCell ref="O32:X33"/>
    <mergeCell ref="C49:R49"/>
    <mergeCell ref="C50:D50"/>
    <mergeCell ref="E50:G50"/>
    <mergeCell ref="I50:J51"/>
    <mergeCell ref="K50:L51"/>
    <mergeCell ref="N50:O51"/>
    <mergeCell ref="P50:Q51"/>
    <mergeCell ref="R50:R51"/>
    <mergeCell ref="C51:D51"/>
    <mergeCell ref="E51:G51"/>
    <mergeCell ref="C54:O54"/>
    <mergeCell ref="C55:D55"/>
    <mergeCell ref="E55:G55"/>
    <mergeCell ref="I55:J56"/>
    <mergeCell ref="K55:K56"/>
    <mergeCell ref="L55:N56"/>
    <mergeCell ref="O55:O56"/>
    <mergeCell ref="P55:R56"/>
    <mergeCell ref="U55:W56"/>
    <mergeCell ref="X55:Z56"/>
    <mergeCell ref="AA55:AA56"/>
    <mergeCell ref="C56:D56"/>
    <mergeCell ref="E56:G56"/>
    <mergeCell ref="C59:O59"/>
    <mergeCell ref="C60:D60"/>
    <mergeCell ref="E60:G60"/>
    <mergeCell ref="I60:J60"/>
    <mergeCell ref="K60:N60"/>
    <mergeCell ref="C63:O63"/>
    <mergeCell ref="C64:O66"/>
    <mergeCell ref="Q64:U64"/>
    <mergeCell ref="H70:U71"/>
    <mergeCell ref="V70:W71"/>
    <mergeCell ref="X70:X71"/>
    <mergeCell ref="H72:U73"/>
    <mergeCell ref="V72:W73"/>
    <mergeCell ref="X72:AC73"/>
    <mergeCell ref="X76:X77"/>
    <mergeCell ref="C114:D114"/>
    <mergeCell ref="E114:G114"/>
    <mergeCell ref="C115:D117"/>
    <mergeCell ref="E115:H116"/>
    <mergeCell ref="E117:H117"/>
    <mergeCell ref="I117:L117"/>
    <mergeCell ref="C121:I121"/>
    <mergeCell ref="J121:O121"/>
    <mergeCell ref="E84:F84"/>
    <mergeCell ref="E86:F86"/>
    <mergeCell ref="E90:F91"/>
    <mergeCell ref="E85:F85"/>
    <mergeCell ref="G84:I84"/>
    <mergeCell ref="J84:L84"/>
    <mergeCell ref="M84:P84"/>
    <mergeCell ref="Q84:T84"/>
    <mergeCell ref="U84:W84"/>
    <mergeCell ref="X84:AA84"/>
    <mergeCell ref="G85:I85"/>
    <mergeCell ref="J85:L85"/>
    <mergeCell ref="M85:P85"/>
    <mergeCell ref="Q85:T85"/>
    <mergeCell ref="U85:W85"/>
    <mergeCell ref="C122:I122"/>
    <mergeCell ref="J122:L122"/>
    <mergeCell ref="M122:O122"/>
    <mergeCell ref="P122:X122"/>
    <mergeCell ref="C123:I123"/>
    <mergeCell ref="J123:L123"/>
    <mergeCell ref="M123:O123"/>
    <mergeCell ref="P123:X123"/>
    <mergeCell ref="C124:I124"/>
    <mergeCell ref="M124:O124"/>
    <mergeCell ref="P124:X124"/>
    <mergeCell ref="P134:R135"/>
    <mergeCell ref="P136:R136"/>
    <mergeCell ref="S136:X136"/>
    <mergeCell ref="P137:X137"/>
    <mergeCell ref="E140:H141"/>
    <mergeCell ref="F142:H143"/>
    <mergeCell ref="F146:H146"/>
    <mergeCell ref="C147:F147"/>
    <mergeCell ref="G147:I147"/>
    <mergeCell ref="AC147:AC148"/>
    <mergeCell ref="F149:H150"/>
    <mergeCell ref="I149:L150"/>
    <mergeCell ref="M149:O150"/>
    <mergeCell ref="P149:T150"/>
    <mergeCell ref="M151:O152"/>
    <mergeCell ref="P151:P152"/>
    <mergeCell ref="Q151:T152"/>
    <mergeCell ref="U151:Y152"/>
    <mergeCell ref="M153:O154"/>
    <mergeCell ref="P153:P154"/>
    <mergeCell ref="Q153:T154"/>
    <mergeCell ref="U153:Y154"/>
    <mergeCell ref="F155:K155"/>
    <mergeCell ref="F157:H158"/>
    <mergeCell ref="I157:L158"/>
    <mergeCell ref="M157:O158"/>
    <mergeCell ref="P157:T158"/>
    <mergeCell ref="U157:Y158"/>
    <mergeCell ref="F159:H160"/>
    <mergeCell ref="I159:L160"/>
    <mergeCell ref="M159:O160"/>
    <mergeCell ref="P159:P160"/>
    <mergeCell ref="Q159:T160"/>
    <mergeCell ref="U159:U160"/>
    <mergeCell ref="V159:Y160"/>
    <mergeCell ref="F161:K161"/>
    <mergeCell ref="P161:T161"/>
    <mergeCell ref="U161:Y161"/>
    <mergeCell ref="D164:E164"/>
    <mergeCell ref="F164:H164"/>
    <mergeCell ref="M164:N164"/>
    <mergeCell ref="S164:U164"/>
    <mergeCell ref="V164:Z164"/>
    <mergeCell ref="C165:F165"/>
    <mergeCell ref="G165:I165"/>
    <mergeCell ref="AC165:AC166"/>
    <mergeCell ref="F166:I166"/>
    <mergeCell ref="J166:L166"/>
    <mergeCell ref="H167:N167"/>
    <mergeCell ref="O167:R167"/>
    <mergeCell ref="U167:Z167"/>
    <mergeCell ref="H168:N168"/>
    <mergeCell ref="O168:R168"/>
    <mergeCell ref="U168:Z168"/>
    <mergeCell ref="H169:N169"/>
    <mergeCell ref="O169:R169"/>
    <mergeCell ref="U169:Z169"/>
    <mergeCell ref="M170:P170"/>
    <mergeCell ref="H171:N171"/>
    <mergeCell ref="O171:P171"/>
    <mergeCell ref="R171:S171"/>
    <mergeCell ref="U171:Z171"/>
    <mergeCell ref="M173:P173"/>
    <mergeCell ref="M174:P174"/>
    <mergeCell ref="H175:N175"/>
    <mergeCell ref="O175:R175"/>
    <mergeCell ref="U175:Z175"/>
    <mergeCell ref="H176:N176"/>
    <mergeCell ref="O176:R176"/>
    <mergeCell ref="U176:Z176"/>
    <mergeCell ref="S178:U178"/>
    <mergeCell ref="H179:N179"/>
    <mergeCell ref="O179:R179"/>
    <mergeCell ref="S179:U179"/>
    <mergeCell ref="H180:N180"/>
    <mergeCell ref="O180:R180"/>
    <mergeCell ref="S180:U180"/>
    <mergeCell ref="H181:N181"/>
    <mergeCell ref="O181:R181"/>
    <mergeCell ref="U181:Z181"/>
    <mergeCell ref="H183:N183"/>
    <mergeCell ref="O183:R183"/>
    <mergeCell ref="H184:N184"/>
    <mergeCell ref="O184:R184"/>
    <mergeCell ref="AD184:AE184"/>
    <mergeCell ref="H185:N185"/>
    <mergeCell ref="O185:R185"/>
    <mergeCell ref="U185:Z185"/>
    <mergeCell ref="AD185:AE185"/>
    <mergeCell ref="AD186:AE186"/>
    <mergeCell ref="G187:S187"/>
    <mergeCell ref="G188:H189"/>
    <mergeCell ref="I188:N188"/>
    <mergeCell ref="O188:R189"/>
    <mergeCell ref="S188:S189"/>
    <mergeCell ref="AD188:AE188"/>
    <mergeCell ref="I189:N189"/>
    <mergeCell ref="I190:N190"/>
    <mergeCell ref="O190:R191"/>
    <mergeCell ref="S190:S191"/>
    <mergeCell ref="I191:N191"/>
    <mergeCell ref="I192:N192"/>
    <mergeCell ref="O192:R192"/>
    <mergeCell ref="H194:N194"/>
    <mergeCell ref="O194:R194"/>
    <mergeCell ref="U194:Z194"/>
    <mergeCell ref="F196:I196"/>
    <mergeCell ref="J196:L196"/>
    <mergeCell ref="U198:V198"/>
    <mergeCell ref="U199:V199"/>
    <mergeCell ref="K200:K201"/>
    <mergeCell ref="N200:N201"/>
    <mergeCell ref="Q200:Q201"/>
    <mergeCell ref="U200:V200"/>
    <mergeCell ref="L201:M201"/>
    <mergeCell ref="O201:P201"/>
    <mergeCell ref="L202:M202"/>
    <mergeCell ref="O202:P202"/>
    <mergeCell ref="W202:AA202"/>
    <mergeCell ref="Q214:R214"/>
    <mergeCell ref="S214:T214"/>
    <mergeCell ref="U214:X214"/>
    <mergeCell ref="F215:J215"/>
    <mergeCell ref="K215:O215"/>
    <mergeCell ref="Q215:R215"/>
    <mergeCell ref="S215:T215"/>
    <mergeCell ref="U215:X215"/>
    <mergeCell ref="H204:N204"/>
    <mergeCell ref="O204:R204"/>
    <mergeCell ref="U204:Z204"/>
    <mergeCell ref="B206:AA206"/>
    <mergeCell ref="E208:H210"/>
    <mergeCell ref="I208:M209"/>
    <mergeCell ref="O208:T208"/>
    <mergeCell ref="O209:P209"/>
    <mergeCell ref="Q209:S209"/>
    <mergeCell ref="I210:M210"/>
    <mergeCell ref="O210:P210"/>
    <mergeCell ref="Q210:S210"/>
    <mergeCell ref="E236:F236"/>
    <mergeCell ref="G236:L236"/>
    <mergeCell ref="S236:T236"/>
    <mergeCell ref="U236:Z236"/>
    <mergeCell ref="C238:E238"/>
    <mergeCell ref="AE238:AF239"/>
    <mergeCell ref="D239:E239"/>
    <mergeCell ref="E81:F82"/>
    <mergeCell ref="E83:F83"/>
    <mergeCell ref="E226:F226"/>
    <mergeCell ref="I226:J226"/>
    <mergeCell ref="M226:N226"/>
    <mergeCell ref="S226:T226"/>
    <mergeCell ref="U226:Z226"/>
    <mergeCell ref="Q228:S228"/>
    <mergeCell ref="R229:S229"/>
    <mergeCell ref="C234:F234"/>
    <mergeCell ref="E235:F235"/>
    <mergeCell ref="G235:L235"/>
    <mergeCell ref="S235:T235"/>
    <mergeCell ref="U235:Z235"/>
    <mergeCell ref="E216:J216"/>
    <mergeCell ref="K216:O216"/>
    <mergeCell ref="H219:L219"/>
    <mergeCell ref="X85:AA85"/>
    <mergeCell ref="C92:D92"/>
    <mergeCell ref="E92:F92"/>
    <mergeCell ref="G92:I92"/>
    <mergeCell ref="G90:I91"/>
    <mergeCell ref="E87:F87"/>
    <mergeCell ref="G86:I86"/>
    <mergeCell ref="J86:L86"/>
    <mergeCell ref="M86:P86"/>
    <mergeCell ref="Q86:T86"/>
    <mergeCell ref="G87:I87"/>
    <mergeCell ref="J87:L87"/>
    <mergeCell ref="M87:P87"/>
    <mergeCell ref="Q87:T87"/>
    <mergeCell ref="AA90:AA91"/>
    <mergeCell ref="U86:W86"/>
    <mergeCell ref="X86:AA86"/>
    <mergeCell ref="U87:W87"/>
    <mergeCell ref="X87:AA87"/>
    <mergeCell ref="J92:L92"/>
    <mergeCell ref="M92:O92"/>
    <mergeCell ref="P92:S92"/>
    <mergeCell ref="T92:W92"/>
    <mergeCell ref="X92:Z92"/>
    <mergeCell ref="C94:D94"/>
    <mergeCell ref="E94:F94"/>
    <mergeCell ref="G93:I93"/>
    <mergeCell ref="G94:I94"/>
    <mergeCell ref="M94:O94"/>
    <mergeCell ref="P94:S94"/>
    <mergeCell ref="T94:W94"/>
    <mergeCell ref="X94:Z94"/>
    <mergeCell ref="C93:D93"/>
    <mergeCell ref="E93:F93"/>
    <mergeCell ref="J93:L93"/>
    <mergeCell ref="M93:O93"/>
    <mergeCell ref="P93:S93"/>
    <mergeCell ref="T93:W93"/>
    <mergeCell ref="X93:Z93"/>
    <mergeCell ref="J94:L94"/>
    <mergeCell ref="C96:D96"/>
    <mergeCell ref="E96:F96"/>
    <mergeCell ref="G95:I95"/>
    <mergeCell ref="J95:L95"/>
    <mergeCell ref="M95:O95"/>
    <mergeCell ref="P95:S95"/>
    <mergeCell ref="T95:W95"/>
    <mergeCell ref="X95:Z95"/>
    <mergeCell ref="G96:I96"/>
    <mergeCell ref="J96:L96"/>
    <mergeCell ref="M96:O96"/>
    <mergeCell ref="P96:S96"/>
    <mergeCell ref="T96:W96"/>
    <mergeCell ref="X96:Z96"/>
    <mergeCell ref="C95:D95"/>
    <mergeCell ref="E95:F95"/>
    <mergeCell ref="M81:P82"/>
    <mergeCell ref="G83:I83"/>
    <mergeCell ref="J83:L83"/>
    <mergeCell ref="Q81:T82"/>
    <mergeCell ref="U81:W82"/>
    <mergeCell ref="M83:P83"/>
    <mergeCell ref="Q83:T83"/>
    <mergeCell ref="U83:W83"/>
    <mergeCell ref="X83:AA83"/>
    <mergeCell ref="X81:AA82"/>
    <mergeCell ref="G81:I82"/>
    <mergeCell ref="J81:L82"/>
    <mergeCell ref="E100:F100"/>
    <mergeCell ref="E101:F101"/>
    <mergeCell ref="G101:H101"/>
    <mergeCell ref="G100:K100"/>
    <mergeCell ref="E102:F102"/>
    <mergeCell ref="G102:H102"/>
    <mergeCell ref="E103:F103"/>
    <mergeCell ref="G103:H103"/>
    <mergeCell ref="N109:P110"/>
    <mergeCell ref="Q109:R110"/>
    <mergeCell ref="S107:Y108"/>
    <mergeCell ref="S109:Y110"/>
    <mergeCell ref="E227:F227"/>
    <mergeCell ref="E104:F104"/>
    <mergeCell ref="G104:H104"/>
    <mergeCell ref="E105:F105"/>
    <mergeCell ref="G105:H105"/>
    <mergeCell ref="G107:H107"/>
    <mergeCell ref="N107:P108"/>
    <mergeCell ref="Q107:R108"/>
    <mergeCell ref="M219:N219"/>
    <mergeCell ref="P219:U219"/>
    <mergeCell ref="C225:F225"/>
    <mergeCell ref="H225:J225"/>
    <mergeCell ref="L225:N225"/>
    <mergeCell ref="Q225:T225"/>
    <mergeCell ref="H220:L220"/>
    <mergeCell ref="M220:N220"/>
    <mergeCell ref="P220:U220"/>
    <mergeCell ref="E213:O213"/>
    <mergeCell ref="E214:E215"/>
    <mergeCell ref="F214:J214"/>
    <mergeCell ref="K214:O214"/>
  </mergeCells>
  <conditionalFormatting sqref="C92:Z92">
    <cfRule type="expression" dxfId="3" priority="8">
      <formula>$AA92="N"</formula>
    </cfRule>
  </conditionalFormatting>
  <conditionalFormatting sqref="E93:Z96">
    <cfRule type="expression" dxfId="2" priority="6">
      <formula>$AA93="N"</formula>
    </cfRule>
  </conditionalFormatting>
  <conditionalFormatting sqref="E101:K101">
    <cfRule type="expression" dxfId="1" priority="2">
      <formula>($E101)</formula>
    </cfRule>
  </conditionalFormatting>
  <conditionalFormatting sqref="E102:K105">
    <cfRule type="expression" dxfId="0" priority="1">
      <formula>($E102)</formula>
    </cfRule>
  </conditionalFormatting>
  <dataValidations count="8">
    <dataValidation type="list" allowBlank="1" showInputMessage="1" showErrorMessage="1" sqref="M129:O129" xr:uid="{FF1E45B1-01A8-48AB-AA67-4E9925AC7569}">
      <formula1>$AD$27:$AF$27</formula1>
    </dataValidation>
    <dataValidation type="list" allowBlank="1" showInputMessage="1" showErrorMessage="1" sqref="M128:O128" xr:uid="{361C1CBB-5AB7-4684-B1B9-BA437F9A6D6F}">
      <formula1>$AD$23:$AF$23</formula1>
    </dataValidation>
    <dataValidation type="list" allowBlank="1" showInputMessage="1" showErrorMessage="1" sqref="G165:I165" xr:uid="{6389785C-30B3-47B5-A50C-DCC1BA66DAC3}">
      <formula1>$AD$64:$AD$65</formula1>
    </dataValidation>
    <dataValidation type="list" allowBlank="1" showInputMessage="1" showErrorMessage="1" sqref="G147:I147" xr:uid="{80BCAEC5-C64E-48F2-9540-25D7A2F6F807}">
      <formula1>$AD$147:$AD$148</formula1>
    </dataValidation>
    <dataValidation type="list" allowBlank="1" showInputMessage="1" showErrorMessage="1" sqref="J121:O121" xr:uid="{9ED55182-8C21-4AA3-9155-794DA508D35C}">
      <formula1>$AC$15:$AD$15</formula1>
    </dataValidation>
    <dataValidation type="list" allowBlank="1" showInputMessage="1" showErrorMessage="1" sqref="I16:I17" xr:uid="{DB381C16-6148-4F55-AEB1-B0002E755393}">
      <formula1>$B$13:$B$14</formula1>
    </dataValidation>
    <dataValidation type="list" allowBlank="1" showInputMessage="1" showErrorMessage="1" sqref="I11:I12 I36:I37" xr:uid="{E3013ECF-FD4E-4B95-AE02-01146355E8DA}">
      <formula1>$A$13:$A$14</formula1>
    </dataValidation>
    <dataValidation type="list" allowBlank="1" showInputMessage="1" showErrorMessage="1" sqref="AA92:AA96" xr:uid="{D06DD7F5-BD7D-4BE3-B506-97872570B381}">
      <formula1>$AC$90:$AE$90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Button1_Click" altText="Reset Realisation">
                <anchor moveWithCells="1" sizeWithCells="1">
                  <from>
                    <xdr:col>22</xdr:col>
                    <xdr:colOff>314325</xdr:colOff>
                    <xdr:row>88</xdr:row>
                    <xdr:rowOff>142875</xdr:rowOff>
                  </from>
                  <to>
                    <xdr:col>26</xdr:col>
                    <xdr:colOff>361950</xdr:colOff>
                    <xdr:row>89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6C21C-A9FB-4852-B3A9-61268582FE35}">
          <x14:formula1>
            <xm:f>Outils!$C$9:$C$10</xm:f>
          </x14:formula1>
          <xm:sqref>P151:P154 P159:P160 U159:U160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32"/>
  <sheetViews>
    <sheetView topLeftCell="A129" zoomScaleNormal="100" workbookViewId="0">
      <selection activeCell="V138" sqref="V138"/>
    </sheetView>
  </sheetViews>
  <sheetFormatPr defaultColWidth="5.140625" defaultRowHeight="17.25" customHeight="1" outlineLevelCol="1"/>
  <cols>
    <col min="1" max="2" width="6.42578125" style="16" customWidth="1"/>
    <col min="3" max="7" width="7" style="61" customWidth="1"/>
    <col min="8" max="9" width="7" style="16" customWidth="1"/>
    <col min="10" max="10" width="6.42578125" style="16" customWidth="1"/>
    <col min="11" max="11" width="8" style="16" customWidth="1"/>
    <col min="12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3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375" t="s">
        <v>143</v>
      </c>
      <c r="D1" s="375"/>
      <c r="E1" s="375"/>
      <c r="F1" s="375"/>
      <c r="G1" s="362" t="s">
        <v>144</v>
      </c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</row>
    <row r="2" spans="2:66" ht="17.25" customHeight="1">
      <c r="C2" s="375"/>
      <c r="D2" s="375"/>
      <c r="E2" s="375"/>
      <c r="F2" s="375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</row>
    <row r="3" spans="2:66" ht="17.25" customHeight="1">
      <c r="C3" s="375"/>
      <c r="D3" s="375"/>
      <c r="E3" s="375"/>
      <c r="F3" s="375"/>
      <c r="G3" s="371" t="s">
        <v>148</v>
      </c>
      <c r="H3" s="371"/>
      <c r="I3" s="371"/>
      <c r="J3" s="373" t="s">
        <v>147</v>
      </c>
      <c r="K3" s="373"/>
      <c r="L3" s="373"/>
      <c r="N3" s="393" t="s">
        <v>242</v>
      </c>
      <c r="O3" s="393"/>
      <c r="P3" s="393"/>
      <c r="Q3" s="394" t="s">
        <v>207</v>
      </c>
      <c r="R3" s="394"/>
      <c r="S3" s="394"/>
    </row>
    <row r="4" spans="2:66" ht="17.25" customHeight="1">
      <c r="C4" s="375"/>
      <c r="D4" s="375"/>
      <c r="E4" s="375"/>
      <c r="F4" s="375"/>
      <c r="G4" s="372"/>
      <c r="H4" s="372"/>
      <c r="I4" s="372"/>
      <c r="J4" s="374"/>
      <c r="K4" s="374"/>
      <c r="L4" s="374"/>
      <c r="N4" s="393"/>
      <c r="O4" s="393"/>
      <c r="P4" s="393"/>
      <c r="Q4" s="394"/>
      <c r="R4" s="394"/>
      <c r="S4" s="394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107" t="str" cm="1">
        <f t="array" ref="E7">dateDecimale2txt(dateConvert2Decimal(E8),0)</f>
        <v>2010/05/05</v>
      </c>
      <c r="F7" s="107"/>
      <c r="G7" s="108"/>
      <c r="H7" s="109"/>
      <c r="I7" s="107" t="str" cm="1">
        <f t="array" ref="I7">heureDecimal2Txt(E11)</f>
        <v>08:18:53.00(08.3147)</v>
      </c>
      <c r="J7" s="107"/>
      <c r="K7" s="10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97"/>
      <c r="AB7" s="64"/>
    </row>
    <row r="8" spans="2:66" ht="17.25" customHeight="1">
      <c r="C8" s="363" t="s">
        <v>1</v>
      </c>
      <c r="D8" s="364"/>
      <c r="E8" s="540" t="s">
        <v>342</v>
      </c>
      <c r="F8" s="541"/>
      <c r="G8" s="541"/>
      <c r="H8" s="61"/>
      <c r="I8" s="395"/>
      <c r="J8" s="395"/>
      <c r="K8" s="395"/>
      <c r="L8" s="395"/>
      <c r="M8" s="395"/>
      <c r="N8" s="395"/>
      <c r="O8" s="395"/>
      <c r="AC8" s="3" t="s">
        <v>173</v>
      </c>
      <c r="AD8" s="3" cm="1">
        <f t="array" ref="AD8">heureConvert2Decimal(I11)</f>
        <v>8.3147222222222226</v>
      </c>
    </row>
    <row r="9" spans="2:66" ht="17.25" customHeight="1" thickBot="1">
      <c r="C9" s="365" t="s">
        <v>11</v>
      </c>
      <c r="D9" s="366"/>
      <c r="E9" s="365" t="s">
        <v>2</v>
      </c>
      <c r="F9" s="381"/>
      <c r="G9" s="381"/>
      <c r="H9" s="366"/>
      <c r="I9" s="490" t="s">
        <v>244</v>
      </c>
      <c r="J9" s="490"/>
      <c r="K9" s="490"/>
      <c r="L9" s="490" t="s">
        <v>240</v>
      </c>
      <c r="M9" s="490"/>
      <c r="N9" s="490"/>
      <c r="O9" s="490"/>
      <c r="P9" s="490"/>
      <c r="Q9" s="490" t="s">
        <v>241</v>
      </c>
      <c r="R9" s="490"/>
      <c r="S9" s="490"/>
      <c r="T9" s="490"/>
      <c r="U9" s="490"/>
      <c r="V9" s="518" t="s">
        <v>131</v>
      </c>
      <c r="W9" s="519"/>
      <c r="X9" s="519"/>
      <c r="Y9" s="520"/>
      <c r="AB9" s="65"/>
      <c r="AC9" s="3" t="s">
        <v>174</v>
      </c>
      <c r="AD9" s="69">
        <f>L11</f>
        <v>0</v>
      </c>
    </row>
    <row r="10" spans="2:66" ht="17.25" customHeight="1">
      <c r="C10" s="367"/>
      <c r="D10" s="368"/>
      <c r="E10" s="369"/>
      <c r="F10" s="382"/>
      <c r="G10" s="382"/>
      <c r="H10" s="370"/>
      <c r="I10" s="490"/>
      <c r="J10" s="490"/>
      <c r="K10" s="490"/>
      <c r="L10" s="490"/>
      <c r="M10" s="490"/>
      <c r="N10" s="490"/>
      <c r="O10" s="490"/>
      <c r="P10" s="490"/>
      <c r="Q10" s="490"/>
      <c r="R10" s="490"/>
      <c r="S10" s="490"/>
      <c r="T10" s="490"/>
      <c r="U10" s="490"/>
      <c r="V10" s="521"/>
      <c r="W10" s="522"/>
      <c r="X10" s="522"/>
      <c r="Y10" s="523"/>
      <c r="AC10" s="3" t="s">
        <v>175</v>
      </c>
      <c r="AD10" s="3">
        <f>Q11/3600</f>
        <v>0</v>
      </c>
    </row>
    <row r="11" spans="2:66" ht="17.25" customHeight="1" thickBot="1">
      <c r="C11" s="369"/>
      <c r="D11" s="370"/>
      <c r="E11" s="332">
        <f>AD8+AD9+AD10+AD11</f>
        <v>8.3147222222222226</v>
      </c>
      <c r="F11" s="333"/>
      <c r="G11" s="333"/>
      <c r="H11" s="334"/>
      <c r="I11" s="529" t="s">
        <v>343</v>
      </c>
      <c r="J11" s="529"/>
      <c r="K11" s="529"/>
      <c r="L11" s="567">
        <v>0</v>
      </c>
      <c r="M11" s="567"/>
      <c r="N11" s="567"/>
      <c r="O11" s="567"/>
      <c r="P11" s="567"/>
      <c r="Q11" s="567">
        <v>0</v>
      </c>
      <c r="R11" s="567"/>
      <c r="S11" s="567"/>
      <c r="T11" s="567"/>
      <c r="U11" s="568"/>
      <c r="V11" s="566" t="s">
        <v>130</v>
      </c>
      <c r="W11" s="566"/>
      <c r="X11" s="566"/>
      <c r="Y11" s="566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582" t="str" cm="1">
        <f t="array" ref="E12">heureDecimal2Txt(E11)</f>
        <v>08:18:53.00(08.3147)</v>
      </c>
      <c r="F12" s="583"/>
      <c r="G12" s="583"/>
      <c r="H12" s="584"/>
      <c r="I12" s="11"/>
      <c r="J12" s="11"/>
      <c r="K12" s="11"/>
      <c r="V12" s="11"/>
      <c r="W12" s="11"/>
      <c r="X12" s="11"/>
      <c r="Y12" s="11"/>
      <c r="Z12" s="16"/>
      <c r="AA12" s="16"/>
      <c r="AB12" s="63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4"/>
    </row>
    <row r="15" spans="2:66" ht="18" customHeight="1" thickBot="1">
      <c r="B15"/>
      <c r="C15" s="687" t="s">
        <v>176</v>
      </c>
      <c r="D15" s="688"/>
      <c r="E15" s="688"/>
      <c r="F15" s="688"/>
      <c r="G15" s="688"/>
      <c r="H15" s="688"/>
      <c r="I15" s="689"/>
      <c r="J15" s="855" t="s">
        <v>178</v>
      </c>
      <c r="K15" s="855"/>
      <c r="L15" s="855"/>
      <c r="M15" s="855"/>
      <c r="N15" s="855"/>
      <c r="O15" s="855"/>
      <c r="P15"/>
      <c r="Q15"/>
      <c r="R15"/>
      <c r="S15"/>
      <c r="T15"/>
      <c r="U15"/>
      <c r="V15"/>
      <c r="W15"/>
      <c r="X15"/>
      <c r="Y15"/>
      <c r="Z15"/>
      <c r="AA15"/>
      <c r="AC15" s="70" t="s">
        <v>177</v>
      </c>
      <c r="AD15" s="70" t="s">
        <v>178</v>
      </c>
    </row>
    <row r="16" spans="2:66" ht="18" customHeight="1" thickTop="1" thickBot="1">
      <c r="B16" s="14"/>
      <c r="C16" s="687" t="s">
        <v>139</v>
      </c>
      <c r="D16" s="688"/>
      <c r="E16" s="688"/>
      <c r="F16" s="688"/>
      <c r="G16" s="688"/>
      <c r="H16" s="688"/>
      <c r="I16" s="689"/>
      <c r="J16" s="693" cm="1">
        <f t="array" ref="J16">angleConvert2Decimal(M16)</f>
        <v>0.9</v>
      </c>
      <c r="K16" s="694"/>
      <c r="L16" s="695"/>
      <c r="M16" s="696" t="s">
        <v>105</v>
      </c>
      <c r="N16" s="697"/>
      <c r="O16" s="698"/>
      <c r="P16" s="450" t="str" cm="1">
        <f t="array" ref="P16">angleDecimal2Txt(J16)</f>
        <v>+00°54.00 (+00.9000) [+00°54'00.00]</v>
      </c>
      <c r="Q16" s="451"/>
      <c r="R16" s="451"/>
      <c r="S16" s="451"/>
      <c r="T16" s="451"/>
      <c r="U16" s="451"/>
      <c r="V16" s="451"/>
      <c r="W16" s="451"/>
      <c r="X16" s="337"/>
      <c r="Y16" s="14"/>
    </row>
    <row r="17" spans="2:43" ht="18" customHeight="1" thickTop="1" thickBot="1">
      <c r="C17" s="341" t="s">
        <v>138</v>
      </c>
      <c r="D17" s="341"/>
      <c r="E17" s="341"/>
      <c r="F17" s="341"/>
      <c r="G17" s="341"/>
      <c r="H17" s="341"/>
      <c r="I17" s="341"/>
      <c r="J17" s="463" cm="1">
        <f t="array" ref="J17">angleConvert2Decimal(M17)</f>
        <v>33.4</v>
      </c>
      <c r="K17" s="516"/>
      <c r="L17" s="439"/>
      <c r="M17" s="683" t="s">
        <v>226</v>
      </c>
      <c r="N17" s="684"/>
      <c r="O17" s="685"/>
      <c r="P17" s="327" t="str" cm="1">
        <f t="array" ref="P17">angleDecimal2Txt(J17)</f>
        <v>+33°24.00 (+33.3999) [+33°24'00.00]</v>
      </c>
      <c r="Q17" s="327"/>
      <c r="R17" s="327"/>
      <c r="S17" s="327"/>
      <c r="T17" s="327"/>
      <c r="U17" s="327"/>
      <c r="V17" s="327"/>
      <c r="W17" s="327"/>
      <c r="X17" s="327"/>
      <c r="Y17" s="14"/>
    </row>
    <row r="18" spans="2:43" ht="18" customHeight="1" thickTop="1" thickBot="1">
      <c r="C18" s="341" t="s">
        <v>146</v>
      </c>
      <c r="D18" s="341"/>
      <c r="E18" s="341"/>
      <c r="F18" s="341"/>
      <c r="G18" s="341"/>
      <c r="H18" s="341"/>
      <c r="I18" s="341"/>
      <c r="J18" s="463" cm="1">
        <f t="array" ref="J18">angleConvert2Decimal(M18)</f>
        <v>16.25</v>
      </c>
      <c r="K18" s="516"/>
      <c r="L18" s="439"/>
      <c r="M18" s="683">
        <f>(J17-J16)/2</f>
        <v>16.25</v>
      </c>
      <c r="N18" s="684"/>
      <c r="O18" s="685"/>
      <c r="P18" s="327" t="str" cm="1">
        <f t="array" ref="P18">angleDecimal2Txt(J18)</f>
        <v>+16°15.00 (+16.2500) [+16°15'00.00]</v>
      </c>
      <c r="Q18" s="327"/>
      <c r="R18" s="327"/>
      <c r="S18" s="327"/>
      <c r="T18" s="327"/>
      <c r="U18" s="327"/>
      <c r="V18" s="327"/>
      <c r="W18" s="327"/>
      <c r="X18" s="327"/>
      <c r="Y18" s="14"/>
    </row>
    <row r="19" spans="2:43" ht="18" customHeight="1" thickTop="1" thickBot="1">
      <c r="C19" s="585" t="s">
        <v>19</v>
      </c>
      <c r="D19" s="585"/>
      <c r="E19" s="585"/>
      <c r="F19" s="585"/>
      <c r="G19" s="585"/>
      <c r="H19" s="585"/>
      <c r="I19" s="585"/>
      <c r="J19" s="513">
        <f>M19</f>
        <v>2</v>
      </c>
      <c r="K19" s="514"/>
      <c r="L19" s="515"/>
      <c r="M19" s="492">
        <v>2</v>
      </c>
      <c r="N19" s="492"/>
      <c r="O19" s="492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3" ht="18" customHeight="1" thickTop="1" thickBot="1">
      <c r="B20" s="14"/>
      <c r="C20" s="619" t="s">
        <v>20</v>
      </c>
      <c r="D20" s="620"/>
      <c r="E20" s="620"/>
      <c r="F20" s="620"/>
      <c r="G20" s="620"/>
      <c r="H20" s="620"/>
      <c r="I20" s="621"/>
      <c r="J20" s="329" cm="1">
        <f t="array" ref="J20">angleConvert2Decimal(M20)</f>
        <v>0.05</v>
      </c>
      <c r="K20" s="339"/>
      <c r="L20" s="339"/>
      <c r="M20" s="491" t="s">
        <v>496</v>
      </c>
      <c r="N20" s="492"/>
      <c r="O20" s="492"/>
      <c r="P20" s="327" t="str" cm="1">
        <f t="array" ref="P20">angleDecimal2Txt(J20)</f>
        <v>+00°03.00 (+00.0500) [+00°03'00.00]</v>
      </c>
      <c r="Q20" s="327"/>
      <c r="R20" s="327"/>
      <c r="S20" s="327"/>
      <c r="T20" s="327"/>
      <c r="U20" s="327"/>
      <c r="V20" s="327"/>
      <c r="W20" s="327"/>
      <c r="X20" s="327"/>
      <c r="Y20" s="14"/>
    </row>
    <row r="21" spans="2:43" ht="18" customHeight="1" thickTop="1" thickBot="1">
      <c r="C21" s="629" t="s">
        <v>26</v>
      </c>
      <c r="D21" s="629"/>
      <c r="E21" s="629"/>
      <c r="F21" s="629"/>
      <c r="G21" s="629"/>
      <c r="H21" s="629"/>
      <c r="I21" s="629"/>
      <c r="J21" s="329" cm="1">
        <f t="array" ref="J21">IF(J15=AC15,J18,angleConvert2Decimal(M21))</f>
        <v>18.916666666666668</v>
      </c>
      <c r="K21" s="339"/>
      <c r="L21" s="339"/>
      <c r="M21" s="491" t="s">
        <v>497</v>
      </c>
      <c r="N21" s="492"/>
      <c r="O21" s="492"/>
      <c r="P21" s="327" t="str" cm="1">
        <f t="array" ref="P21">angleDecimal2Txt(J21)</f>
        <v>+18°55.00 (+18.9166) [+18°55'00.00]</v>
      </c>
      <c r="Q21" s="327"/>
      <c r="R21" s="327"/>
      <c r="S21" s="327"/>
      <c r="T21" s="327"/>
      <c r="U21" s="327"/>
      <c r="V21" s="327"/>
      <c r="W21" s="327"/>
      <c r="X21" s="327"/>
      <c r="Y21" s="14"/>
    </row>
    <row r="22" spans="2:43" ht="18" customHeight="1" thickTop="1">
      <c r="C22" s="622" t="s">
        <v>30</v>
      </c>
      <c r="D22" s="622"/>
      <c r="E22" s="622"/>
      <c r="F22" s="622"/>
      <c r="G22" s="622"/>
      <c r="H22" s="622"/>
      <c r="I22" s="622"/>
      <c r="J22" s="623" t="str">
        <f>M22</f>
        <v>Lune</v>
      </c>
      <c r="K22" s="624"/>
      <c r="L22" s="625"/>
      <c r="M22" s="542" t="s">
        <v>33</v>
      </c>
      <c r="N22" s="543"/>
      <c r="O22" s="544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3" ht="18" customHeight="1">
      <c r="C23" s="622" t="s">
        <v>56</v>
      </c>
      <c r="D23" s="622"/>
      <c r="E23" s="622"/>
      <c r="F23" s="622"/>
      <c r="G23" s="622"/>
      <c r="H23" s="622"/>
      <c r="I23" s="622"/>
      <c r="J23" s="330" t="str">
        <f>M23</f>
        <v>BordSup</v>
      </c>
      <c r="K23" s="330"/>
      <c r="L23" s="330"/>
      <c r="M23" s="517" t="s">
        <v>199</v>
      </c>
      <c r="N23" s="517"/>
      <c r="O23" s="517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3" ht="17.25" customHeight="1">
      <c r="C24" s="630" t="s">
        <v>162</v>
      </c>
      <c r="D24" s="631"/>
      <c r="E24" s="27"/>
      <c r="F24" s="27"/>
      <c r="G24" s="27"/>
      <c r="H24" s="27"/>
      <c r="I24" s="28"/>
      <c r="J24" s="553" cm="1">
        <f t="array" ref="J24">angleConvert2Decimal(M24)</f>
        <v>0.90833333333333333</v>
      </c>
      <c r="K24" s="345"/>
      <c r="L24" s="346"/>
      <c r="M24" s="559" t="s">
        <v>344</v>
      </c>
      <c r="N24" s="560"/>
      <c r="O24" s="560"/>
      <c r="P24"/>
      <c r="Q24"/>
      <c r="R24"/>
      <c r="S24"/>
      <c r="T24"/>
      <c r="U24"/>
      <c r="V24"/>
      <c r="W24"/>
      <c r="X24"/>
      <c r="Y24" s="14"/>
      <c r="AH24" s="16"/>
    </row>
    <row r="25" spans="2:43" ht="17.25" customHeight="1">
      <c r="C25" s="29"/>
      <c r="D25" s="588" t="s">
        <v>163</v>
      </c>
      <c r="E25" s="588"/>
      <c r="F25" s="588"/>
      <c r="G25" s="588"/>
      <c r="H25" s="588"/>
      <c r="I25" s="589"/>
      <c r="J25" s="554"/>
      <c r="K25" s="372"/>
      <c r="L25" s="555"/>
      <c r="M25" s="561"/>
      <c r="N25" s="562"/>
      <c r="O25" s="562"/>
      <c r="P25"/>
      <c r="Q25"/>
      <c r="R25"/>
      <c r="S25"/>
      <c r="T25"/>
      <c r="U25"/>
      <c r="V25"/>
      <c r="W25"/>
      <c r="X25"/>
      <c r="Y25" s="14"/>
      <c r="AH25" s="16"/>
    </row>
    <row r="26" spans="2:43" ht="17.25" customHeight="1" thickBot="1">
      <c r="C26" s="29"/>
      <c r="D26" s="588"/>
      <c r="E26" s="588"/>
      <c r="F26" s="588"/>
      <c r="G26" s="588"/>
      <c r="H26" s="588"/>
      <c r="I26" s="589"/>
      <c r="J26" s="554"/>
      <c r="K26" s="372"/>
      <c r="L26" s="555"/>
      <c r="M26" s="561"/>
      <c r="N26" s="562"/>
      <c r="O26" s="562"/>
      <c r="P26"/>
      <c r="Q26"/>
      <c r="R26"/>
      <c r="S26"/>
      <c r="T26"/>
      <c r="U26"/>
      <c r="V26"/>
      <c r="W26"/>
      <c r="X26"/>
      <c r="Y26" s="14"/>
    </row>
    <row r="27" spans="2:43" ht="17.25" customHeight="1" thickTop="1" thickBot="1">
      <c r="C27" s="30"/>
      <c r="D27" s="590"/>
      <c r="E27" s="590"/>
      <c r="F27" s="590"/>
      <c r="G27" s="590"/>
      <c r="H27" s="590"/>
      <c r="I27" s="591"/>
      <c r="J27" s="556"/>
      <c r="K27" s="557"/>
      <c r="L27" s="558"/>
      <c r="M27" s="563"/>
      <c r="N27" s="564"/>
      <c r="O27" s="564"/>
      <c r="P27" s="527" t="str" cm="1">
        <f t="array" ref="P27">angleDecimal2Txt(J24)</f>
        <v>+00°54.50 (+00.9083) [+00°54'30.00]</v>
      </c>
      <c r="Q27" s="527"/>
      <c r="R27" s="527"/>
      <c r="S27" s="327"/>
      <c r="T27" s="327"/>
      <c r="U27" s="327"/>
      <c r="V27" s="327"/>
      <c r="W27" s="327"/>
      <c r="X27" s="327"/>
      <c r="Y27" s="14"/>
      <c r="AC27" s="71" t="s">
        <v>102</v>
      </c>
      <c r="AD27" s="72" t="s">
        <v>57</v>
      </c>
      <c r="AE27" s="72" t="s">
        <v>199</v>
      </c>
      <c r="AF27" s="72" t="s">
        <v>58</v>
      </c>
      <c r="AL27">
        <f>MATCH(AJ28,$AC$30:$AO$30,1)</f>
        <v>1</v>
      </c>
      <c r="AM27">
        <f>INDEX($AC$30:$AO$32,1,$AL$27)</f>
        <v>54</v>
      </c>
      <c r="AN27">
        <f>INDEX($AC$30:$AO$32,1,1+$AL$27)</f>
        <v>55</v>
      </c>
    </row>
    <row r="28" spans="2:43" ht="17.25" customHeight="1" thickTop="1">
      <c r="C28" s="545" t="s">
        <v>106</v>
      </c>
      <c r="D28" s="546"/>
      <c r="E28" s="546"/>
      <c r="F28" s="546"/>
      <c r="G28" s="546"/>
      <c r="H28" s="546"/>
      <c r="I28" s="547"/>
      <c r="J28" s="553" cm="1">
        <f t="array" ref="J28">angleConvert2Decimal(M28)</f>
        <v>0.495</v>
      </c>
      <c r="K28" s="345"/>
      <c r="L28" s="346"/>
      <c r="M28" s="559">
        <f>P30</f>
        <v>0.495</v>
      </c>
      <c r="N28" s="560"/>
      <c r="O28" s="560"/>
      <c r="P28" s="565" t="s">
        <v>101</v>
      </c>
      <c r="Q28" s="565"/>
      <c r="R28" s="565"/>
      <c r="S28" s="14"/>
      <c r="T28" s="14"/>
      <c r="U28" s="14"/>
      <c r="V28" s="14"/>
      <c r="W28" s="14"/>
      <c r="X28" s="14"/>
      <c r="Y28" s="14"/>
      <c r="AC28" s="189" t="s">
        <v>200</v>
      </c>
      <c r="AD28" s="190">
        <v>0.5</v>
      </c>
      <c r="AE28" s="190">
        <v>-0.5</v>
      </c>
      <c r="AF28" s="190">
        <v>0</v>
      </c>
      <c r="AI28" t="s">
        <v>350</v>
      </c>
      <c r="AJ28">
        <f>J24*60</f>
        <v>54.5</v>
      </c>
      <c r="AK28" t="s">
        <v>375</v>
      </c>
      <c r="AM28">
        <f>INDEX($AC$30:$AO$32,3,$AL$27)</f>
        <v>0.49</v>
      </c>
      <c r="AN28">
        <f>INDEX($AC$30:$AO$32,3,1+$AL$27)</f>
        <v>0.5</v>
      </c>
      <c r="AP28" t="s">
        <v>376</v>
      </c>
      <c r="AQ28">
        <f>AJ28-AM27</f>
        <v>0.5</v>
      </c>
    </row>
    <row r="29" spans="2:43" ht="17.25" customHeight="1" thickBot="1">
      <c r="C29" s="548"/>
      <c r="D29" s="377"/>
      <c r="E29" s="377"/>
      <c r="F29" s="377"/>
      <c r="G29" s="377"/>
      <c r="H29" s="377"/>
      <c r="I29" s="549"/>
      <c r="J29" s="554"/>
      <c r="K29" s="372"/>
      <c r="L29" s="555"/>
      <c r="M29" s="561"/>
      <c r="N29" s="562"/>
      <c r="O29" s="562"/>
      <c r="P29" s="565"/>
      <c r="Q29" s="565"/>
      <c r="R29" s="565"/>
      <c r="S29" s="14"/>
      <c r="T29" s="14"/>
      <c r="U29" s="14"/>
      <c r="V29" s="14"/>
      <c r="W29" s="14"/>
      <c r="X29" s="14"/>
      <c r="Y29" s="14"/>
      <c r="AC29" s="336" t="s">
        <v>364</v>
      </c>
      <c r="AD29" s="336"/>
      <c r="AE29" s="336"/>
      <c r="AF29" s="336"/>
      <c r="AG29" s="336"/>
      <c r="AH29" s="336"/>
      <c r="AI29" s="336"/>
      <c r="AJ29" s="336"/>
      <c r="AK29" s="336"/>
      <c r="AL29" s="336"/>
      <c r="AM29" s="336"/>
      <c r="AN29" s="336"/>
      <c r="AO29" s="336"/>
      <c r="AP29" t="s">
        <v>377</v>
      </c>
      <c r="AQ29">
        <f>AN27-AM27</f>
        <v>1</v>
      </c>
    </row>
    <row r="30" spans="2:43" ht="17.25" customHeight="1" thickTop="1" thickBot="1">
      <c r="C30" s="548"/>
      <c r="D30" s="377"/>
      <c r="E30" s="377"/>
      <c r="F30" s="377"/>
      <c r="G30" s="377"/>
      <c r="H30" s="377"/>
      <c r="I30" s="549"/>
      <c r="J30" s="554"/>
      <c r="K30" s="372"/>
      <c r="L30" s="555"/>
      <c r="M30" s="561"/>
      <c r="N30" s="562"/>
      <c r="O30" s="562"/>
      <c r="P30" s="528">
        <f>AQ31</f>
        <v>0.495</v>
      </c>
      <c r="Q30" s="528"/>
      <c r="R30" s="528"/>
      <c r="S30" s="391" t="str">
        <f>angleDecimal2Txt(AQ31)</f>
        <v>+00°29.69 (+00.4950) [+00°29'42.00]</v>
      </c>
      <c r="T30" s="391"/>
      <c r="U30" s="391"/>
      <c r="V30" s="391"/>
      <c r="W30" s="391"/>
      <c r="X30" s="392"/>
      <c r="Y30" s="14"/>
      <c r="AC30" s="185">
        <v>54</v>
      </c>
      <c r="AD30" s="185">
        <v>55</v>
      </c>
      <c r="AE30" s="185">
        <v>55.5</v>
      </c>
      <c r="AF30" s="185">
        <v>56</v>
      </c>
      <c r="AG30" s="185">
        <v>56.5</v>
      </c>
      <c r="AH30" s="185">
        <v>57</v>
      </c>
      <c r="AI30" s="185">
        <v>57.5</v>
      </c>
      <c r="AJ30" s="185">
        <v>58</v>
      </c>
      <c r="AK30" s="185">
        <v>58.5</v>
      </c>
      <c r="AL30" s="185">
        <v>59</v>
      </c>
      <c r="AM30" s="185">
        <v>59.5</v>
      </c>
      <c r="AN30" s="185">
        <v>60</v>
      </c>
      <c r="AO30" s="185">
        <v>61</v>
      </c>
      <c r="AP30" t="s">
        <v>378</v>
      </c>
      <c r="AQ30">
        <f>AQ28/AQ29</f>
        <v>0.5</v>
      </c>
    </row>
    <row r="31" spans="2:43" ht="17.25" customHeight="1" thickTop="1" thickBot="1">
      <c r="C31" s="550"/>
      <c r="D31" s="551"/>
      <c r="E31" s="551"/>
      <c r="F31" s="551"/>
      <c r="G31" s="551"/>
      <c r="H31" s="551"/>
      <c r="I31" s="552"/>
      <c r="J31" s="556"/>
      <c r="K31" s="557"/>
      <c r="L31" s="558"/>
      <c r="M31" s="563"/>
      <c r="N31" s="564"/>
      <c r="O31" s="564"/>
      <c r="P31" s="527" t="str" cm="1">
        <f t="array" ref="P31">angleDecimal2Txt(J28)</f>
        <v>+00°29.69 (+00.4950) [+00°29'42.00]</v>
      </c>
      <c r="Q31" s="527"/>
      <c r="R31" s="527"/>
      <c r="S31" s="327"/>
      <c r="T31" s="327"/>
      <c r="U31" s="327"/>
      <c r="V31" s="327"/>
      <c r="W31" s="327"/>
      <c r="X31" s="327"/>
      <c r="Y31" s="14"/>
      <c r="AC31" s="191" t="s">
        <v>351</v>
      </c>
      <c r="AD31" s="191" t="s">
        <v>365</v>
      </c>
      <c r="AE31" s="191" t="s">
        <v>366</v>
      </c>
      <c r="AF31" s="191" t="s">
        <v>367</v>
      </c>
      <c r="AG31" s="191" t="s">
        <v>368</v>
      </c>
      <c r="AH31" s="191" t="s">
        <v>369</v>
      </c>
      <c r="AI31" s="191" t="s">
        <v>370</v>
      </c>
      <c r="AJ31" s="191" t="s">
        <v>371</v>
      </c>
      <c r="AK31" s="191" t="s">
        <v>372</v>
      </c>
      <c r="AL31" s="191" t="s">
        <v>359</v>
      </c>
      <c r="AM31" s="191" t="s">
        <v>373</v>
      </c>
      <c r="AN31" s="191" t="s">
        <v>374</v>
      </c>
      <c r="AO31" s="191" t="s">
        <v>352</v>
      </c>
      <c r="AP31" s="192" t="s">
        <v>379</v>
      </c>
      <c r="AQ31">
        <f>AM28+AQ30*(AN28-AM28)</f>
        <v>0.495</v>
      </c>
    </row>
    <row r="32" spans="2:43" ht="17.25" customHeight="1" thickTop="1" thickBot="1"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AC32" s="185">
        <f>angleConvert2Decimal(AC31)</f>
        <v>0.49</v>
      </c>
      <c r="AD32" s="185">
        <f>angleConvert2Decimal(AD31)</f>
        <v>0.5</v>
      </c>
      <c r="AE32" s="185">
        <f>angleConvert2Decimal(AE31)</f>
        <v>0.505</v>
      </c>
      <c r="AF32" s="185">
        <f>angleConvert2Decimal(AF31)</f>
        <v>0.51</v>
      </c>
      <c r="AG32" s="185">
        <f>angleConvert2Decimal(AG31)</f>
        <v>0.51333333333333331</v>
      </c>
      <c r="AH32" s="185">
        <f t="shared" ref="AH32:AO32" si="0">angleConvert2Decimal(AH31)</f>
        <v>0.51833333333333331</v>
      </c>
      <c r="AI32" s="185">
        <f t="shared" si="0"/>
        <v>0.52333333333333332</v>
      </c>
      <c r="AJ32" s="185">
        <f t="shared" si="0"/>
        <v>0.52833333333333332</v>
      </c>
      <c r="AK32" s="185">
        <f t="shared" si="0"/>
        <v>0.53333333333333333</v>
      </c>
      <c r="AL32" s="185">
        <f t="shared" si="0"/>
        <v>0.53666666666666674</v>
      </c>
      <c r="AM32" s="185">
        <f t="shared" si="0"/>
        <v>0.54166666666666663</v>
      </c>
      <c r="AN32" s="185">
        <f t="shared" si="0"/>
        <v>0.54666666666666663</v>
      </c>
      <c r="AO32" s="185">
        <f t="shared" si="0"/>
        <v>0.55499999999999994</v>
      </c>
    </row>
    <row r="33" spans="1:66" ht="17.25" customHeight="1" thickBot="1">
      <c r="B33" s="25" t="s">
        <v>214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4"/>
    </row>
    <row r="34" spans="1:66" ht="17.25" customHeight="1">
      <c r="C34" s="14"/>
      <c r="D34" s="14"/>
      <c r="E34" s="632" t="s">
        <v>7</v>
      </c>
      <c r="F34" s="632"/>
      <c r="G34" s="632"/>
      <c r="H34" s="632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</row>
    <row r="35" spans="1:66" ht="17.25" customHeight="1" thickBot="1">
      <c r="C35" s="14"/>
      <c r="D35" s="14"/>
      <c r="E35" s="632"/>
      <c r="F35" s="632"/>
      <c r="G35" s="632"/>
      <c r="H35" s="632"/>
      <c r="I35" s="14"/>
      <c r="J35" s="14" t="s">
        <v>140</v>
      </c>
      <c r="K35" s="14"/>
      <c r="L35" s="14" t="s">
        <v>141</v>
      </c>
      <c r="M35" s="14"/>
      <c r="N35" s="14"/>
      <c r="O35" s="14"/>
      <c r="P35" s="14"/>
      <c r="Q35" s="14"/>
      <c r="R35" s="14"/>
      <c r="S35" s="14"/>
      <c r="T35" s="14"/>
      <c r="U35" s="14"/>
      <c r="V35" s="14"/>
    </row>
    <row r="36" spans="1:66" ht="17.25" customHeight="1" thickTop="1" thickBot="1">
      <c r="A36" s="626" t="s">
        <v>34</v>
      </c>
      <c r="B36" s="627"/>
      <c r="C36" s="628"/>
      <c r="D36" s="14"/>
      <c r="E36" s="14"/>
      <c r="F36" s="462">
        <f>AD37</f>
        <v>40</v>
      </c>
      <c r="G36" s="525"/>
      <c r="H36" s="525"/>
      <c r="I36" s="387" t="s">
        <v>3</v>
      </c>
      <c r="J36" s="389" t="s">
        <v>498</v>
      </c>
      <c r="K36" s="387"/>
      <c r="L36" s="387"/>
      <c r="M36" s="387"/>
      <c r="N36" s="387"/>
      <c r="O36" s="350" t="str" cm="1">
        <f t="array" ref="O36">angleDecimal2Txt(F36)</f>
        <v>+40°00.00 (+40.0000) [+40°00'00.00]</v>
      </c>
      <c r="P36" s="350"/>
      <c r="Q36" s="350"/>
      <c r="R36" s="350"/>
      <c r="S36" s="350"/>
      <c r="T36" s="350"/>
      <c r="U36" s="350"/>
      <c r="V36" s="350"/>
      <c r="W36" s="350"/>
      <c r="X36" s="350"/>
      <c r="Y36" s="14"/>
      <c r="Z36" s="14"/>
      <c r="AC36" s="3" t="s">
        <v>179</v>
      </c>
      <c r="AD36" s="3">
        <f>VLOOKUP(I36,A38:C39,3)</f>
        <v>1</v>
      </c>
      <c r="BN36" s="31"/>
    </row>
    <row r="37" spans="1:66" ht="17.25" customHeight="1" thickTop="1" thickBot="1">
      <c r="A37" s="17" t="s">
        <v>41</v>
      </c>
      <c r="B37" s="32" t="s">
        <v>42</v>
      </c>
      <c r="C37" s="18"/>
      <c r="D37" s="14"/>
      <c r="E37" s="14"/>
      <c r="F37" s="525"/>
      <c r="G37" s="525"/>
      <c r="H37" s="525"/>
      <c r="I37" s="387"/>
      <c r="J37" s="387"/>
      <c r="K37" s="387"/>
      <c r="L37" s="387"/>
      <c r="M37" s="387"/>
      <c r="N37" s="387"/>
      <c r="O37" s="350"/>
      <c r="P37" s="350"/>
      <c r="Q37" s="350"/>
      <c r="R37" s="350"/>
      <c r="S37" s="350"/>
      <c r="T37" s="350"/>
      <c r="U37" s="350"/>
      <c r="V37" s="350"/>
      <c r="W37" s="350"/>
      <c r="X37" s="350"/>
      <c r="Y37" s="14"/>
      <c r="Z37" s="14"/>
      <c r="AC37" s="3" t="s">
        <v>180</v>
      </c>
      <c r="AD37" s="3" cm="1">
        <f t="array" ref="AD37">angleConvert2Decimal(J36)*AD36</f>
        <v>40</v>
      </c>
      <c r="BN37" s="31"/>
    </row>
    <row r="38" spans="1:66" ht="17.25" customHeight="1" thickTop="1">
      <c r="A38" s="17" t="s">
        <v>3</v>
      </c>
      <c r="B38" s="32" t="s">
        <v>5</v>
      </c>
      <c r="C38" s="18">
        <v>1</v>
      </c>
      <c r="D38" s="14"/>
      <c r="E38" s="14"/>
      <c r="F38" s="14"/>
      <c r="G38" s="14"/>
      <c r="H38" s="14"/>
      <c r="BN38" s="31"/>
    </row>
    <row r="39" spans="1:66" ht="17.25" customHeight="1" thickBot="1">
      <c r="A39" s="19" t="s">
        <v>4</v>
      </c>
      <c r="B39" s="20" t="s">
        <v>6</v>
      </c>
      <c r="C39" s="21">
        <v>-1</v>
      </c>
      <c r="D39" s="14"/>
      <c r="E39" s="526" t="s">
        <v>8</v>
      </c>
      <c r="F39" s="526"/>
      <c r="G39" s="526"/>
      <c r="H39" s="526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BN39" s="31"/>
    </row>
    <row r="40" spans="1:66" ht="17.25" customHeight="1" thickBot="1">
      <c r="C40" s="14"/>
      <c r="D40" s="14"/>
      <c r="E40" s="526"/>
      <c r="F40" s="526"/>
      <c r="G40" s="526"/>
      <c r="H40" s="526"/>
      <c r="I40" s="14"/>
      <c r="J40" s="14" t="s">
        <v>140</v>
      </c>
      <c r="K40" s="14"/>
      <c r="L40" s="14" t="s">
        <v>149</v>
      </c>
      <c r="M40" s="14"/>
      <c r="N40" s="14"/>
      <c r="O40" s="14"/>
      <c r="P40" s="14"/>
      <c r="Q40" s="14"/>
      <c r="R40" s="14"/>
      <c r="S40" s="14"/>
      <c r="T40" s="14"/>
      <c r="U40" s="14"/>
      <c r="V40" s="14"/>
      <c r="BN40" s="31"/>
    </row>
    <row r="41" spans="1:66" ht="17.25" customHeight="1" thickTop="1" thickBot="1">
      <c r="B41" s="14"/>
      <c r="C41" s="14"/>
      <c r="D41" s="14"/>
      <c r="E41" s="14"/>
      <c r="F41" s="462">
        <f>AD42</f>
        <v>3.75</v>
      </c>
      <c r="G41" s="525"/>
      <c r="H41" s="525"/>
      <c r="I41" s="387" t="s">
        <v>5</v>
      </c>
      <c r="J41" s="389" t="s">
        <v>499</v>
      </c>
      <c r="K41" s="387"/>
      <c r="L41" s="387"/>
      <c r="M41" s="387"/>
      <c r="N41" s="387"/>
      <c r="O41" s="350" t="str" cm="1">
        <f t="array" ref="O41">angleDecimal2Txt(F41)</f>
        <v>+03°45.00 (+03.7500) [+03°45'00.00]</v>
      </c>
      <c r="P41" s="350"/>
      <c r="Q41" s="350"/>
      <c r="R41" s="350"/>
      <c r="S41" s="350"/>
      <c r="T41" s="350"/>
      <c r="U41" s="350"/>
      <c r="V41" s="350"/>
      <c r="W41" s="350"/>
      <c r="X41" s="350"/>
      <c r="Y41" s="14"/>
      <c r="Z41" s="14"/>
      <c r="AC41" s="3" t="s">
        <v>181</v>
      </c>
      <c r="AD41" s="3">
        <f>VLOOKUP(I41,B38:C39,2)</f>
        <v>1</v>
      </c>
    </row>
    <row r="42" spans="1:66" ht="17.25" customHeight="1" thickTop="1" thickBot="1">
      <c r="C42" s="14"/>
      <c r="D42" s="14"/>
      <c r="E42" s="14"/>
      <c r="F42" s="525"/>
      <c r="G42" s="525"/>
      <c r="H42" s="525"/>
      <c r="I42" s="387"/>
      <c r="J42" s="387"/>
      <c r="K42" s="387"/>
      <c r="L42" s="387"/>
      <c r="M42" s="387"/>
      <c r="N42" s="387"/>
      <c r="O42" s="350"/>
      <c r="P42" s="350"/>
      <c r="Q42" s="350"/>
      <c r="R42" s="350"/>
      <c r="S42" s="350"/>
      <c r="T42" s="350"/>
      <c r="U42" s="350"/>
      <c r="V42" s="350"/>
      <c r="W42" s="350"/>
      <c r="X42" s="350"/>
      <c r="Y42" s="14"/>
      <c r="Z42" s="14"/>
      <c r="AC42" s="3" t="s">
        <v>182</v>
      </c>
      <c r="AD42" s="3" cm="1">
        <f t="array" ref="AD42">angleConvert2Decimal(J41)*AD41</f>
        <v>3.75</v>
      </c>
    </row>
    <row r="43" spans="1:66" ht="17.25" customHeight="1" thickTop="1"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66" ht="17.25" customHeight="1" thickBot="1"/>
    <row r="45" spans="1:66" ht="17.25" customHeight="1" thickBot="1">
      <c r="B45" s="25" t="s">
        <v>9</v>
      </c>
      <c r="C45" s="26"/>
      <c r="D45" s="26"/>
      <c r="E45" s="26"/>
      <c r="F45" s="379">
        <f>IF(G46=AD46,F50,F58)</f>
        <v>-16.989644444444444</v>
      </c>
      <c r="G45" s="379"/>
      <c r="H45" s="379"/>
      <c r="I45" s="26"/>
      <c r="J45" s="26"/>
      <c r="K45" s="26" t="str" cm="1">
        <f t="array" ref="K45">angleDecimal2Txt(F45)</f>
        <v>-16°59.37 (-16.9896) [-16°59'22.72]</v>
      </c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66"/>
    </row>
    <row r="46" spans="1:66" s="33" customFormat="1" ht="17.25" customHeight="1">
      <c r="C46" s="377" t="s">
        <v>35</v>
      </c>
      <c r="D46" s="377"/>
      <c r="E46" s="377"/>
      <c r="F46" s="377"/>
      <c r="G46" s="383" t="s">
        <v>10</v>
      </c>
      <c r="H46" s="383"/>
      <c r="I46" s="383"/>
      <c r="AB46" s="67"/>
      <c r="AC46" s="596" t="s">
        <v>36</v>
      </c>
      <c r="AD46" s="70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34" t="s">
        <v>10</v>
      </c>
      <c r="D47" s="34"/>
      <c r="E47" s="35"/>
      <c r="F47" s="35"/>
      <c r="G47" s="14"/>
      <c r="H47" s="14"/>
      <c r="I47" s="14"/>
      <c r="AC47" s="596"/>
      <c r="AD47" s="70" t="s">
        <v>14</v>
      </c>
      <c r="AF47" s="16"/>
      <c r="AG47" s="16"/>
    </row>
    <row r="48" spans="1:66" ht="17.25" customHeight="1">
      <c r="F48" s="388" t="s">
        <v>9</v>
      </c>
      <c r="G48" s="388"/>
      <c r="H48" s="388"/>
      <c r="I48" s="388" t="s">
        <v>12</v>
      </c>
      <c r="J48" s="388"/>
      <c r="K48" s="388"/>
      <c r="L48" s="388"/>
      <c r="M48" s="380" t="s">
        <v>13</v>
      </c>
      <c r="N48" s="380"/>
      <c r="O48" s="380"/>
      <c r="P48" s="390" t="s">
        <v>15</v>
      </c>
      <c r="Q48" s="390"/>
      <c r="R48" s="390"/>
      <c r="S48" s="390"/>
      <c r="T48" s="390"/>
      <c r="U48" s="14"/>
      <c r="AD48" s="75" t="s">
        <v>73</v>
      </c>
      <c r="AE48" s="3" t="s">
        <v>191</v>
      </c>
    </row>
    <row r="49" spans="1:35" ht="17.25" customHeight="1" thickBot="1">
      <c r="F49" s="388"/>
      <c r="G49" s="388"/>
      <c r="H49" s="388"/>
      <c r="I49" s="388"/>
      <c r="J49" s="388"/>
      <c r="K49" s="388"/>
      <c r="L49" s="388"/>
      <c r="M49" s="380"/>
      <c r="N49" s="380"/>
      <c r="O49" s="380"/>
      <c r="P49" s="390"/>
      <c r="Q49" s="390"/>
      <c r="R49" s="390"/>
      <c r="S49" s="390"/>
      <c r="T49" s="390"/>
      <c r="U49" s="14"/>
      <c r="AC49" s="3" t="s">
        <v>183</v>
      </c>
      <c r="AD49" s="3">
        <f>VLOOKUP(P50,$A$38:$C$39,3)</f>
        <v>-1</v>
      </c>
      <c r="AE49" s="3" cm="1">
        <f t="array" ref="AE49">AD49*angleConvert2Decimal(Q50)</f>
        <v>-17.04</v>
      </c>
    </row>
    <row r="50" spans="1:35" ht="17.25" customHeight="1" thickTop="1" thickBot="1">
      <c r="E50" s="16"/>
      <c r="F50" s="461">
        <f>IF(G46=AD47,"---",AD54)</f>
        <v>-16.989644444444444</v>
      </c>
      <c r="G50" s="461"/>
      <c r="H50" s="461"/>
      <c r="I50" s="498">
        <f>E11</f>
        <v>8.3147222222222226</v>
      </c>
      <c r="J50" s="498"/>
      <c r="K50" s="498"/>
      <c r="L50" s="498"/>
      <c r="M50" s="599">
        <v>8</v>
      </c>
      <c r="N50" s="386"/>
      <c r="O50" s="386"/>
      <c r="P50" s="386" t="s">
        <v>4</v>
      </c>
      <c r="Q50" s="529" t="s">
        <v>345</v>
      </c>
      <c r="R50" s="592"/>
      <c r="S50" s="592"/>
      <c r="T50" s="592"/>
      <c r="U50" s="350" t="str" cm="1">
        <f t="array" ref="U50">angleDecimal2Txt(AE49)</f>
        <v>-17°02.39 (-17.0399) [-17°02'24.00]</v>
      </c>
      <c r="V50" s="524"/>
      <c r="W50" s="524"/>
      <c r="X50" s="524"/>
      <c r="Y50" s="524"/>
      <c r="AC50" s="3" t="s">
        <v>184</v>
      </c>
      <c r="AD50" s="3">
        <f>VLOOKUP(P52,$A$38:$C$39,3)</f>
        <v>-1</v>
      </c>
      <c r="AE50" s="3" cm="1">
        <f t="array" ref="AE50">AD50*angleConvert2Decimal(Q52)</f>
        <v>-16.88</v>
      </c>
    </row>
    <row r="51" spans="1:35" ht="17.25" customHeight="1" thickTop="1" thickBot="1">
      <c r="F51" s="462"/>
      <c r="G51" s="462"/>
      <c r="H51" s="462"/>
      <c r="I51" s="498"/>
      <c r="J51" s="498"/>
      <c r="K51" s="498"/>
      <c r="L51" s="498"/>
      <c r="M51" s="595"/>
      <c r="N51" s="387"/>
      <c r="O51" s="387"/>
      <c r="P51" s="387"/>
      <c r="Q51" s="593"/>
      <c r="R51" s="593"/>
      <c r="S51" s="593"/>
      <c r="T51" s="593"/>
      <c r="U51" s="524"/>
      <c r="V51" s="524"/>
      <c r="W51" s="524"/>
      <c r="X51" s="524"/>
      <c r="Y51" s="524"/>
      <c r="AC51" s="3" t="s">
        <v>38</v>
      </c>
      <c r="AD51" s="5">
        <f>AE50-AE49</f>
        <v>0.16000000000000014</v>
      </c>
    </row>
    <row r="52" spans="1:35" ht="17.25" customHeight="1" thickTop="1" thickBot="1">
      <c r="F52" s="462"/>
      <c r="G52" s="462"/>
      <c r="H52" s="462"/>
      <c r="I52" s="498"/>
      <c r="J52" s="498"/>
      <c r="K52" s="498"/>
      <c r="L52" s="498"/>
      <c r="M52" s="595">
        <v>9</v>
      </c>
      <c r="N52" s="387"/>
      <c r="O52" s="387"/>
      <c r="P52" s="387" t="s">
        <v>4</v>
      </c>
      <c r="Q52" s="637" t="s">
        <v>346</v>
      </c>
      <c r="R52" s="593"/>
      <c r="S52" s="593"/>
      <c r="T52" s="593"/>
      <c r="U52" s="350" t="str" cm="1">
        <f t="array" ref="U52">angleDecimal2Txt((AE50))</f>
        <v>-16°52.79 (-16.8799) [-16°52'48.00]</v>
      </c>
      <c r="V52" s="524"/>
      <c r="W52" s="524"/>
      <c r="X52" s="524"/>
      <c r="Y52" s="524"/>
      <c r="AC52" s="3" t="s">
        <v>185</v>
      </c>
      <c r="AD52" s="5">
        <f>M52-M50</f>
        <v>1</v>
      </c>
      <c r="AE52" s="16"/>
      <c r="AF52" s="16"/>
      <c r="AG52" s="16"/>
      <c r="AH52" s="16"/>
    </row>
    <row r="53" spans="1:35" ht="17.25" customHeight="1" thickTop="1" thickBot="1">
      <c r="F53" s="462"/>
      <c r="G53" s="462"/>
      <c r="H53" s="462"/>
      <c r="I53" s="498"/>
      <c r="J53" s="498"/>
      <c r="K53" s="498"/>
      <c r="L53" s="498"/>
      <c r="M53" s="595"/>
      <c r="N53" s="387"/>
      <c r="O53" s="387"/>
      <c r="P53" s="387"/>
      <c r="Q53" s="593"/>
      <c r="R53" s="593"/>
      <c r="S53" s="593"/>
      <c r="T53" s="593"/>
      <c r="U53" s="524"/>
      <c r="V53" s="524"/>
      <c r="W53" s="524"/>
      <c r="X53" s="524"/>
      <c r="Y53" s="524"/>
      <c r="AC53" s="3" t="s">
        <v>39</v>
      </c>
      <c r="AD53" s="5">
        <f>I50-M50</f>
        <v>0.31472222222222257</v>
      </c>
      <c r="AI53" s="11"/>
    </row>
    <row r="54" spans="1:35" ht="17.25" customHeight="1" thickTop="1" thickBot="1">
      <c r="F54" s="327" t="str" cm="1">
        <f t="array" ref="F54">angleDecimal2Txt(F50)</f>
        <v>-16°59.37 (-16.9896) [-16°59'22.72]</v>
      </c>
      <c r="G54" s="327"/>
      <c r="H54" s="327"/>
      <c r="I54" s="527"/>
      <c r="J54" s="527"/>
      <c r="K54" s="527"/>
      <c r="AA54" s="14"/>
      <c r="AC54" s="3" t="s">
        <v>37</v>
      </c>
      <c r="AD54" s="3">
        <f>AE49+(AD51/AD52)*AD53</f>
        <v>-16.989644444444444</v>
      </c>
    </row>
    <row r="55" spans="1:35" ht="17.25" customHeight="1" thickTop="1">
      <c r="C55" s="34" t="s">
        <v>14</v>
      </c>
      <c r="D55" s="34"/>
      <c r="E55" s="35"/>
      <c r="F55" s="35"/>
      <c r="G55" s="14"/>
      <c r="H55" s="14"/>
      <c r="I55" s="14"/>
      <c r="AA55" s="14"/>
    </row>
    <row r="56" spans="1:35" ht="17.25" customHeight="1">
      <c r="C56" s="14"/>
      <c r="D56" s="14"/>
      <c r="E56" s="14"/>
      <c r="F56" s="388" t="s">
        <v>9</v>
      </c>
      <c r="G56" s="388"/>
      <c r="H56" s="388"/>
      <c r="I56" s="388" t="s">
        <v>12</v>
      </c>
      <c r="J56" s="388"/>
      <c r="K56" s="388"/>
      <c r="L56" s="388"/>
      <c r="M56" s="380" t="s">
        <v>13</v>
      </c>
      <c r="N56" s="380"/>
      <c r="O56" s="380"/>
      <c r="P56" s="390" t="s">
        <v>16</v>
      </c>
      <c r="Q56" s="390"/>
      <c r="R56" s="390"/>
      <c r="S56" s="390"/>
      <c r="T56" s="390"/>
      <c r="U56" s="390" t="s">
        <v>142</v>
      </c>
      <c r="V56" s="390"/>
      <c r="W56" s="390"/>
      <c r="X56" s="390"/>
      <c r="Y56" s="390"/>
      <c r="AA56" s="14"/>
      <c r="AC56" s="3" t="s">
        <v>186</v>
      </c>
      <c r="AD56" s="3">
        <f>VLOOKUP(P58,$A$38:$C$39,3)</f>
        <v>-1</v>
      </c>
    </row>
    <row r="57" spans="1:35" ht="17.25" customHeight="1">
      <c r="F57" s="388"/>
      <c r="G57" s="388"/>
      <c r="H57" s="388"/>
      <c r="I57" s="388"/>
      <c r="J57" s="388"/>
      <c r="K57" s="388"/>
      <c r="L57" s="388"/>
      <c r="M57" s="380"/>
      <c r="N57" s="380"/>
      <c r="O57" s="380"/>
      <c r="P57" s="390"/>
      <c r="Q57" s="390"/>
      <c r="R57" s="390"/>
      <c r="S57" s="390"/>
      <c r="T57" s="390"/>
      <c r="U57" s="390"/>
      <c r="V57" s="390"/>
      <c r="W57" s="390"/>
      <c r="X57" s="390"/>
      <c r="Y57" s="390"/>
      <c r="Z57" s="14"/>
      <c r="AA57" s="14"/>
      <c r="AC57" s="3" t="s">
        <v>187</v>
      </c>
      <c r="AD57" s="3" cm="1">
        <f t="array" ref="AD57">angleConvert2Decimal(Q58)*AD56</f>
        <v>-12.24</v>
      </c>
    </row>
    <row r="58" spans="1:35" ht="17.25" customHeight="1">
      <c r="E58" s="16"/>
      <c r="F58" s="461" t="str">
        <f>IF(G46=AD47,AD60,"---")</f>
        <v>---</v>
      </c>
      <c r="G58" s="461"/>
      <c r="H58" s="461"/>
      <c r="I58" s="498">
        <f>E11</f>
        <v>8.3147222222222226</v>
      </c>
      <c r="J58" s="498"/>
      <c r="K58" s="498"/>
      <c r="L58" s="498"/>
      <c r="M58" s="599">
        <v>0</v>
      </c>
      <c r="N58" s="386"/>
      <c r="O58" s="386"/>
      <c r="P58" s="386" t="s">
        <v>4</v>
      </c>
      <c r="Q58" s="602" t="s">
        <v>136</v>
      </c>
      <c r="R58" s="386"/>
      <c r="S58" s="386"/>
      <c r="T58" s="386"/>
      <c r="U58" s="386" t="s">
        <v>3</v>
      </c>
      <c r="V58" s="602" t="s">
        <v>117</v>
      </c>
      <c r="W58" s="386"/>
      <c r="X58" s="386"/>
      <c r="Y58" s="386"/>
      <c r="Z58" s="14"/>
      <c r="AC58" s="3" t="s">
        <v>188</v>
      </c>
      <c r="AD58" s="3">
        <f>VLOOKUP(U58,$A$38:$C$39,3)</f>
        <v>1</v>
      </c>
    </row>
    <row r="59" spans="1:35" ht="17.25" customHeight="1" collapsed="1" thickBot="1">
      <c r="F59" s="462"/>
      <c r="G59" s="462"/>
      <c r="H59" s="462"/>
      <c r="I59" s="498"/>
      <c r="J59" s="498"/>
      <c r="K59" s="498"/>
      <c r="L59" s="498"/>
      <c r="M59" s="595"/>
      <c r="N59" s="387"/>
      <c r="O59" s="387"/>
      <c r="P59" s="387"/>
      <c r="Q59" s="387"/>
      <c r="R59" s="387"/>
      <c r="S59" s="387"/>
      <c r="T59" s="387"/>
      <c r="U59" s="387"/>
      <c r="V59" s="387"/>
      <c r="W59" s="387"/>
      <c r="X59" s="387"/>
      <c r="Y59" s="387"/>
      <c r="Z59" s="14"/>
      <c r="AC59" s="3" t="s">
        <v>189</v>
      </c>
      <c r="AD59" s="3" cm="1">
        <f t="array" ref="AD59">angleConvert2Decimal(V58)*AD58</f>
        <v>1.6E-2</v>
      </c>
    </row>
    <row r="60" spans="1:35" ht="17.25" customHeight="1" thickTop="1" thickBot="1">
      <c r="F60" s="327" t="e" cm="1">
        <f t="array" ref="F60">angleDecimal2Txt(F58)</f>
        <v>#VALUE!</v>
      </c>
      <c r="G60" s="327"/>
      <c r="H60" s="327"/>
      <c r="I60" s="527"/>
      <c r="J60" s="527"/>
      <c r="K60" s="527"/>
      <c r="P60" s="327" t="str" cm="1">
        <f t="array" ref="P60">angleDecimal2Txt(AD57)</f>
        <v>-12°14.40 (-12.2400) [-12°14'24.00]</v>
      </c>
      <c r="Q60" s="327"/>
      <c r="R60" s="327"/>
      <c r="S60" s="327"/>
      <c r="T60" s="327"/>
      <c r="U60" s="327" t="str" cm="1">
        <f t="array" ref="U60">angleDecimal2Txt(AD59)</f>
        <v>+00°00.96 (+00.0160) [+00°00'57.60]</v>
      </c>
      <c r="V60" s="538"/>
      <c r="W60" s="538"/>
      <c r="X60" s="538"/>
      <c r="Y60" s="538"/>
      <c r="AC60" s="3" t="s">
        <v>190</v>
      </c>
      <c r="AD60" s="3">
        <f>AD57+AD59*(I58-M58)</f>
        <v>-12.106964444444445</v>
      </c>
    </row>
    <row r="61" spans="1:35" ht="17.25" customHeight="1" thickTop="1">
      <c r="S61" s="14"/>
      <c r="T61" s="14"/>
      <c r="U61" s="14"/>
      <c r="V61" s="14"/>
      <c r="W61" s="14"/>
      <c r="X61" s="14"/>
    </row>
    <row r="62" spans="1:35" ht="17.25" customHeight="1" thickBot="1">
      <c r="S62" s="14"/>
      <c r="T62" s="14"/>
      <c r="U62" s="14"/>
      <c r="V62" s="14"/>
      <c r="W62" s="14"/>
      <c r="X62" s="14"/>
    </row>
    <row r="63" spans="1:35" ht="17.25" customHeight="1" thickBot="1">
      <c r="A63" s="33"/>
      <c r="B63" s="25" t="s">
        <v>481</v>
      </c>
      <c r="C63" s="26"/>
      <c r="D63" s="26"/>
      <c r="E63" s="26"/>
      <c r="F63" s="379">
        <f>IF(G64=AD64,F68,F76)</f>
        <v>40.252541666666673</v>
      </c>
      <c r="G63" s="379"/>
      <c r="H63" s="379"/>
      <c r="I63" s="26"/>
      <c r="J63" s="26"/>
      <c r="K63" s="26"/>
      <c r="L63" s="376">
        <f>IF(F63&gt;360,F63-360,F63)</f>
        <v>40.252541666666673</v>
      </c>
      <c r="M63" s="376"/>
      <c r="N63" s="26" t="s">
        <v>28</v>
      </c>
      <c r="O63" s="26"/>
      <c r="P63" s="26"/>
      <c r="Q63" s="26" t="str">
        <f>angleDecimal2Txt(L63)</f>
        <v>+40°15.15 (+40.2525) [+40°15'09.15]</v>
      </c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66"/>
    </row>
    <row r="64" spans="1:35" ht="17.25" customHeight="1">
      <c r="B64" s="33"/>
      <c r="C64" s="377" t="s">
        <v>35</v>
      </c>
      <c r="D64" s="377"/>
      <c r="E64" s="377"/>
      <c r="F64" s="378"/>
      <c r="G64" s="611" t="s">
        <v>10</v>
      </c>
      <c r="H64" s="612"/>
      <c r="I64" s="61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67"/>
      <c r="AC64" s="596" t="s">
        <v>36</v>
      </c>
      <c r="AD64" s="70" t="s">
        <v>10</v>
      </c>
    </row>
    <row r="65" spans="3:32" ht="17.25" customHeight="1">
      <c r="C65" s="34" t="s">
        <v>10</v>
      </c>
      <c r="D65" s="34"/>
      <c r="E65" s="35"/>
      <c r="F65" s="35"/>
      <c r="G65" s="14"/>
      <c r="H65" s="14"/>
      <c r="I65" s="14"/>
      <c r="AC65" s="596"/>
      <c r="AD65" s="70" t="s">
        <v>14</v>
      </c>
    </row>
    <row r="66" spans="3:32" ht="17.25" customHeight="1">
      <c r="F66" s="365" t="s">
        <v>9</v>
      </c>
      <c r="G66" s="381"/>
      <c r="H66" s="366"/>
      <c r="I66" s="365" t="s">
        <v>12</v>
      </c>
      <c r="J66" s="381"/>
      <c r="K66" s="381"/>
      <c r="L66" s="366"/>
      <c r="M66" s="507" t="s">
        <v>13</v>
      </c>
      <c r="N66" s="508"/>
      <c r="O66" s="509"/>
      <c r="P66" s="499" t="s">
        <v>15</v>
      </c>
      <c r="Q66" s="500"/>
      <c r="R66" s="500"/>
      <c r="S66" s="500"/>
      <c r="T66" s="501"/>
      <c r="U66" s="14"/>
      <c r="AD66" s="75" t="s">
        <v>73</v>
      </c>
      <c r="AE66" s="3" t="s">
        <v>191</v>
      </c>
    </row>
    <row r="67" spans="3:32" ht="17.25" customHeight="1" thickBot="1">
      <c r="F67" s="369"/>
      <c r="G67" s="382"/>
      <c r="H67" s="370"/>
      <c r="I67" s="369"/>
      <c r="J67" s="382"/>
      <c r="K67" s="382"/>
      <c r="L67" s="370"/>
      <c r="M67" s="510"/>
      <c r="N67" s="511"/>
      <c r="O67" s="512"/>
      <c r="P67" s="502"/>
      <c r="Q67" s="503"/>
      <c r="R67" s="503"/>
      <c r="S67" s="503"/>
      <c r="T67" s="504"/>
      <c r="U67" s="14"/>
      <c r="Z67"/>
      <c r="AC67" s="3" t="s">
        <v>183</v>
      </c>
      <c r="AD67" s="3">
        <f>VLOOKUP(P68,$B$38:$C$39,2)</f>
        <v>1</v>
      </c>
      <c r="AE67" s="3" cm="1">
        <f t="array" ref="AE67">AD67*angleConvert2Decimal(Q68)</f>
        <v>35.673333333333332</v>
      </c>
    </row>
    <row r="68" spans="3:32" ht="17.25" customHeight="1" thickTop="1" thickBot="1">
      <c r="E68" s="16"/>
      <c r="F68" s="461">
        <f>IF(G64=AD65,"---",AF72)</f>
        <v>40.252541666666673</v>
      </c>
      <c r="G68" s="461"/>
      <c r="H68" s="461"/>
      <c r="I68" s="498">
        <f>E11</f>
        <v>8.3147222222222226</v>
      </c>
      <c r="J68" s="498"/>
      <c r="K68" s="498"/>
      <c r="L68" s="498"/>
      <c r="M68" s="457">
        <v>8</v>
      </c>
      <c r="N68" s="458"/>
      <c r="O68" s="458"/>
      <c r="P68" s="498" t="s">
        <v>5</v>
      </c>
      <c r="Q68" s="530" t="s">
        <v>347</v>
      </c>
      <c r="R68" s="530"/>
      <c r="S68" s="530"/>
      <c r="T68" s="531"/>
      <c r="U68" s="350" t="str" cm="1">
        <f t="array" ref="U68">angleDecimal2Txt(AE67)</f>
        <v>+35°40.39 (+35.6733) [+35°40'24.00]</v>
      </c>
      <c r="V68" s="524"/>
      <c r="W68" s="524"/>
      <c r="X68" s="524"/>
      <c r="Y68" s="524"/>
      <c r="Z68"/>
      <c r="AC68" s="3" t="s">
        <v>184</v>
      </c>
      <c r="AD68" s="3">
        <f>VLOOKUP(P70,$B$38:$C$39,2)</f>
        <v>1</v>
      </c>
      <c r="AE68" s="3" cm="1">
        <f t="array" ref="AE68">AD68*angleConvert2Decimal(Q70)</f>
        <v>50.223333333333336</v>
      </c>
    </row>
    <row r="69" spans="3:32" ht="17.25" customHeight="1" thickTop="1" thickBot="1">
      <c r="F69" s="462"/>
      <c r="G69" s="462"/>
      <c r="H69" s="462"/>
      <c r="I69" s="498"/>
      <c r="J69" s="498"/>
      <c r="K69" s="498"/>
      <c r="L69" s="498"/>
      <c r="M69" s="459"/>
      <c r="N69" s="460"/>
      <c r="O69" s="460"/>
      <c r="P69" s="498"/>
      <c r="Q69" s="532"/>
      <c r="R69" s="532"/>
      <c r="S69" s="532"/>
      <c r="T69" s="533"/>
      <c r="U69" s="524"/>
      <c r="V69" s="524"/>
      <c r="W69" s="524"/>
      <c r="X69" s="524"/>
      <c r="Y69" s="524"/>
      <c r="Z69"/>
      <c r="AC69" s="3" t="s">
        <v>38</v>
      </c>
      <c r="AD69" s="5">
        <f>AE68-AE67</f>
        <v>14.550000000000004</v>
      </c>
    </row>
    <row r="70" spans="3:32" ht="17.25" customHeight="1" thickTop="1" thickBot="1">
      <c r="F70" s="462"/>
      <c r="G70" s="462"/>
      <c r="H70" s="462"/>
      <c r="I70" s="498"/>
      <c r="J70" s="498"/>
      <c r="K70" s="498"/>
      <c r="L70" s="498"/>
      <c r="M70" s="609">
        <v>9</v>
      </c>
      <c r="N70" s="610"/>
      <c r="O70" s="610"/>
      <c r="P70" s="498" t="s">
        <v>5</v>
      </c>
      <c r="Q70" s="534" t="s">
        <v>348</v>
      </c>
      <c r="R70" s="534"/>
      <c r="S70" s="534"/>
      <c r="T70" s="535"/>
      <c r="U70" s="350" t="str" cm="1">
        <f t="array" ref="U70">angleDecimal2Txt((AE68))</f>
        <v>+50°13.40 (+50.2233) [+50°13'24.00]</v>
      </c>
      <c r="V70" s="524"/>
      <c r="W70" s="524"/>
      <c r="X70" s="524"/>
      <c r="Y70" s="524"/>
      <c r="Z70"/>
      <c r="AC70" s="3" t="s">
        <v>185</v>
      </c>
      <c r="AD70" s="5">
        <f>M70-M68</f>
        <v>1</v>
      </c>
      <c r="AE70" s="16"/>
    </row>
    <row r="71" spans="3:32" ht="17.25" customHeight="1" thickTop="1" thickBot="1">
      <c r="F71" s="462"/>
      <c r="G71" s="462"/>
      <c r="H71" s="462"/>
      <c r="I71" s="498"/>
      <c r="J71" s="498"/>
      <c r="K71" s="498"/>
      <c r="L71" s="498"/>
      <c r="M71" s="459"/>
      <c r="N71" s="460"/>
      <c r="O71" s="460"/>
      <c r="P71" s="498"/>
      <c r="Q71" s="532"/>
      <c r="R71" s="532"/>
      <c r="S71" s="532"/>
      <c r="T71" s="533"/>
      <c r="U71" s="524"/>
      <c r="V71" s="524"/>
      <c r="W71" s="524"/>
      <c r="X71" s="524"/>
      <c r="Y71" s="524"/>
      <c r="Z71"/>
      <c r="AC71" s="3" t="s">
        <v>39</v>
      </c>
      <c r="AD71" s="5">
        <f>I68-M68</f>
        <v>0.31472222222222257</v>
      </c>
    </row>
    <row r="72" spans="3:32" ht="17.25" customHeight="1" thickTop="1" thickBot="1">
      <c r="F72" s="450">
        <f>AC73</f>
        <v>0</v>
      </c>
      <c r="G72" s="451"/>
      <c r="H72" s="451"/>
      <c r="I72" s="586"/>
      <c r="J72" s="586"/>
      <c r="K72" s="587"/>
      <c r="Q72" s="103"/>
      <c r="Z72"/>
      <c r="AA72" s="14"/>
      <c r="AC72" s="3" t="s">
        <v>298</v>
      </c>
      <c r="AD72" s="3">
        <f>IF(AF72&gt;360,AF72-360,AF72)</f>
        <v>40.252541666666673</v>
      </c>
      <c r="AE72" s="3" t="s">
        <v>37</v>
      </c>
      <c r="AF72" s="3">
        <f>(AE67+(AD69/AD70)*AD71)</f>
        <v>40.252541666666673</v>
      </c>
    </row>
    <row r="73" spans="3:32" ht="17.25" customHeight="1" thickTop="1">
      <c r="C73" s="34" t="s">
        <v>14</v>
      </c>
      <c r="D73" s="34"/>
      <c r="E73" s="35"/>
      <c r="F73" s="35"/>
      <c r="G73" s="14"/>
      <c r="H73" s="14"/>
      <c r="I73" s="14"/>
      <c r="Z73"/>
      <c r="AA73" s="14"/>
    </row>
    <row r="74" spans="3:32" ht="17.25" customHeight="1">
      <c r="C74" s="14"/>
      <c r="D74" s="14"/>
      <c r="E74" s="14"/>
      <c r="F74" s="365" t="s">
        <v>9</v>
      </c>
      <c r="G74" s="381"/>
      <c r="H74" s="366"/>
      <c r="I74" s="365" t="s">
        <v>12</v>
      </c>
      <c r="J74" s="381"/>
      <c r="K74" s="381"/>
      <c r="L74" s="366"/>
      <c r="M74" s="507" t="s">
        <v>13</v>
      </c>
      <c r="N74" s="508"/>
      <c r="O74" s="509"/>
      <c r="P74" s="499" t="s">
        <v>16</v>
      </c>
      <c r="Q74" s="500"/>
      <c r="R74" s="500"/>
      <c r="S74" s="500"/>
      <c r="T74" s="501"/>
      <c r="U74" s="499" t="s">
        <v>98</v>
      </c>
      <c r="V74" s="500"/>
      <c r="W74" s="500"/>
      <c r="X74" s="500"/>
      <c r="Y74" s="501"/>
      <c r="AA74" s="14"/>
      <c r="AC74" s="3" t="s">
        <v>186</v>
      </c>
      <c r="AD74" s="3">
        <f>VLOOKUP(P76,$B$38:$C$39,2)</f>
        <v>-1</v>
      </c>
    </row>
    <row r="75" spans="3:32" ht="17.25" customHeight="1" collapsed="1">
      <c r="F75" s="369"/>
      <c r="G75" s="382"/>
      <c r="H75" s="370"/>
      <c r="I75" s="369"/>
      <c r="J75" s="382"/>
      <c r="K75" s="382"/>
      <c r="L75" s="370"/>
      <c r="M75" s="510"/>
      <c r="N75" s="511"/>
      <c r="O75" s="512"/>
      <c r="P75" s="502"/>
      <c r="Q75" s="503"/>
      <c r="R75" s="503"/>
      <c r="S75" s="503"/>
      <c r="T75" s="504"/>
      <c r="U75" s="502"/>
      <c r="V75" s="505"/>
      <c r="W75" s="505"/>
      <c r="X75" s="505"/>
      <c r="Y75" s="506"/>
      <c r="Z75" s="14"/>
      <c r="AA75" s="14"/>
      <c r="AC75" s="3" t="s">
        <v>187</v>
      </c>
      <c r="AD75" s="3" cm="1">
        <f t="array" ref="AD75">angleConvert2Decimal(Q76)*AD74</f>
        <v>-176.49</v>
      </c>
    </row>
    <row r="76" spans="3:32" ht="17.25" customHeight="1">
      <c r="E76" s="16"/>
      <c r="F76" s="461" t="str">
        <f>IF(G64=AD65,AF78,"---")</f>
        <v>---</v>
      </c>
      <c r="G76" s="461"/>
      <c r="H76" s="461"/>
      <c r="I76" s="452">
        <f>E11</f>
        <v>8.3147222222222226</v>
      </c>
      <c r="J76" s="453"/>
      <c r="K76" s="453"/>
      <c r="L76" s="454"/>
      <c r="M76" s="457">
        <v>0</v>
      </c>
      <c r="N76" s="458"/>
      <c r="O76" s="458"/>
      <c r="P76" s="498" t="s">
        <v>6</v>
      </c>
      <c r="Q76" s="600" t="s">
        <v>137</v>
      </c>
      <c r="R76" s="600"/>
      <c r="S76" s="600"/>
      <c r="T76" s="600"/>
      <c r="U76" s="498" t="s">
        <v>6</v>
      </c>
      <c r="V76" s="498" t="s">
        <v>118</v>
      </c>
      <c r="W76" s="498"/>
      <c r="X76" s="498"/>
      <c r="Y76" s="498"/>
      <c r="Z76" s="14"/>
      <c r="AC76" s="3" t="s">
        <v>188</v>
      </c>
      <c r="AD76" s="3">
        <f>VLOOKUP(U76,$B$38:$C$39,2)</f>
        <v>-1</v>
      </c>
    </row>
    <row r="77" spans="3:32" ht="17.25" customHeight="1" thickBot="1">
      <c r="F77" s="462"/>
      <c r="G77" s="462"/>
      <c r="H77" s="462"/>
      <c r="I77" s="401"/>
      <c r="J77" s="455"/>
      <c r="K77" s="455"/>
      <c r="L77" s="456"/>
      <c r="M77" s="459"/>
      <c r="N77" s="460"/>
      <c r="O77" s="460"/>
      <c r="P77" s="498"/>
      <c r="Q77" s="601"/>
      <c r="R77" s="601"/>
      <c r="S77" s="601"/>
      <c r="T77" s="601"/>
      <c r="U77" s="498"/>
      <c r="V77" s="498"/>
      <c r="W77" s="498"/>
      <c r="X77" s="498"/>
      <c r="Y77" s="498"/>
      <c r="Z77" s="14"/>
      <c r="AC77" s="3" t="s">
        <v>189</v>
      </c>
      <c r="AD77" s="3" cm="1">
        <f t="array" ref="AD77">angleConvert2Decimal(V76)*AD76</f>
        <v>-15.002000000000001</v>
      </c>
    </row>
    <row r="78" spans="3:32" ht="17.25" customHeight="1" thickTop="1" thickBot="1">
      <c r="F78" s="327" t="e" cm="1">
        <f t="array" ref="F78">angleDecimal2Txt(F76)</f>
        <v>#VALUE!</v>
      </c>
      <c r="G78" s="327"/>
      <c r="H78" s="327"/>
      <c r="I78" s="327"/>
      <c r="J78" s="327"/>
      <c r="K78" s="327"/>
      <c r="P78" s="527" t="str" cm="1">
        <f t="array" ref="P78">angleDecimal2Txt(AD75)</f>
        <v>-176°29.39 (-176.4900) [-176°29'24.00]</v>
      </c>
      <c r="Q78" s="327"/>
      <c r="R78" s="327"/>
      <c r="S78" s="327"/>
      <c r="T78" s="327"/>
      <c r="U78" s="527" t="str" cm="1">
        <f t="array" ref="U78">angleDecimal2Txt(AD77)</f>
        <v>-15°00.12 (-15.0020) [-15°00'07.20]</v>
      </c>
      <c r="V78" s="603"/>
      <c r="W78" s="603"/>
      <c r="X78" s="603"/>
      <c r="Y78" s="603"/>
      <c r="AC78" s="3" t="s">
        <v>298</v>
      </c>
      <c r="AD78" s="3">
        <f>IF(AF78&gt;360,AF78-360,AF78)</f>
        <v>58.772537222222184</v>
      </c>
      <c r="AE78" s="3" t="s">
        <v>37</v>
      </c>
      <c r="AF78" s="3">
        <f>MOD(AD75+AD77*(I76-M76),360)</f>
        <v>58.772537222222184</v>
      </c>
    </row>
    <row r="79" spans="3:32" ht="17.25" customHeight="1" thickTop="1">
      <c r="S79" s="14"/>
      <c r="T79" s="14"/>
      <c r="U79" s="14"/>
      <c r="V79" s="14"/>
      <c r="W79" s="14"/>
      <c r="X79" s="14"/>
    </row>
    <row r="80" spans="3:32" ht="17.25" customHeight="1">
      <c r="S80" s="14"/>
      <c r="T80" s="14"/>
      <c r="U80" s="14"/>
      <c r="V80" s="14"/>
      <c r="W80" s="14"/>
    </row>
    <row r="81" spans="1:66" ht="17.25" customHeight="1" thickBot="1"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I81" s="11"/>
    </row>
    <row r="82" spans="1:66" s="14" customFormat="1" ht="17.25" customHeight="1" thickBot="1">
      <c r="A82" s="16"/>
      <c r="B82" s="25" t="s">
        <v>43</v>
      </c>
      <c r="C82" s="26"/>
      <c r="D82" s="26"/>
      <c r="E82" s="26"/>
      <c r="F82" s="379">
        <f>I83</f>
        <v>44.002541666666673</v>
      </c>
      <c r="G82" s="379"/>
      <c r="H82" s="379"/>
      <c r="I82" s="26"/>
      <c r="J82" s="536" t="s">
        <v>55</v>
      </c>
      <c r="K82" s="536"/>
      <c r="L82" s="536"/>
      <c r="M82" s="464" t="str">
        <f>J22</f>
        <v>Lune</v>
      </c>
      <c r="N82" s="464"/>
      <c r="O82" s="464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66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31"/>
    </row>
    <row r="83" spans="1:66" ht="17.25" customHeight="1" thickBot="1">
      <c r="C83" s="597" t="s">
        <v>21</v>
      </c>
      <c r="D83" s="597"/>
      <c r="E83" s="597"/>
      <c r="F83" s="597"/>
      <c r="G83" s="597"/>
      <c r="H83" s="598"/>
      <c r="I83" s="633">
        <f>AD84</f>
        <v>44.002541666666673</v>
      </c>
      <c r="J83" s="634"/>
      <c r="K83" s="634"/>
      <c r="L83" s="635"/>
      <c r="M83" s="36" t="s">
        <v>45</v>
      </c>
      <c r="N83" s="435">
        <f>AD83</f>
        <v>44.002541666666673</v>
      </c>
      <c r="O83" s="435"/>
      <c r="P83" s="435"/>
      <c r="Q83" s="435"/>
      <c r="AC83" s="3" t="s">
        <v>192</v>
      </c>
      <c r="AD83" s="5">
        <f>F63+F41</f>
        <v>44.002541666666673</v>
      </c>
    </row>
    <row r="84" spans="1:66" ht="17.25" customHeight="1" thickTop="1" thickBot="1">
      <c r="A84" s="14"/>
      <c r="C84" s="14"/>
      <c r="D84" s="14"/>
      <c r="E84" s="14"/>
      <c r="F84" s="14"/>
      <c r="G84" s="14"/>
      <c r="H84" s="14"/>
      <c r="I84" s="538">
        <f>AC85</f>
        <v>0</v>
      </c>
      <c r="J84" s="538"/>
      <c r="K84" s="538"/>
      <c r="L84" s="538"/>
      <c r="M84" s="538"/>
      <c r="N84" s="538"/>
      <c r="AB84" s="68"/>
      <c r="AC84" s="3" t="s">
        <v>193</v>
      </c>
      <c r="AD84" s="5">
        <f>IF(AD83&gt;360,AD83-360,AD83)</f>
        <v>44.002541666666673</v>
      </c>
    </row>
    <row r="85" spans="1:66" ht="17.25" customHeight="1" thickTop="1" thickBot="1">
      <c r="B85" s="14"/>
      <c r="C85" s="16"/>
      <c r="D85" s="16"/>
      <c r="E85" s="16"/>
      <c r="F85" s="16"/>
      <c r="G85" s="16"/>
      <c r="AA85" s="14"/>
    </row>
    <row r="86" spans="1:66" ht="17.25" customHeight="1" thickBot="1">
      <c r="B86" s="25" t="s">
        <v>23</v>
      </c>
      <c r="C86" s="26"/>
      <c r="D86" s="569" t="s">
        <v>72</v>
      </c>
      <c r="E86" s="573"/>
      <c r="F86" s="379">
        <f>IF(G87=AD87,O126,O116)</f>
        <v>19.389482410477992</v>
      </c>
      <c r="G86" s="379"/>
      <c r="H86" s="379"/>
      <c r="I86" s="26" t="str">
        <f>angleDecimal2Txt(F86,0)</f>
        <v>+19°23.36</v>
      </c>
      <c r="J86" s="26"/>
      <c r="K86" s="26"/>
      <c r="L86" s="26" t="s">
        <v>60</v>
      </c>
      <c r="M86" s="569">
        <f>O89</f>
        <v>18.916666666666668</v>
      </c>
      <c r="N86" s="569"/>
      <c r="O86" s="26"/>
      <c r="P86" s="62"/>
      <c r="Q86" s="26" t="s">
        <v>99</v>
      </c>
      <c r="R86" s="26"/>
      <c r="S86" s="605">
        <f>-O103+O98+O107</f>
        <v>0.56425220118885888</v>
      </c>
      <c r="T86" s="606"/>
      <c r="U86" s="607"/>
      <c r="V86" s="608" t="str" cm="1">
        <f t="array" ref="V86">angleDecimal2Txt(S86)</f>
        <v>+00°33.85 (+00.5642) [+00°33'51.30]</v>
      </c>
      <c r="W86" s="608"/>
      <c r="X86" s="608"/>
      <c r="Y86" s="608"/>
      <c r="Z86" s="608"/>
      <c r="AA86" s="26"/>
      <c r="AB86" s="66"/>
    </row>
    <row r="87" spans="1:66" ht="17.25" customHeight="1">
      <c r="C87" s="377" t="s">
        <v>35</v>
      </c>
      <c r="D87" s="377"/>
      <c r="E87" s="377"/>
      <c r="F87" s="377"/>
      <c r="G87" s="537" t="s">
        <v>51</v>
      </c>
      <c r="H87" s="537"/>
      <c r="I87" s="537"/>
      <c r="P87" s="16" t="s">
        <v>69</v>
      </c>
      <c r="V87" s="14"/>
      <c r="W87" s="14"/>
      <c r="X87" s="14"/>
      <c r="Y87" s="14"/>
      <c r="Z87" s="14"/>
      <c r="AC87" s="596" t="s">
        <v>36</v>
      </c>
      <c r="AD87" s="70" t="s">
        <v>50</v>
      </c>
    </row>
    <row r="88" spans="1:66" ht="17.25" customHeight="1" thickBot="1">
      <c r="C88" s="33"/>
      <c r="D88" s="33"/>
      <c r="E88" s="33"/>
      <c r="F88" s="440" t="s">
        <v>62</v>
      </c>
      <c r="G88" s="440"/>
      <c r="H88" s="539"/>
      <c r="I88" s="539"/>
      <c r="J88" s="604">
        <f>IF(G87=AD87,"---",O116)</f>
        <v>19.389482410477992</v>
      </c>
      <c r="K88" s="604"/>
      <c r="L88" s="604"/>
      <c r="M88" s="110"/>
      <c r="N88" s="110"/>
      <c r="O88" s="110"/>
      <c r="P88" s="110"/>
      <c r="Q88" s="110"/>
      <c r="R88" s="110"/>
      <c r="S88" s="110"/>
      <c r="T88" s="110"/>
      <c r="U88" s="110"/>
      <c r="V88" s="111"/>
      <c r="W88" s="111"/>
      <c r="X88" s="111"/>
      <c r="Y88" s="111"/>
      <c r="Z88" s="111"/>
      <c r="AC88" s="596"/>
      <c r="AD88" s="70" t="s">
        <v>51</v>
      </c>
    </row>
    <row r="89" spans="1:66" ht="17.25" customHeight="1" thickTop="1" thickBot="1">
      <c r="C89" s="16"/>
      <c r="D89" s="16"/>
      <c r="E89" s="16"/>
      <c r="F89" s="16"/>
      <c r="G89" s="16"/>
      <c r="H89" s="480" t="s">
        <v>47</v>
      </c>
      <c r="I89" s="480"/>
      <c r="J89" s="480"/>
      <c r="K89" s="480"/>
      <c r="L89" s="480"/>
      <c r="M89" s="480"/>
      <c r="N89" s="480"/>
      <c r="O89" s="397">
        <f>J21</f>
        <v>18.916666666666668</v>
      </c>
      <c r="P89" s="397"/>
      <c r="Q89" s="397"/>
      <c r="R89" s="397"/>
      <c r="S89" s="16" t="s">
        <v>54</v>
      </c>
      <c r="U89" s="327" t="str" cm="1">
        <f t="array" ref="U89">angleDecimal2Txt(O89)</f>
        <v>+18°55.00 (+18.9166) [+18°55'00.00]</v>
      </c>
      <c r="V89" s="327"/>
      <c r="W89" s="327"/>
      <c r="X89" s="327"/>
      <c r="Y89" s="327"/>
      <c r="Z89" s="327"/>
    </row>
    <row r="90" spans="1:66" ht="17.25" customHeight="1" thickTop="1" thickBot="1">
      <c r="C90" s="16"/>
      <c r="D90" s="16"/>
      <c r="E90" s="16"/>
      <c r="F90" s="16"/>
      <c r="G90" s="16"/>
      <c r="H90" s="480" t="s">
        <v>24</v>
      </c>
      <c r="I90" s="480"/>
      <c r="J90" s="480"/>
      <c r="K90" s="480"/>
      <c r="L90" s="480"/>
      <c r="M90" s="480"/>
      <c r="N90" s="480"/>
      <c r="O90" s="397">
        <f>J20</f>
        <v>0.05</v>
      </c>
      <c r="P90" s="397"/>
      <c r="Q90" s="397"/>
      <c r="R90" s="397"/>
      <c r="S90" s="16" t="s">
        <v>54</v>
      </c>
      <c r="U90" s="327" t="str" cm="1">
        <f t="array" ref="U90">angleDecimal2Txt(O90)</f>
        <v>+00°03.00 (+00.0500) [+00°03'00.00]</v>
      </c>
      <c r="V90" s="327"/>
      <c r="W90" s="327"/>
      <c r="X90" s="327"/>
      <c r="Y90" s="327"/>
      <c r="Z90" s="327"/>
      <c r="AC90" s="3" t="s">
        <v>59</v>
      </c>
      <c r="AD90" s="5">
        <f>O90</f>
        <v>0.05</v>
      </c>
    </row>
    <row r="91" spans="1:66" ht="17.25" customHeight="1" thickTop="1" thickBot="1">
      <c r="G91" s="16"/>
      <c r="H91" s="496" t="s">
        <v>68</v>
      </c>
      <c r="I91" s="496"/>
      <c r="J91" s="496"/>
      <c r="K91" s="496"/>
      <c r="L91" s="496"/>
      <c r="M91" s="496"/>
      <c r="N91" s="496"/>
      <c r="O91" s="330">
        <f>AD92</f>
        <v>4.1436457377531689E-2</v>
      </c>
      <c r="P91" s="330"/>
      <c r="Q91" s="330"/>
      <c r="R91" s="330"/>
      <c r="S91" s="16" t="s">
        <v>54</v>
      </c>
      <c r="U91" s="327" t="str" cm="1">
        <f t="array" ref="U91">angleDecimal2Txt(O91)</f>
        <v>+00°02.48 (+00.0414) [+00°02'29.17]</v>
      </c>
      <c r="V91" s="327"/>
      <c r="W91" s="327"/>
      <c r="X91" s="327"/>
      <c r="Y91" s="327"/>
      <c r="Z91" s="327"/>
      <c r="AC91" s="3" t="s">
        <v>46</v>
      </c>
      <c r="AD91" s="3">
        <f>J19</f>
        <v>2</v>
      </c>
    </row>
    <row r="92" spans="1:66" ht="17.25" customHeight="1" thickTop="1" thickBot="1">
      <c r="K92" s="14"/>
      <c r="L92" s="14"/>
      <c r="M92" s="579" t="s">
        <v>122</v>
      </c>
      <c r="N92" s="579"/>
      <c r="O92" s="579"/>
      <c r="P92" s="579"/>
      <c r="Q92" s="14"/>
      <c r="R92" s="14"/>
      <c r="U92" s="14"/>
      <c r="V92" s="14"/>
      <c r="W92" s="14"/>
      <c r="X92" s="14"/>
      <c r="Y92" s="14"/>
      <c r="Z92" s="14"/>
      <c r="AC92" s="76" t="s">
        <v>67</v>
      </c>
      <c r="AD92" s="3">
        <f>0.0293 * SQRT(AD91)</f>
        <v>4.1436457377531689E-2</v>
      </c>
    </row>
    <row r="93" spans="1:66" ht="17.25" customHeight="1" thickTop="1" thickBot="1">
      <c r="G93" s="16"/>
      <c r="H93" s="328" t="s">
        <v>48</v>
      </c>
      <c r="I93" s="328"/>
      <c r="J93" s="328"/>
      <c r="K93" s="328"/>
      <c r="L93" s="328"/>
      <c r="M93" s="328"/>
      <c r="N93" s="328"/>
      <c r="O93" s="463">
        <f>O89-O90-O91</f>
        <v>18.825230209289135</v>
      </c>
      <c r="P93" s="439"/>
      <c r="Q93" s="16" t="s">
        <v>54</v>
      </c>
      <c r="R93" s="469">
        <f>O93*Outils!F4</f>
        <v>0.32856224959799663</v>
      </c>
      <c r="S93" s="469"/>
      <c r="T93" s="37" t="s">
        <v>64</v>
      </c>
      <c r="U93" s="327" t="str" cm="1">
        <f t="array" ref="U93">angleDecimal2Txt(O93)</f>
        <v>+18°49.51 (+18.8252) [+18°49'30.82]</v>
      </c>
      <c r="V93" s="327"/>
      <c r="W93" s="327"/>
      <c r="X93" s="327"/>
      <c r="Y93" s="327"/>
      <c r="Z93" s="327"/>
    </row>
    <row r="94" spans="1:66" ht="17.25" customHeight="1" thickTop="1">
      <c r="C94" s="16"/>
      <c r="D94" s="16"/>
      <c r="E94" s="16"/>
      <c r="F94" s="16"/>
      <c r="G94" s="16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U94" s="14"/>
      <c r="V94" s="14"/>
      <c r="W94" s="14"/>
      <c r="X94" s="14"/>
      <c r="Y94" s="14"/>
      <c r="Z94" s="14"/>
    </row>
    <row r="95" spans="1:66" ht="17.25" customHeight="1">
      <c r="G95" s="16"/>
      <c r="H95" s="14"/>
      <c r="I95" s="14"/>
      <c r="J95" s="14"/>
      <c r="K95" s="14"/>
      <c r="L95" s="14"/>
      <c r="M95" s="465" t="s">
        <v>61</v>
      </c>
      <c r="N95" s="465"/>
      <c r="O95" s="465"/>
      <c r="P95" s="465"/>
      <c r="Q95" s="14"/>
      <c r="R95" s="14"/>
      <c r="U95" s="14"/>
      <c r="V95" s="14"/>
      <c r="W95" s="14"/>
      <c r="X95" s="14"/>
      <c r="Y95" s="14"/>
      <c r="Z95" s="14"/>
    </row>
    <row r="96" spans="1:66" ht="17.25" customHeight="1" thickBot="1">
      <c r="C96" s="16"/>
      <c r="D96" s="16"/>
      <c r="E96" s="16"/>
      <c r="F96" s="16"/>
      <c r="G96" s="16"/>
      <c r="M96" s="466" t="s">
        <v>150</v>
      </c>
      <c r="N96" s="466"/>
      <c r="O96" s="465"/>
      <c r="P96" s="465"/>
    </row>
    <row r="97" spans="1:32" ht="17.25" customHeight="1" thickTop="1" thickBot="1">
      <c r="A97" s="14"/>
      <c r="B97" s="14"/>
      <c r="C97" s="14"/>
      <c r="D97" s="14"/>
      <c r="E97" s="14"/>
      <c r="F97" s="16"/>
      <c r="G97" s="16"/>
      <c r="H97" s="330" t="s">
        <v>52</v>
      </c>
      <c r="I97" s="330"/>
      <c r="J97" s="330"/>
      <c r="K97" s="330"/>
      <c r="L97" s="330"/>
      <c r="M97" s="330"/>
      <c r="N97" s="330"/>
      <c r="O97" s="467">
        <f>J24</f>
        <v>0.90833333333333333</v>
      </c>
      <c r="P97" s="468"/>
      <c r="Q97" s="468"/>
      <c r="R97" s="468"/>
      <c r="S97" s="16" t="s">
        <v>54</v>
      </c>
      <c r="U97" s="327" t="str" cm="1">
        <f t="array" ref="U97">angleDecimal2Txt(O97)</f>
        <v>+00°54.50 (+00.9083) [+00°54'30.00]</v>
      </c>
      <c r="V97" s="327"/>
      <c r="W97" s="327"/>
      <c r="X97" s="327"/>
      <c r="Y97" s="327"/>
      <c r="Z97" s="327"/>
      <c r="AC97" s="3" t="s">
        <v>349</v>
      </c>
      <c r="AD97" s="3">
        <f>ASIN(SIN(O97*Outils!F4)*COS(R93))*Outils!F5</f>
        <v>0.8597403430148185</v>
      </c>
      <c r="AF97">
        <f>ASIN(SIN(O97*Outils!F4)*COS(R93))*Outils!F5</f>
        <v>0.8597403430148185</v>
      </c>
    </row>
    <row r="98" spans="1:32" ht="17.25" customHeight="1" thickTop="1" thickBot="1">
      <c r="A98" s="14"/>
      <c r="B98" s="14"/>
      <c r="C98" s="14"/>
      <c r="D98" s="14"/>
      <c r="E98" s="14"/>
      <c r="F98" s="16"/>
      <c r="G98" s="16"/>
      <c r="H98" s="427" t="s">
        <v>151</v>
      </c>
      <c r="I98" s="428"/>
      <c r="J98" s="428"/>
      <c r="K98" s="428"/>
      <c r="L98" s="428"/>
      <c r="M98" s="428"/>
      <c r="N98" s="429"/>
      <c r="O98" s="329">
        <f>AF97</f>
        <v>0.8597403430148185</v>
      </c>
      <c r="P98" s="329"/>
      <c r="Q98" s="329"/>
      <c r="R98" s="329"/>
      <c r="S98" s="16" t="s">
        <v>54</v>
      </c>
      <c r="U98" s="327" t="str" cm="1">
        <f t="array" ref="U98">angleDecimal2Txt(O98)</f>
        <v>+00°51.58 (+00.8597) [+00°51'35.06]</v>
      </c>
      <c r="V98" s="327"/>
      <c r="W98" s="327"/>
      <c r="X98" s="327"/>
      <c r="Y98" s="327"/>
      <c r="Z98" s="327"/>
    </row>
    <row r="99" spans="1:32" ht="17.25" customHeight="1" thickTop="1">
      <c r="A99" s="14"/>
      <c r="B99" s="14"/>
      <c r="C99" s="14"/>
      <c r="D99" s="14"/>
      <c r="E99" s="14"/>
      <c r="F99" s="16"/>
      <c r="G99" s="16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32" ht="17.25" customHeight="1">
      <c r="A100" s="14"/>
      <c r="B100" s="14"/>
      <c r="C100" s="14"/>
      <c r="D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S100" s="476" t="s">
        <v>135</v>
      </c>
      <c r="T100" s="477"/>
      <c r="U100" s="478"/>
      <c r="Y100" s="14"/>
      <c r="Z100" s="14"/>
      <c r="AC100" s="3" t="s">
        <v>49</v>
      </c>
      <c r="AD100" s="3" t="s">
        <v>196</v>
      </c>
    </row>
    <row r="101" spans="1:32" ht="17.25" customHeight="1">
      <c r="A101" s="14"/>
      <c r="B101" s="14"/>
      <c r="C101" s="14"/>
      <c r="D101" s="14"/>
      <c r="F101" s="16"/>
      <c r="G101" s="16"/>
      <c r="H101" s="330" t="s">
        <v>65</v>
      </c>
      <c r="I101" s="330"/>
      <c r="J101" s="330"/>
      <c r="K101" s="330"/>
      <c r="L101" s="330"/>
      <c r="M101" s="330"/>
      <c r="N101" s="330"/>
      <c r="O101" s="430">
        <f>S101</f>
        <v>10</v>
      </c>
      <c r="P101" s="431"/>
      <c r="Q101" s="431"/>
      <c r="R101" s="431"/>
      <c r="S101" s="576">
        <v>10</v>
      </c>
      <c r="T101" s="577"/>
      <c r="U101" s="578"/>
      <c r="Y101" s="14"/>
      <c r="Z101" s="14"/>
      <c r="AC101" s="3" t="s">
        <v>197</v>
      </c>
      <c r="AD101" s="3">
        <f>1/TAN((O93 + 7.31 / (O93 + 4.4)) * Outils!F4)</f>
        <v>2.8813247814879501</v>
      </c>
    </row>
    <row r="102" spans="1:32" ht="17.25" customHeight="1" thickBot="1">
      <c r="A102" s="14"/>
      <c r="B102" s="14"/>
      <c r="C102" s="14"/>
      <c r="D102" s="14"/>
      <c r="E102" s="14"/>
      <c r="F102" s="16"/>
      <c r="G102" s="16"/>
      <c r="H102" s="330" t="s">
        <v>66</v>
      </c>
      <c r="I102" s="330"/>
      <c r="J102" s="330"/>
      <c r="K102" s="330"/>
      <c r="L102" s="330"/>
      <c r="M102" s="330"/>
      <c r="N102" s="330"/>
      <c r="O102" s="430">
        <f>S102</f>
        <v>1010</v>
      </c>
      <c r="P102" s="431"/>
      <c r="Q102" s="431"/>
      <c r="R102" s="431"/>
      <c r="S102" s="576">
        <v>1010</v>
      </c>
      <c r="T102" s="577"/>
      <c r="U102" s="578"/>
      <c r="Y102" s="14"/>
      <c r="Z102" s="14"/>
      <c r="AC102" s="3" t="s">
        <v>198</v>
      </c>
      <c r="AD102" s="3">
        <f>AD101/60</f>
        <v>4.8022079691465838E-2</v>
      </c>
    </row>
    <row r="103" spans="1:32" ht="17.25" customHeight="1" thickTop="1" thickBot="1">
      <c r="A103" s="14"/>
      <c r="B103" s="14"/>
      <c r="C103" s="14"/>
      <c r="D103" s="14"/>
      <c r="E103" s="14"/>
      <c r="F103" s="16"/>
      <c r="G103" s="16"/>
      <c r="H103" s="427" t="s">
        <v>152</v>
      </c>
      <c r="I103" s="428"/>
      <c r="J103" s="428"/>
      <c r="K103" s="428"/>
      <c r="L103" s="428"/>
      <c r="M103" s="428"/>
      <c r="N103" s="429"/>
      <c r="O103" s="329">
        <f>AD104</f>
        <v>4.7988141825959507E-2</v>
      </c>
      <c r="P103" s="329"/>
      <c r="Q103" s="329"/>
      <c r="R103" s="329"/>
      <c r="S103" s="16" t="s">
        <v>54</v>
      </c>
      <c r="U103" s="327" t="str" cm="1">
        <f t="array" ref="U103">angleDecimal2Txt(O103)</f>
        <v>+00°02.87 (+00.0479) [+00°02'52.75]</v>
      </c>
      <c r="V103" s="327"/>
      <c r="W103" s="327"/>
      <c r="X103" s="327"/>
      <c r="Y103" s="327"/>
      <c r="Z103" s="327"/>
      <c r="AC103" s="3" t="s">
        <v>100</v>
      </c>
      <c r="AD103" s="3">
        <f xml:space="preserve"> 0.28 * O102 / (273 + O101)</f>
        <v>0.99929328621908131</v>
      </c>
    </row>
    <row r="104" spans="1:32" ht="17.25" customHeight="1" thickTop="1">
      <c r="A104" s="14"/>
      <c r="B104" s="14"/>
      <c r="C104" s="14"/>
      <c r="D104" s="14"/>
      <c r="E104" s="14"/>
      <c r="F104" s="16"/>
      <c r="G104" s="16"/>
      <c r="H104" s="14"/>
      <c r="I104" s="14"/>
      <c r="J104" s="14"/>
      <c r="K104" s="14"/>
      <c r="L104" s="14"/>
      <c r="M104" s="14"/>
      <c r="N104" s="14"/>
      <c r="O104" s="14"/>
      <c r="Y104" s="14"/>
      <c r="Z104" s="14"/>
      <c r="AC104" s="3" t="s">
        <v>195</v>
      </c>
      <c r="AD104" s="3">
        <f>AD103*AD102</f>
        <v>4.7988141825959507E-2</v>
      </c>
    </row>
    <row r="105" spans="1:32" ht="17.25" customHeight="1">
      <c r="A105" s="14"/>
      <c r="B105" s="14"/>
      <c r="C105" s="14"/>
      <c r="D105" s="14"/>
      <c r="E105" s="14"/>
      <c r="F105" s="16"/>
      <c r="G105" s="16"/>
      <c r="H105" s="330" t="s">
        <v>106</v>
      </c>
      <c r="I105" s="330"/>
      <c r="J105" s="330"/>
      <c r="K105" s="330"/>
      <c r="L105" s="330"/>
      <c r="M105" s="330"/>
      <c r="N105" s="330"/>
      <c r="O105" s="479">
        <f>J28</f>
        <v>0.495</v>
      </c>
      <c r="P105" s="479"/>
      <c r="Q105" s="479"/>
      <c r="R105" s="479"/>
    </row>
    <row r="106" spans="1:32" ht="17.25" customHeight="1" thickBot="1">
      <c r="B106" s="14"/>
      <c r="C106" s="14"/>
      <c r="D106" s="14"/>
      <c r="H106" s="330" t="s">
        <v>70</v>
      </c>
      <c r="I106" s="330"/>
      <c r="J106" s="330"/>
      <c r="K106" s="330"/>
      <c r="L106" s="330"/>
      <c r="M106" s="330"/>
      <c r="N106" s="330"/>
      <c r="O106" s="479" t="str">
        <f>J23</f>
        <v>BordSup</v>
      </c>
      <c r="P106" s="479"/>
      <c r="Q106" s="479"/>
      <c r="R106" s="479"/>
      <c r="AC106" s="3" t="s">
        <v>30</v>
      </c>
      <c r="AD106" s="323" t="str">
        <f>J22</f>
        <v>Lune</v>
      </c>
      <c r="AE106" s="323"/>
    </row>
    <row r="107" spans="1:32" ht="17.25" customHeight="1" thickTop="1" thickBot="1">
      <c r="H107" s="432" t="s">
        <v>71</v>
      </c>
      <c r="I107" s="433"/>
      <c r="J107" s="433"/>
      <c r="K107" s="433"/>
      <c r="L107" s="433"/>
      <c r="M107" s="433"/>
      <c r="N107" s="434"/>
      <c r="O107" s="435">
        <f>AD110</f>
        <v>-0.2475</v>
      </c>
      <c r="P107" s="435"/>
      <c r="Q107" s="435"/>
      <c r="R107" s="435"/>
      <c r="S107" s="16" t="s">
        <v>54</v>
      </c>
      <c r="U107" s="327" t="str" cm="1">
        <f t="array" ref="U107">angleDecimal2Txt(O107)</f>
        <v>-00°14.84 (-00.2475) [-00°14'51.00]</v>
      </c>
      <c r="V107" s="327"/>
      <c r="W107" s="327"/>
      <c r="X107" s="327"/>
      <c r="Y107" s="327"/>
      <c r="Z107" s="327"/>
      <c r="AC107" s="3" t="s">
        <v>202</v>
      </c>
      <c r="AD107" s="323" t="str">
        <f>O106</f>
        <v>BordSup</v>
      </c>
      <c r="AE107" s="323"/>
    </row>
    <row r="108" spans="1:32" ht="17.25" customHeight="1" thickTop="1"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C108" s="3" t="s">
        <v>203</v>
      </c>
      <c r="AD108" s="572">
        <f>HLOOKUP(AD107,AD27:AF28,2)</f>
        <v>-0.5</v>
      </c>
      <c r="AE108" s="572"/>
    </row>
    <row r="109" spans="1:32" ht="17.25" customHeight="1">
      <c r="G109" s="493" t="s">
        <v>115</v>
      </c>
      <c r="H109" s="494"/>
      <c r="I109" s="494"/>
      <c r="J109" s="494"/>
      <c r="K109" s="494"/>
      <c r="L109" s="494"/>
      <c r="M109" s="494"/>
      <c r="N109" s="494"/>
      <c r="O109" s="494"/>
      <c r="P109" s="494"/>
      <c r="Q109" s="494"/>
      <c r="R109" s="494"/>
      <c r="S109" s="495"/>
      <c r="T109" s="14"/>
      <c r="U109" s="14"/>
      <c r="V109" s="14"/>
      <c r="W109" s="14"/>
      <c r="X109" s="14"/>
      <c r="Y109" s="14"/>
      <c r="Z109" s="14"/>
      <c r="AC109" s="3" t="s">
        <v>106</v>
      </c>
      <c r="AD109" s="5">
        <f>J28</f>
        <v>0.495</v>
      </c>
      <c r="AE109" s="3" cm="1">
        <f t="array" ref="AE109">angleConvert2Decimal(AD109)</f>
        <v>0.495</v>
      </c>
    </row>
    <row r="110" spans="1:32" ht="17.25" customHeight="1">
      <c r="G110" s="452" t="s">
        <v>124</v>
      </c>
      <c r="H110" s="454"/>
      <c r="I110" s="470" t="s">
        <v>119</v>
      </c>
      <c r="J110" s="471"/>
      <c r="K110" s="471"/>
      <c r="L110" s="471"/>
      <c r="M110" s="471"/>
      <c r="N110" s="472"/>
      <c r="O110" s="481">
        <f>(O98-O103-O91+O105/2) * 60</f>
        <v>61.068944628679638</v>
      </c>
      <c r="P110" s="482"/>
      <c r="Q110" s="482"/>
      <c r="R110" s="482"/>
      <c r="S110" s="485" t="s">
        <v>116</v>
      </c>
      <c r="T110" s="14"/>
      <c r="U110" s="14"/>
      <c r="V110" s="14"/>
      <c r="W110" s="14"/>
      <c r="X110" s="14"/>
      <c r="Y110" s="14"/>
      <c r="Z110" s="14"/>
      <c r="AC110" s="3" t="s">
        <v>203</v>
      </c>
      <c r="AD110" s="572">
        <f>AE109*AD108</f>
        <v>-0.2475</v>
      </c>
      <c r="AE110" s="572"/>
    </row>
    <row r="111" spans="1:32" ht="17.25" customHeight="1">
      <c r="G111" s="580"/>
      <c r="H111" s="581"/>
      <c r="I111" s="473" t="s">
        <v>123</v>
      </c>
      <c r="J111" s="474"/>
      <c r="K111" s="474"/>
      <c r="L111" s="474"/>
      <c r="M111" s="474"/>
      <c r="N111" s="475"/>
      <c r="O111" s="483"/>
      <c r="P111" s="484"/>
      <c r="Q111" s="484"/>
      <c r="R111" s="484"/>
      <c r="S111" s="486"/>
      <c r="T111" s="14"/>
      <c r="U111" s="14"/>
      <c r="V111" s="14"/>
      <c r="W111" s="14"/>
      <c r="X111" s="14"/>
      <c r="Y111" s="14"/>
      <c r="Z111" s="14"/>
    </row>
    <row r="112" spans="1:32" ht="17.25" customHeight="1">
      <c r="H112" s="14"/>
      <c r="I112" s="470" t="s">
        <v>120</v>
      </c>
      <c r="J112" s="471"/>
      <c r="K112" s="471"/>
      <c r="L112" s="471"/>
      <c r="M112" s="471"/>
      <c r="N112" s="472"/>
      <c r="O112" s="482">
        <f>(O98-O103+O105/2)*60</f>
        <v>63.555132071331542</v>
      </c>
      <c r="P112" s="482"/>
      <c r="Q112" s="482"/>
      <c r="R112" s="482"/>
      <c r="S112" s="485" t="s">
        <v>116</v>
      </c>
      <c r="T112" s="14"/>
      <c r="U112" s="14"/>
      <c r="V112" s="14"/>
      <c r="W112" s="14"/>
      <c r="X112" s="14"/>
      <c r="Y112" s="14"/>
      <c r="Z112" s="14"/>
    </row>
    <row r="113" spans="2:28" ht="17.25" customHeight="1">
      <c r="H113" s="14"/>
      <c r="I113" s="487" t="s">
        <v>121</v>
      </c>
      <c r="J113" s="488"/>
      <c r="K113" s="488"/>
      <c r="L113" s="488"/>
      <c r="M113" s="488"/>
      <c r="N113" s="489"/>
      <c r="O113" s="484"/>
      <c r="P113" s="484"/>
      <c r="Q113" s="484"/>
      <c r="R113" s="484"/>
      <c r="S113" s="486"/>
      <c r="T113" s="14"/>
      <c r="U113" s="14"/>
      <c r="V113" s="14"/>
      <c r="W113" s="14"/>
      <c r="X113" s="14"/>
      <c r="Y113" s="14"/>
      <c r="Z113" s="14"/>
    </row>
    <row r="114" spans="2:28" ht="17.25" customHeight="1">
      <c r="H114" s="14"/>
      <c r="I114" s="331" t="s">
        <v>71</v>
      </c>
      <c r="J114" s="331"/>
      <c r="K114" s="331"/>
      <c r="L114" s="331"/>
      <c r="M114" s="331"/>
      <c r="N114" s="331"/>
      <c r="O114" s="441">
        <f>O107*60</f>
        <v>-14.85</v>
      </c>
      <c r="P114" s="442"/>
      <c r="Q114" s="442"/>
      <c r="R114" s="442"/>
      <c r="S114" s="77" t="s">
        <v>116</v>
      </c>
      <c r="T114" s="14"/>
      <c r="U114" s="14"/>
      <c r="V114" s="14"/>
      <c r="W114" s="14"/>
      <c r="X114" s="14"/>
      <c r="Y114" s="14"/>
      <c r="Z114" s="14"/>
    </row>
    <row r="115" spans="2:28" ht="17.25" customHeight="1" thickBot="1"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</row>
    <row r="116" spans="2:28" ht="17.25" customHeight="1" thickTop="1" thickBot="1">
      <c r="H116" s="436" t="s">
        <v>153</v>
      </c>
      <c r="I116" s="437"/>
      <c r="J116" s="437"/>
      <c r="K116" s="437"/>
      <c r="L116" s="437"/>
      <c r="M116" s="437"/>
      <c r="N116" s="438"/>
      <c r="O116" s="439">
        <f>O93-O103+O98+O107</f>
        <v>19.389482410477992</v>
      </c>
      <c r="P116" s="329"/>
      <c r="Q116" s="329"/>
      <c r="R116" s="329"/>
      <c r="S116" s="16" t="s">
        <v>54</v>
      </c>
      <c r="U116" s="327" t="str" cm="1">
        <f t="array" ref="U116">angleDecimal2Txt(O116)</f>
        <v>+19°23.36 (+19.3894) [+19°23'22.13]</v>
      </c>
      <c r="V116" s="327"/>
      <c r="W116" s="327"/>
      <c r="X116" s="327"/>
      <c r="Y116" s="327"/>
      <c r="Z116" s="327"/>
    </row>
    <row r="117" spans="2:28" ht="17.25" customHeight="1" thickTop="1"/>
    <row r="118" spans="2:28" ht="17.25" customHeight="1">
      <c r="F118" s="440" t="s">
        <v>63</v>
      </c>
      <c r="G118" s="440"/>
      <c r="H118" s="440"/>
      <c r="I118" s="440"/>
      <c r="J118" s="329" t="str">
        <f>IF(G87=AD87,O126,"---")</f>
        <v>---</v>
      </c>
      <c r="K118" s="329"/>
      <c r="L118" s="329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113" t="s">
        <v>84</v>
      </c>
      <c r="U120" s="415" t="s">
        <v>33</v>
      </c>
      <c r="V120" s="415"/>
    </row>
    <row r="121" spans="2:28" ht="17.25" customHeight="1">
      <c r="T121" s="114" t="s">
        <v>80</v>
      </c>
      <c r="U121" s="415" t="s">
        <v>82</v>
      </c>
      <c r="V121" s="415"/>
    </row>
    <row r="122" spans="2:28" ht="17.25" customHeight="1">
      <c r="H122" s="16" t="s">
        <v>72</v>
      </c>
      <c r="I122" s="40" t="s">
        <v>74</v>
      </c>
      <c r="J122" s="16" t="s">
        <v>60</v>
      </c>
      <c r="K122" s="417" t="s">
        <v>77</v>
      </c>
      <c r="L122" s="16" t="s">
        <v>59</v>
      </c>
      <c r="N122" s="417" t="s">
        <v>79</v>
      </c>
      <c r="O122" s="40" t="s">
        <v>246</v>
      </c>
      <c r="Q122" s="417" t="s">
        <v>79</v>
      </c>
      <c r="R122" s="16" t="s">
        <v>247</v>
      </c>
      <c r="T122" s="112" t="s">
        <v>81</v>
      </c>
      <c r="U122" s="416" t="s">
        <v>83</v>
      </c>
      <c r="V122" s="416"/>
      <c r="Z122"/>
      <c r="AA122"/>
    </row>
    <row r="123" spans="2:28" ht="17.25" customHeight="1" thickBot="1">
      <c r="I123" s="40"/>
      <c r="J123" s="42">
        <f>O89</f>
        <v>18.916666666666668</v>
      </c>
      <c r="K123" s="417"/>
      <c r="L123" s="443">
        <f>O90</f>
        <v>0.05</v>
      </c>
      <c r="M123" s="444"/>
      <c r="N123" s="417"/>
      <c r="O123" s="447" t="s">
        <v>157</v>
      </c>
      <c r="P123" s="448"/>
      <c r="Q123" s="417"/>
      <c r="R123" s="115" t="s">
        <v>81</v>
      </c>
      <c r="V123"/>
      <c r="W123"/>
      <c r="X123"/>
      <c r="Y123"/>
      <c r="Z123"/>
      <c r="AA123"/>
    </row>
    <row r="124" spans="2:28" ht="17.25" customHeight="1" thickTop="1" thickBot="1">
      <c r="I124" s="40"/>
      <c r="J124"/>
      <c r="K124" s="40" t="s">
        <v>245</v>
      </c>
      <c r="L124" s="445" cm="1">
        <f t="array" ref="L124">angleConvert2Decimal(L123)</f>
        <v>0.05</v>
      </c>
      <c r="M124" s="446"/>
      <c r="O124" s="570" cm="1">
        <f t="array" ref="O124">angleConvert2Decimal(O123)</f>
        <v>0.17166666666666669</v>
      </c>
      <c r="P124" s="571"/>
      <c r="Q124" s="11"/>
      <c r="R124" s="106" cm="1">
        <f t="array" ref="R124">angleConvert2Decimal(R123)</f>
        <v>-0.53333333333333333</v>
      </c>
      <c r="S124"/>
      <c r="T124" s="7" t="s">
        <v>111</v>
      </c>
      <c r="U124" s="7"/>
      <c r="V124" s="7">
        <f>R124+O124</f>
        <v>-0.36166666666666664</v>
      </c>
      <c r="W124" s="450" t="str" cm="1">
        <f t="array" ref="W124">angleDecimal2Txt(V124)</f>
        <v>-00°21.69 (-00.3616) [-00°21'42.00]</v>
      </c>
      <c r="X124" s="451"/>
      <c r="Y124" s="451"/>
      <c r="Z124" s="451"/>
      <c r="AA124" s="337"/>
    </row>
    <row r="125" spans="2:28" ht="17.25" customHeight="1" thickTop="1" thickBot="1">
      <c r="I125" s="40"/>
      <c r="K125" s="40"/>
      <c r="N125" s="40"/>
      <c r="Q125" s="40"/>
      <c r="R125" s="45"/>
    </row>
    <row r="126" spans="2:28" ht="17.25" customHeight="1" thickTop="1" thickBot="1">
      <c r="H126" s="436" t="s">
        <v>156</v>
      </c>
      <c r="I126" s="437"/>
      <c r="J126" s="437"/>
      <c r="K126" s="437"/>
      <c r="L126" s="437"/>
      <c r="M126" s="437"/>
      <c r="N126" s="438"/>
      <c r="O126" s="439">
        <f>J123-L124+O124+R124</f>
        <v>18.504999999999999</v>
      </c>
      <c r="P126" s="329"/>
      <c r="Q126" s="329"/>
      <c r="R126" s="329"/>
      <c r="S126" s="16" t="s">
        <v>54</v>
      </c>
      <c r="U126" s="327" t="str" cm="1">
        <f t="array" ref="U126">angleDecimal2Txt(O126)</f>
        <v>+18°30.30 (+18.5049) [+18°30'18.00]</v>
      </c>
      <c r="V126" s="327"/>
      <c r="W126" s="327"/>
      <c r="X126" s="327"/>
      <c r="Y126" s="327"/>
      <c r="Z126" s="327"/>
    </row>
    <row r="127" spans="2:28" ht="17.25" customHeight="1" thickTop="1" thickBot="1">
      <c r="D127" s="46"/>
    </row>
    <row r="128" spans="2:28" ht="17.25" customHeight="1" thickBot="1">
      <c r="B128" s="25" t="s">
        <v>44</v>
      </c>
      <c r="C128" s="26"/>
      <c r="D128" s="47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64"/>
    </row>
    <row r="129" spans="1:31" ht="17.25" customHeight="1">
      <c r="C129" s="16"/>
      <c r="D129" s="16"/>
      <c r="E129" s="16"/>
      <c r="F129" s="16"/>
      <c r="G129" s="16"/>
      <c r="O129" s="449" t="s">
        <v>85</v>
      </c>
      <c r="P129" s="449"/>
      <c r="Q129" s="449"/>
      <c r="R129" s="449"/>
      <c r="S129" s="449"/>
      <c r="T129" s="449"/>
      <c r="U129" s="449"/>
      <c r="V129" s="449"/>
      <c r="W129" s="449"/>
      <c r="X129" s="449"/>
      <c r="Y129" s="449"/>
      <c r="Z129" s="449"/>
      <c r="AA129" s="449"/>
    </row>
    <row r="130" spans="1:31" ht="17.25" customHeight="1">
      <c r="C130" s="14"/>
      <c r="D130" s="14"/>
      <c r="E130" s="418" t="s">
        <v>22</v>
      </c>
      <c r="F130" s="419"/>
      <c r="G130" s="419"/>
      <c r="H130" s="419"/>
      <c r="I130" s="351">
        <f>AD132</f>
        <v>19.82527160332306</v>
      </c>
      <c r="J130" s="351"/>
      <c r="K130" s="351"/>
      <c r="L130" s="351"/>
      <c r="M130" s="351"/>
      <c r="O130" s="397" t="s">
        <v>86</v>
      </c>
      <c r="P130" s="397"/>
      <c r="Q130" s="397">
        <f>F45</f>
        <v>-16.989644444444444</v>
      </c>
      <c r="R130" s="397"/>
      <c r="S130" s="397"/>
      <c r="T130" s="401" t="s">
        <v>54</v>
      </c>
      <c r="U130" s="357">
        <f>Q130*Outils!$F$4</f>
        <v>-0.29652523429871841</v>
      </c>
      <c r="V130" s="358"/>
      <c r="W130" s="399"/>
      <c r="X130" s="401" t="s">
        <v>64</v>
      </c>
      <c r="AC130" s="3" t="s">
        <v>204</v>
      </c>
      <c r="AD130" s="3">
        <f>SIN(U130)*SIN(U131)+COS(U130)*COS(U131)*COS(U132)</f>
        <v>0.3391528840891907</v>
      </c>
      <c r="AE130" s="3"/>
    </row>
    <row r="131" spans="1:31" ht="17.25" customHeight="1" thickBot="1">
      <c r="C131" s="14"/>
      <c r="D131" s="14"/>
      <c r="E131" s="421"/>
      <c r="F131" s="422"/>
      <c r="G131" s="422"/>
      <c r="H131" s="422"/>
      <c r="I131" s="351"/>
      <c r="J131" s="351"/>
      <c r="K131" s="351"/>
      <c r="L131" s="351"/>
      <c r="M131" s="351"/>
      <c r="N131" s="48" t="s">
        <v>125</v>
      </c>
      <c r="O131" s="397" t="s">
        <v>87</v>
      </c>
      <c r="P131" s="397"/>
      <c r="Q131" s="397">
        <f>F36</f>
        <v>40</v>
      </c>
      <c r="R131" s="397"/>
      <c r="S131" s="397"/>
      <c r="T131" s="401"/>
      <c r="U131" s="357">
        <f>Q131*Outils!$F$4</f>
        <v>0.69813170079773179</v>
      </c>
      <c r="V131" s="358"/>
      <c r="W131" s="399"/>
      <c r="X131" s="401"/>
      <c r="AC131" s="3" t="s">
        <v>205</v>
      </c>
      <c r="AD131" s="3">
        <f>ASIN(AD130)</f>
        <v>0.34601626458012258</v>
      </c>
      <c r="AE131" s="3" t="s">
        <v>64</v>
      </c>
    </row>
    <row r="132" spans="1:31" ht="17.25" customHeight="1" thickTop="1" thickBot="1">
      <c r="C132" s="14"/>
      <c r="D132" s="14"/>
      <c r="E132" s="424"/>
      <c r="F132" s="425"/>
      <c r="G132" s="425"/>
      <c r="H132" s="425"/>
      <c r="I132" s="327" t="str" cm="1">
        <f t="array" ref="I132">angleDecimal2Txt(I130)</f>
        <v>+19°49.51 (+19.8252) [+19°49'30.97]</v>
      </c>
      <c r="J132" s="327"/>
      <c r="K132" s="327"/>
      <c r="L132" s="327"/>
      <c r="M132" s="327"/>
      <c r="O132" s="397" t="s">
        <v>43</v>
      </c>
      <c r="P132" s="397"/>
      <c r="Q132" s="397">
        <f>F82</f>
        <v>44.002541666666673</v>
      </c>
      <c r="R132" s="397"/>
      <c r="S132" s="397"/>
      <c r="T132" s="401"/>
      <c r="U132" s="357">
        <f>Q132*Outils!$F$4</f>
        <v>0.76798923132932662</v>
      </c>
      <c r="V132" s="358"/>
      <c r="W132" s="399"/>
      <c r="X132" s="401"/>
      <c r="AC132" s="3"/>
      <c r="AD132" s="3">
        <f>AD131*Outils!F5</f>
        <v>19.82527160332306</v>
      </c>
      <c r="AE132" s="3" t="s">
        <v>54</v>
      </c>
    </row>
    <row r="133" spans="1:31" ht="17.25" customHeight="1" thickTop="1">
      <c r="C133" s="14"/>
      <c r="D133" s="14"/>
      <c r="E133" s="16"/>
      <c r="F133" s="16"/>
      <c r="G133" s="16"/>
    </row>
    <row r="134" spans="1:31" ht="17.25" customHeight="1">
      <c r="C134" s="14"/>
      <c r="D134" s="14"/>
      <c r="E134" s="418" t="s">
        <v>25</v>
      </c>
      <c r="F134" s="419"/>
      <c r="G134" s="419"/>
      <c r="H134" s="419"/>
      <c r="I134" s="351">
        <f>F86</f>
        <v>19.389482410477992</v>
      </c>
      <c r="J134" s="351"/>
      <c r="K134" s="351"/>
      <c r="L134" s="351"/>
      <c r="M134" s="351"/>
    </row>
    <row r="135" spans="1:31" ht="17.25" customHeight="1" thickBot="1">
      <c r="C135" s="14"/>
      <c r="D135" s="14"/>
      <c r="E135" s="421"/>
      <c r="F135" s="422"/>
      <c r="G135" s="422"/>
      <c r="H135" s="422"/>
      <c r="I135" s="351"/>
      <c r="J135" s="351"/>
      <c r="K135" s="351"/>
      <c r="L135" s="351"/>
      <c r="M135" s="351"/>
      <c r="O135" s="321" t="s">
        <v>27</v>
      </c>
      <c r="P135" s="322"/>
      <c r="Q135" s="322"/>
      <c r="R135" s="322"/>
      <c r="S135" s="660"/>
      <c r="T135" s="49">
        <f>I134-I130</f>
        <v>-0.43578919284506767</v>
      </c>
      <c r="U135" s="50" t="s">
        <v>28</v>
      </c>
      <c r="V135" s="51">
        <f>T135*60</f>
        <v>-26.14735157070406</v>
      </c>
      <c r="W135" s="50" t="s">
        <v>112</v>
      </c>
      <c r="X135" s="14"/>
      <c r="Y135" s="339" t="str">
        <f>IF(T135&gt;0,"Vers Pg", "Oppose de Pg")</f>
        <v>Oppose de Pg</v>
      </c>
      <c r="Z135" s="339"/>
    </row>
    <row r="136" spans="1:31" ht="17.25" customHeight="1" thickTop="1" thickBot="1">
      <c r="C136" s="14"/>
      <c r="D136" s="14"/>
      <c r="E136" s="424"/>
      <c r="F136" s="425"/>
      <c r="G136" s="425"/>
      <c r="H136" s="425"/>
      <c r="I136" s="327" t="str" cm="1">
        <f t="array" ref="I136">angleDecimal2Txt(I134)</f>
        <v>+19°23.36 (+19.3894) [+19°23'22.13]</v>
      </c>
      <c r="J136" s="327"/>
      <c r="K136" s="327"/>
      <c r="L136" s="327"/>
      <c r="M136" s="327"/>
      <c r="S136" s="614" t="s">
        <v>416</v>
      </c>
      <c r="T136" s="615" t="s">
        <v>479</v>
      </c>
      <c r="U136" s="615"/>
      <c r="V136" s="615">
        <f>F45</f>
        <v>-16.989644444444444</v>
      </c>
      <c r="W136" s="615"/>
      <c r="X136" s="617" t="str">
        <f>latitudeDecimal2Txt(V136)</f>
        <v>S 16°59.37 (S 16.9896) [S 16°59'22.72]</v>
      </c>
      <c r="Y136" s="617"/>
      <c r="Z136" s="617"/>
      <c r="AA136" s="617"/>
      <c r="AB136" s="617"/>
      <c r="AC136" s="617"/>
    </row>
    <row r="137" spans="1:31" ht="17.25" customHeight="1" thickTop="1">
      <c r="C137" s="14"/>
      <c r="D137" s="14"/>
      <c r="E137" s="16"/>
      <c r="F137" s="16"/>
      <c r="G137" s="16"/>
      <c r="S137" s="614"/>
      <c r="T137" s="616" t="s">
        <v>480</v>
      </c>
      <c r="U137" s="616"/>
      <c r="V137" s="615" cm="1">
        <f t="array" ref="V137">longitudeHoraire2longitude(F63)</f>
        <v>-40.252541666666673</v>
      </c>
      <c r="W137" s="616"/>
      <c r="X137" s="618" t="str">
        <f>longitudeDecimal2Txt(V137)</f>
        <v>W 40°15.15 (W 40.2525) [W 40°15'09.15]</v>
      </c>
      <c r="Y137" s="618"/>
      <c r="Z137" s="618"/>
      <c r="AA137" s="618"/>
      <c r="AB137" s="618"/>
      <c r="AC137" s="618"/>
    </row>
    <row r="138" spans="1:31" ht="17.25" customHeight="1">
      <c r="C138" s="16"/>
      <c r="D138" s="16"/>
      <c r="E138" s="16"/>
      <c r="F138" s="16"/>
      <c r="T138" s="14"/>
      <c r="U138" s="14"/>
      <c r="V138" s="14"/>
      <c r="W138" s="14"/>
      <c r="X138" s="14"/>
      <c r="Y138" s="14"/>
    </row>
    <row r="139" spans="1:31" ht="17.25" customHeight="1">
      <c r="E139" s="16"/>
      <c r="F139" s="16"/>
      <c r="G139" s="16"/>
      <c r="T139" s="14"/>
      <c r="U139" s="14"/>
      <c r="V139" s="14"/>
      <c r="W139" s="14"/>
      <c r="X139" s="14"/>
      <c r="Y139" s="14"/>
    </row>
    <row r="140" spans="1:31" ht="17.25" customHeight="1">
      <c r="E140" s="16"/>
    </row>
    <row r="141" spans="1:31" ht="17.25" customHeight="1">
      <c r="E141" s="16"/>
      <c r="F141" s="16"/>
      <c r="G141" s="16"/>
      <c r="O141" s="413" t="s">
        <v>88</v>
      </c>
      <c r="P141" s="414"/>
      <c r="Q141" s="414"/>
      <c r="R141" s="414"/>
      <c r="S141" s="414"/>
      <c r="T141" s="414"/>
      <c r="U141" s="414"/>
      <c r="V141" s="414"/>
      <c r="W141" s="414"/>
      <c r="X141" s="414"/>
      <c r="Y141" s="414"/>
      <c r="Z141" s="414"/>
      <c r="AA141" s="414"/>
      <c r="AC141" s="3" t="s">
        <v>89</v>
      </c>
      <c r="AD141" s="3">
        <f>(SIN(U142)-SIN(U143)*SIN(AD131))/(COS(U143)*COS(AD131))</f>
        <v>-0.70798282342972663</v>
      </c>
      <c r="AE141" s="3"/>
    </row>
    <row r="142" spans="1:31" ht="17.25" customHeight="1">
      <c r="A142" s="14"/>
      <c r="B142" s="14"/>
      <c r="C142" s="14"/>
      <c r="D142" s="14"/>
      <c r="E142" s="418" t="s">
        <v>96</v>
      </c>
      <c r="F142" s="419"/>
      <c r="G142" s="419"/>
      <c r="H142" s="420"/>
      <c r="I142" s="345">
        <f>AD143</f>
        <v>135.07102840568382</v>
      </c>
      <c r="J142" s="345"/>
      <c r="K142" s="345"/>
      <c r="L142" s="345"/>
      <c r="M142" s="346"/>
      <c r="O142" s="397" t="s">
        <v>86</v>
      </c>
      <c r="P142" s="397"/>
      <c r="Q142" s="397">
        <f>F45</f>
        <v>-16.989644444444444</v>
      </c>
      <c r="R142" s="397"/>
      <c r="S142" s="397"/>
      <c r="T142" s="401" t="s">
        <v>54</v>
      </c>
      <c r="U142" s="397">
        <f>Q142*Outils!$F$4</f>
        <v>-0.29652523429871841</v>
      </c>
      <c r="V142" s="397"/>
      <c r="W142" s="397"/>
      <c r="X142" s="401" t="s">
        <v>64</v>
      </c>
      <c r="AC142" s="3" t="s">
        <v>206</v>
      </c>
      <c r="AD142" s="3">
        <f>ACOS(AD141)</f>
        <v>2.3574341697339696</v>
      </c>
      <c r="AE142" s="3" t="s">
        <v>64</v>
      </c>
    </row>
    <row r="143" spans="1:31" ht="17.25" customHeight="1" thickBot="1">
      <c r="C143" s="14"/>
      <c r="D143" s="14"/>
      <c r="E143" s="421"/>
      <c r="F143" s="422"/>
      <c r="G143" s="422"/>
      <c r="H143" s="423"/>
      <c r="I143" s="347"/>
      <c r="J143" s="347"/>
      <c r="K143" s="347"/>
      <c r="L143" s="347"/>
      <c r="M143" s="348"/>
      <c r="N143" s="48" t="s">
        <v>125</v>
      </c>
      <c r="O143" s="397" t="s">
        <v>87</v>
      </c>
      <c r="P143" s="397"/>
      <c r="Q143" s="397">
        <f>F36</f>
        <v>40</v>
      </c>
      <c r="R143" s="397"/>
      <c r="S143" s="397"/>
      <c r="T143" s="401"/>
      <c r="U143" s="397">
        <f>Q143*Outils!$F$4</f>
        <v>0.69813170079773179</v>
      </c>
      <c r="V143" s="397"/>
      <c r="W143" s="397"/>
      <c r="X143" s="401"/>
      <c r="AC143" s="3"/>
      <c r="AD143" s="3">
        <f>AD142*Outils!$F$5</f>
        <v>135.07102840568382</v>
      </c>
      <c r="AE143" s="3" t="s">
        <v>54</v>
      </c>
    </row>
    <row r="144" spans="1:31" ht="17.25" customHeight="1" thickTop="1" thickBot="1">
      <c r="C144" s="14"/>
      <c r="D144" s="14"/>
      <c r="E144" s="424"/>
      <c r="F144" s="425"/>
      <c r="G144" s="425"/>
      <c r="H144" s="426"/>
      <c r="I144" s="349" t="str" cm="1">
        <f t="array" ref="I144">angleDecimal2Txt(I142)</f>
        <v>+135°04.26 (+135.0710) [+135°04'15.70]</v>
      </c>
      <c r="J144" s="350"/>
      <c r="K144" s="350"/>
      <c r="L144" s="350"/>
      <c r="M144" s="350"/>
      <c r="O144" s="397" t="s">
        <v>43</v>
      </c>
      <c r="P144" s="397"/>
      <c r="Q144" s="397">
        <f>F82</f>
        <v>44.002541666666673</v>
      </c>
      <c r="R144" s="397"/>
      <c r="S144" s="397"/>
      <c r="T144" s="401"/>
      <c r="U144" s="397">
        <f>Q144*Outils!$F$4</f>
        <v>0.76798923132932662</v>
      </c>
      <c r="V144" s="397"/>
      <c r="W144" s="397"/>
      <c r="X144" s="401"/>
    </row>
    <row r="145" spans="2:30" ht="17.25" customHeight="1" thickTop="1">
      <c r="C145" s="14"/>
      <c r="D145" s="14"/>
      <c r="E145" s="16"/>
      <c r="F145" s="16"/>
      <c r="G145" s="16"/>
    </row>
    <row r="146" spans="2:30" ht="17.25" customHeight="1">
      <c r="C146" s="16"/>
      <c r="D146" s="16"/>
      <c r="F146" s="16"/>
      <c r="G146" s="16"/>
      <c r="I146" s="342" t="s">
        <v>154</v>
      </c>
      <c r="J146" s="343"/>
      <c r="K146" s="343"/>
      <c r="L146" s="343"/>
      <c r="M146" s="343"/>
      <c r="N146" s="344"/>
      <c r="O146" s="342" t="s">
        <v>155</v>
      </c>
      <c r="P146" s="343"/>
      <c r="Q146" s="343"/>
      <c r="R146" s="343"/>
      <c r="S146" s="343"/>
      <c r="T146" s="344"/>
    </row>
    <row r="147" spans="2:30" ht="17.25" customHeight="1">
      <c r="F147" s="16"/>
      <c r="G147" s="16"/>
      <c r="I147" s="574"/>
      <c r="J147" s="403" t="s">
        <v>126</v>
      </c>
      <c r="K147" s="404"/>
      <c r="L147" s="405"/>
      <c r="M147" s="409" t="s">
        <v>127</v>
      </c>
      <c r="N147" s="410"/>
      <c r="O147" s="574"/>
      <c r="P147" s="403" t="s">
        <v>126</v>
      </c>
      <c r="Q147" s="404"/>
      <c r="R147" s="405"/>
      <c r="S147" s="409" t="s">
        <v>128</v>
      </c>
      <c r="T147" s="410"/>
    </row>
    <row r="148" spans="2:30" ht="17.25" customHeight="1">
      <c r="F148" s="16"/>
      <c r="G148" s="16"/>
      <c r="I148" s="575"/>
      <c r="J148" s="406" t="s">
        <v>90</v>
      </c>
      <c r="K148" s="407"/>
      <c r="L148" s="408"/>
      <c r="M148" s="411" t="s">
        <v>91</v>
      </c>
      <c r="N148" s="412"/>
      <c r="O148" s="575"/>
      <c r="P148" s="406" t="s">
        <v>90</v>
      </c>
      <c r="Q148" s="407"/>
      <c r="R148" s="408"/>
      <c r="S148" s="411" t="s">
        <v>92</v>
      </c>
      <c r="T148" s="412"/>
    </row>
    <row r="149" spans="2:30" ht="17.25" customHeight="1">
      <c r="F149" s="14"/>
      <c r="G149" s="14"/>
      <c r="H149" s="14"/>
      <c r="I149" s="14"/>
      <c r="J149" s="14"/>
      <c r="K149" s="14"/>
      <c r="Q149" s="14"/>
      <c r="R149" s="14"/>
      <c r="S149" s="14"/>
      <c r="T149" s="396"/>
      <c r="U149" s="396"/>
      <c r="V149" s="396"/>
      <c r="W149" s="14"/>
      <c r="X149" s="396"/>
      <c r="Y149" s="396"/>
      <c r="Z149" s="396"/>
    </row>
    <row r="150" spans="2:30" ht="17.25" customHeight="1">
      <c r="F150" s="14"/>
      <c r="N150" s="398"/>
      <c r="O150" s="398"/>
      <c r="Q150" s="396"/>
      <c r="R150" s="396"/>
      <c r="S150" s="396"/>
      <c r="T150" s="396"/>
      <c r="U150" s="396"/>
      <c r="V150" s="396"/>
      <c r="W150" s="14"/>
      <c r="X150" s="396"/>
      <c r="Y150" s="396"/>
      <c r="Z150" s="396"/>
    </row>
    <row r="151" spans="2:30" ht="17.25" customHeight="1">
      <c r="I151" s="397" t="s">
        <v>87</v>
      </c>
      <c r="J151" s="397"/>
      <c r="K151" s="59">
        <f>F36</f>
        <v>40</v>
      </c>
      <c r="L151" s="329" t="str">
        <f>CONCATENATE("Sens: ",IF(Q143&gt;0,"Nord","Sud"))</f>
        <v>Sens: Nord</v>
      </c>
      <c r="M151" s="329"/>
    </row>
    <row r="152" spans="2:30" ht="17.25" customHeight="1" thickBot="1">
      <c r="I152" s="397" t="s">
        <v>43</v>
      </c>
      <c r="J152" s="397"/>
      <c r="K152" s="59">
        <f>Q144</f>
        <v>44.002541666666673</v>
      </c>
      <c r="L152" s="329" t="str">
        <f>CONCATENATE("Is &gt; 180? ", IF(Q144&gt;180,"Y", "N"))</f>
        <v>Is &gt; 180? N</v>
      </c>
      <c r="M152" s="329"/>
      <c r="O152" s="321" t="s">
        <v>97</v>
      </c>
      <c r="P152" s="322"/>
      <c r="Q152" s="322"/>
      <c r="R152" s="322"/>
      <c r="S152" s="322"/>
      <c r="T152" s="352">
        <f>ABS(IF(Q131&gt;0,IF(Q132&gt;180,I142,360-I142),IF(Q132&gt;180,180-I142,180+I142)))</f>
        <v>224.92897159431618</v>
      </c>
      <c r="U152" s="353"/>
      <c r="V152" s="50" t="s">
        <v>28</v>
      </c>
      <c r="W152" s="14"/>
    </row>
    <row r="153" spans="2:30" ht="17.25" customHeight="1" thickTop="1" thickBot="1">
      <c r="I153" s="357" t="s">
        <v>129</v>
      </c>
      <c r="J153" s="358"/>
      <c r="K153" s="359"/>
      <c r="L153" s="329" t="str">
        <f>IF(K151&gt;0,IF(K152&gt;180,M147,M148),IF(K152&gt;180,S147,S148))</f>
        <v>Zn = 360 - Z</v>
      </c>
      <c r="M153" s="329"/>
      <c r="T153" s="327" t="str" cm="1">
        <f t="array" ref="T153">angleDecimal2Txt(T152)</f>
        <v>+224°55.73 (+224.9289) [+224°55'44.29]</v>
      </c>
      <c r="U153" s="327"/>
      <c r="V153" s="327"/>
      <c r="W153" s="327"/>
      <c r="X153" s="327"/>
      <c r="Y153" s="327"/>
    </row>
    <row r="154" spans="2:30" ht="17.25" customHeight="1" thickTop="1"/>
    <row r="155" spans="2:30" ht="17.25" customHeight="1" thickBot="1"/>
    <row r="156" spans="2:30" ht="17.25" customHeight="1" thickBot="1">
      <c r="B156" s="25" t="s">
        <v>248</v>
      </c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97"/>
      <c r="AB156" s="64"/>
    </row>
    <row r="158" spans="2:30" ht="17.25" customHeight="1" thickBot="1">
      <c r="C158" s="356" t="s">
        <v>249</v>
      </c>
      <c r="D158" s="356"/>
      <c r="E158" s="356"/>
      <c r="F158" s="356"/>
      <c r="G158" s="116"/>
      <c r="H158" s="356" t="s">
        <v>250</v>
      </c>
      <c r="I158" s="356"/>
      <c r="J158" s="356"/>
      <c r="L158" s="360" t="s">
        <v>239</v>
      </c>
      <c r="M158" s="360"/>
      <c r="N158" s="360"/>
      <c r="Q158" s="325" t="s">
        <v>251</v>
      </c>
      <c r="R158" s="325"/>
      <c r="S158" s="325"/>
      <c r="T158" s="325"/>
      <c r="U158" s="102"/>
      <c r="AC158" t="s">
        <v>236</v>
      </c>
      <c r="AD158" s="105">
        <f>I159/60</f>
        <v>-0.43578919284506767</v>
      </c>
    </row>
    <row r="159" spans="2:30" ht="17.25" customHeight="1" thickTop="1" thickBot="1">
      <c r="D159" s="120" t="s">
        <v>41</v>
      </c>
      <c r="E159" s="361">
        <f>F36</f>
        <v>40</v>
      </c>
      <c r="F159" s="361"/>
      <c r="I159" s="361">
        <f>V135</f>
        <v>-26.14735157070406</v>
      </c>
      <c r="J159" s="361"/>
      <c r="K159" s="16" t="s">
        <v>112</v>
      </c>
      <c r="M159" s="361">
        <f>T152</f>
        <v>224.92897159431618</v>
      </c>
      <c r="N159" s="361"/>
      <c r="R159" s="118" t="s">
        <v>41</v>
      </c>
      <c r="S159" s="323">
        <f>AD161</f>
        <v>40.308531263170615</v>
      </c>
      <c r="T159" s="323"/>
      <c r="U159" s="324" t="str" cm="1">
        <f t="array" ref="U159">latitudeDecimal2Txt(S159)</f>
        <v>N 40°18.51 (N 40.3085) [N 40°18'30.71]</v>
      </c>
      <c r="V159" s="324"/>
      <c r="W159" s="324"/>
      <c r="X159" s="324"/>
      <c r="Y159" s="324"/>
      <c r="Z159" s="324"/>
      <c r="AC159" t="s">
        <v>237</v>
      </c>
      <c r="AD159" s="105">
        <f>M159</f>
        <v>224.92897159431618</v>
      </c>
    </row>
    <row r="160" spans="2:30" ht="17.25" customHeight="1" thickTop="1" thickBot="1">
      <c r="D160" s="120" t="s">
        <v>42</v>
      </c>
      <c r="E160" s="361">
        <f>F41</f>
        <v>3.75</v>
      </c>
      <c r="F160" s="361"/>
      <c r="R160" s="118" t="s">
        <v>42</v>
      </c>
      <c r="S160" s="323">
        <f>AD163</f>
        <v>4.1526727998642485</v>
      </c>
      <c r="T160" s="323"/>
      <c r="U160" s="324" t="str" cm="1">
        <f t="array" ref="U160">longitudeDecimal2Txt(S160)</f>
        <v>E 04°09.16 (E 04.1526) [E 04°09'09.62]</v>
      </c>
      <c r="V160" s="324"/>
      <c r="W160" s="324"/>
      <c r="X160" s="324"/>
      <c r="Y160" s="324"/>
      <c r="Z160" s="324"/>
      <c r="AC160" s="16"/>
      <c r="AD160" s="16"/>
    </row>
    <row r="161" spans="2:33" ht="17.25" customHeight="1" thickTop="1">
      <c r="D161" s="16"/>
      <c r="AC161" t="s">
        <v>253</v>
      </c>
      <c r="AD161">
        <f>E159+AD158*COS(AD159*Outils!$F$4)</f>
        <v>40.308531263170615</v>
      </c>
    </row>
    <row r="162" spans="2:33" ht="17.25" customHeight="1">
      <c r="C162"/>
      <c r="D162"/>
      <c r="E162"/>
      <c r="Q162" s="325" t="s">
        <v>252</v>
      </c>
      <c r="R162" s="325"/>
      <c r="S162" s="325"/>
      <c r="AC162" t="s">
        <v>254</v>
      </c>
      <c r="AD162">
        <f>(E159+AD161)/2</f>
        <v>40.154265631585304</v>
      </c>
    </row>
    <row r="163" spans="2:33" ht="17.25" customHeight="1">
      <c r="R163" s="323">
        <f>M159-90</f>
        <v>134.92897159431618</v>
      </c>
      <c r="S163" s="323"/>
      <c r="T163" s="50" t="s">
        <v>28</v>
      </c>
      <c r="AC163" t="s">
        <v>255</v>
      </c>
      <c r="AD163">
        <f>E160+(AD158*SIN(M159*Outils!$F$4)/COS(AD162*Outils!$F$4))</f>
        <v>4.1526727998642485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122" t="s">
        <v>256</v>
      </c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4"/>
    </row>
    <row r="167" spans="2:33" customFormat="1" ht="17.25" customHeight="1">
      <c r="AD167" s="105"/>
    </row>
    <row r="168" spans="2:33" customFormat="1" ht="17.25" customHeight="1" thickBot="1">
      <c r="C168" s="355" t="s">
        <v>251</v>
      </c>
      <c r="D168" s="355"/>
      <c r="E168" s="355"/>
      <c r="F168" s="355"/>
      <c r="G168" s="102"/>
      <c r="H168" s="16"/>
      <c r="I168" s="16"/>
      <c r="J168" s="16"/>
      <c r="K168" s="16"/>
      <c r="L168" s="16"/>
      <c r="Q168" s="117" t="s">
        <v>257</v>
      </c>
      <c r="R168" s="117"/>
      <c r="S168" s="117"/>
      <c r="T168" s="117"/>
      <c r="U168" s="117"/>
      <c r="V168" s="117"/>
      <c r="W168" s="117"/>
      <c r="AC168" t="s">
        <v>302</v>
      </c>
      <c r="AD168" s="105"/>
      <c r="AE168" t="b">
        <f>(ABS(D173-90)&lt;0.1)</f>
        <v>0</v>
      </c>
    </row>
    <row r="169" spans="2:33" customFormat="1" ht="17.25" customHeight="1" thickTop="1" thickBot="1">
      <c r="D169" s="119" t="s">
        <v>41</v>
      </c>
      <c r="E169" s="354">
        <v>46</v>
      </c>
      <c r="F169" s="354"/>
      <c r="G169" s="324" t="str" cm="1">
        <f t="array" ref="G169">latitudeDecimal2Txt(E169)</f>
        <v>N 46°00.00 (N 46.0000) [N 46°00'00.00]</v>
      </c>
      <c r="H169" s="324"/>
      <c r="I169" s="324"/>
      <c r="J169" s="324"/>
      <c r="K169" s="324"/>
      <c r="L169" s="324"/>
      <c r="R169" s="118" t="s">
        <v>41</v>
      </c>
      <c r="S169" s="323">
        <f>AG173</f>
        <v>48.792187285988142</v>
      </c>
      <c r="T169" s="323"/>
      <c r="U169" s="324" t="str" cm="1">
        <f t="array" ref="U169">latitudeDecimal2Txt(S169)</f>
        <v>N 48°47.53 (N 48.7921) [N 48°47'31.87]</v>
      </c>
      <c r="V169" s="324"/>
      <c r="W169" s="324"/>
      <c r="X169" s="324"/>
      <c r="Y169" s="324"/>
      <c r="Z169" s="324"/>
      <c r="AC169" s="139" t="s">
        <v>303</v>
      </c>
      <c r="AD169" s="140">
        <f>R163</f>
        <v>134.92897159431618</v>
      </c>
    </row>
    <row r="170" spans="2:33" customFormat="1" ht="17.25" customHeight="1" thickTop="1" thickBot="1">
      <c r="D170" s="119" t="s">
        <v>42</v>
      </c>
      <c r="E170" s="354">
        <v>-7</v>
      </c>
      <c r="F170" s="354"/>
      <c r="G170" s="324" t="str" cm="1">
        <f t="array" ref="G170">longitudeDecimal2Txt(E170)</f>
        <v>W 07°00.00 (W 07.0000) [W 07°00'00.00]</v>
      </c>
      <c r="H170" s="324"/>
      <c r="I170" s="324"/>
      <c r="J170" s="324"/>
      <c r="K170" s="324"/>
      <c r="L170" s="324"/>
      <c r="R170" s="118" t="s">
        <v>42</v>
      </c>
      <c r="S170" s="323">
        <f>AG174</f>
        <v>-7.0000000000000071</v>
      </c>
      <c r="T170" s="323"/>
      <c r="U170" s="324" t="str" cm="1">
        <f t="array" ref="U170">longitudeDecimal2Txt(S170)</f>
        <v>W 07°00.00 (W 07.0000) [W 07°00'00.00]</v>
      </c>
      <c r="V170" s="324"/>
      <c r="W170" s="324"/>
      <c r="X170" s="324"/>
      <c r="Y170" s="324"/>
      <c r="Z170" s="324"/>
      <c r="AC170" s="141" t="s">
        <v>305</v>
      </c>
      <c r="AD170" s="140">
        <f>S159</f>
        <v>40.308531263170615</v>
      </c>
    </row>
    <row r="171" spans="2:33" customFormat="1" ht="17.25" customHeight="1" thickTop="1"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AC171" s="139" t="s">
        <v>306</v>
      </c>
      <c r="AD171" s="140">
        <f>S160</f>
        <v>4.1526727998642485</v>
      </c>
    </row>
    <row r="172" spans="2:33" customFormat="1" ht="17.25" customHeight="1">
      <c r="C172" s="355" t="s">
        <v>252</v>
      </c>
      <c r="D172" s="355"/>
      <c r="E172" s="355"/>
      <c r="F172" s="121"/>
      <c r="G172" s="16"/>
      <c r="H172" s="16"/>
      <c r="I172" s="16"/>
      <c r="J172" s="16"/>
      <c r="K172" s="16"/>
      <c r="L172" s="16"/>
      <c r="AC172" s="139" t="s">
        <v>258</v>
      </c>
      <c r="AD172" s="139">
        <f>TAN(AD169*Outils!F4) * (1 / COS(AD170*Outils!F4))</f>
        <v>-1.314606906487978</v>
      </c>
    </row>
    <row r="173" spans="2:33" customFormat="1" ht="17.25" customHeight="1">
      <c r="D173" s="354">
        <v>180</v>
      </c>
      <c r="E173" s="354"/>
      <c r="F173" s="125" t="s">
        <v>28</v>
      </c>
      <c r="G173" s="16"/>
      <c r="H173" s="16"/>
      <c r="I173" s="16"/>
      <c r="J173" s="16"/>
      <c r="K173" s="16"/>
      <c r="L173" s="16"/>
      <c r="AC173" s="139" t="s">
        <v>259</v>
      </c>
      <c r="AD173" s="139">
        <f>AD171-AD170*AD172</f>
        <v>57.142546388814914</v>
      </c>
      <c r="AE173" s="320" t="s">
        <v>310</v>
      </c>
      <c r="AF173" s="320"/>
      <c r="AG173" s="142">
        <f>(AD178-AD173)/(AD172-AD177)</f>
        <v>48.792187285988142</v>
      </c>
    </row>
    <row r="174" spans="2:33" customFormat="1" ht="15">
      <c r="AC174" s="136" t="s">
        <v>304</v>
      </c>
      <c r="AD174" s="137">
        <f>D173</f>
        <v>180</v>
      </c>
      <c r="AE174" s="320"/>
      <c r="AF174" s="320"/>
      <c r="AG174" s="142">
        <f>AD172*AG173+AD173</f>
        <v>-7.0000000000000071</v>
      </c>
    </row>
    <row r="175" spans="2:33" customFormat="1" ht="18.75">
      <c r="S175" s="16"/>
      <c r="T175" s="16"/>
      <c r="AC175" s="138" t="s">
        <v>305</v>
      </c>
      <c r="AD175" s="137">
        <f>E169</f>
        <v>46</v>
      </c>
    </row>
    <row r="176" spans="2:33" customFormat="1" ht="18">
      <c r="AC176" s="136" t="s">
        <v>306</v>
      </c>
      <c r="AD176" s="137">
        <f>E170</f>
        <v>-7</v>
      </c>
      <c r="AE176" s="320" t="s">
        <v>311</v>
      </c>
      <c r="AF176" s="320"/>
      <c r="AG176" s="143">
        <f>E169</f>
        <v>46</v>
      </c>
    </row>
    <row r="177" spans="2:65" customFormat="1" ht="17.25" customHeight="1">
      <c r="P177" s="16"/>
      <c r="Q177" s="16"/>
      <c r="AC177" s="136" t="s">
        <v>307</v>
      </c>
      <c r="AD177" s="136">
        <f>TAN(AD174*Outils!F4) * (1 / COS(AD175*Outils!F4))</f>
        <v>-1.7636704702760584E-16</v>
      </c>
      <c r="AE177" s="320"/>
      <c r="AF177" s="320"/>
      <c r="AG177" s="142">
        <f>E170+(E169-S159)*TAN(R163*Outils!F4)/COS(Outils!F4*S159)</f>
        <v>-14.482044109496318</v>
      </c>
    </row>
    <row r="178" spans="2:65" customFormat="1" ht="17.25" customHeight="1">
      <c r="AC178" s="136" t="s">
        <v>308</v>
      </c>
      <c r="AD178" s="136">
        <f>AD176-AD175*AD177</f>
        <v>-6.999999999999992</v>
      </c>
    </row>
    <row r="179" spans="2:65" customFormat="1" ht="15">
      <c r="K179" s="16"/>
      <c r="L179" s="16"/>
      <c r="AE179" s="320" t="s">
        <v>309</v>
      </c>
      <c r="AF179" s="320"/>
      <c r="AG179" s="142">
        <f>IF($AE$168,AG176,AG173)</f>
        <v>48.792187285988142</v>
      </c>
    </row>
    <row r="180" spans="2:65" customFormat="1" ht="15">
      <c r="K180" s="16"/>
      <c r="L180" s="16"/>
      <c r="AC180" s="136"/>
      <c r="AE180" s="320"/>
      <c r="AF180" s="320"/>
      <c r="AG180" s="142">
        <f>IF($AE$168,AG177,AG174)</f>
        <v>-7.0000000000000071</v>
      </c>
    </row>
    <row r="181" spans="2:65" customFormat="1" ht="15.75" thickBot="1">
      <c r="K181" s="16"/>
      <c r="L181" s="16"/>
    </row>
    <row r="182" spans="2:65" s="318" customFormat="1" ht="15.75" thickBot="1">
      <c r="B182" s="122" t="s">
        <v>500</v>
      </c>
      <c r="C182" s="123"/>
      <c r="D182" s="123"/>
      <c r="E182" s="123"/>
      <c r="F182" s="123"/>
      <c r="G182" s="123"/>
      <c r="H182" s="123"/>
      <c r="I182" s="123"/>
      <c r="J182" s="123"/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4"/>
    </row>
    <row r="183" spans="2:65" s="936" customFormat="1" ht="15">
      <c r="K183" s="939"/>
      <c r="L183" s="939"/>
    </row>
    <row r="184" spans="2:65" s="936" customFormat="1" ht="15">
      <c r="B184" s="960" t="s">
        <v>1</v>
      </c>
      <c r="C184" s="960"/>
      <c r="D184" s="960" t="str">
        <f>E7</f>
        <v>2010/05/05</v>
      </c>
      <c r="E184" s="960"/>
      <c r="F184" s="960"/>
      <c r="G184" s="960"/>
      <c r="H184" s="994" t="s">
        <v>2</v>
      </c>
      <c r="I184" s="960" t="str">
        <f>I7</f>
        <v>08:18:53.00(08.3147)</v>
      </c>
      <c r="J184" s="960"/>
      <c r="K184" s="960"/>
      <c r="L184" s="960"/>
    </row>
    <row r="185" spans="2:65" s="936" customFormat="1" ht="15">
      <c r="B185" s="995" t="s">
        <v>30</v>
      </c>
      <c r="C185" s="995"/>
      <c r="D185" s="996" t="s">
        <v>33</v>
      </c>
      <c r="E185" s="995"/>
      <c r="F185" s="946"/>
      <c r="G185" s="946"/>
      <c r="H185" s="946"/>
      <c r="I185" s="946"/>
      <c r="J185" s="946"/>
      <c r="K185" s="946"/>
      <c r="L185" s="946"/>
      <c r="AA185" s="937"/>
    </row>
    <row r="186" spans="2:65" s="936" customFormat="1" ht="15">
      <c r="B186" s="943"/>
      <c r="C186" s="943"/>
      <c r="D186" s="944"/>
      <c r="E186" s="943"/>
      <c r="AA186" s="937"/>
    </row>
    <row r="187" spans="2:65" s="939" customFormat="1" ht="17.25" customHeight="1" thickBot="1">
      <c r="B187" s="953" t="s">
        <v>501</v>
      </c>
      <c r="C187" s="953"/>
      <c r="D187" s="953"/>
      <c r="E187" s="953"/>
      <c r="F187" s="952"/>
      <c r="G187" s="952"/>
      <c r="H187" s="951"/>
      <c r="I187" s="951"/>
      <c r="J187" s="951"/>
      <c r="K187" s="951"/>
      <c r="L187" s="951"/>
      <c r="M187" s="951"/>
      <c r="N187" s="951"/>
      <c r="O187" s="951"/>
      <c r="P187" s="951"/>
      <c r="Q187" s="951"/>
      <c r="AB187" s="938"/>
      <c r="AC187" s="936"/>
      <c r="AD187" s="936"/>
      <c r="AE187" s="936"/>
      <c r="AF187" s="936"/>
      <c r="AG187" s="936"/>
      <c r="AH187" s="936"/>
      <c r="AI187" s="936"/>
      <c r="AJ187" s="936"/>
      <c r="AK187" s="936"/>
      <c r="AL187" s="936"/>
      <c r="AM187" s="936"/>
      <c r="AN187" s="936"/>
      <c r="AO187" s="936"/>
      <c r="AP187" s="936"/>
      <c r="AQ187" s="936"/>
      <c r="AR187" s="936"/>
      <c r="AS187" s="936"/>
      <c r="AT187" s="936"/>
      <c r="AU187" s="936"/>
      <c r="AV187" s="936"/>
      <c r="AW187" s="936"/>
      <c r="AX187" s="936"/>
      <c r="AY187" s="936"/>
      <c r="AZ187" s="936"/>
      <c r="BA187" s="936"/>
      <c r="BB187" s="936"/>
      <c r="BC187" s="936"/>
      <c r="BD187" s="936"/>
      <c r="BE187" s="936"/>
      <c r="BF187" s="936"/>
      <c r="BG187" s="936"/>
      <c r="BH187" s="936"/>
      <c r="BI187" s="936"/>
      <c r="BJ187" s="936"/>
      <c r="BK187" s="936"/>
      <c r="BL187" s="936"/>
      <c r="BM187" s="936"/>
    </row>
    <row r="188" spans="2:65" s="939" customFormat="1" ht="17.25" customHeight="1" thickTop="1">
      <c r="C188" s="958" t="s">
        <v>502</v>
      </c>
      <c r="D188" s="958"/>
      <c r="E188" s="958" t="str" cm="1">
        <f t="array" ref="E188">angleDecimal2Txt(angleConvert2Decimal(M21))</f>
        <v>+18°55.00 (+18.9166) [+18°55'00.00]</v>
      </c>
      <c r="F188" s="958"/>
      <c r="G188" s="958"/>
      <c r="H188" s="958"/>
      <c r="I188" s="958"/>
      <c r="AB188" s="938"/>
      <c r="AC188" s="936"/>
      <c r="AD188" s="936"/>
      <c r="AE188" s="936"/>
      <c r="AF188" s="936"/>
      <c r="AG188" s="936"/>
      <c r="AH188" s="936"/>
      <c r="AI188" s="936"/>
      <c r="AJ188" s="936"/>
      <c r="AK188" s="936"/>
      <c r="AL188" s="936"/>
      <c r="AM188" s="936"/>
      <c r="AN188" s="936"/>
      <c r="AO188" s="936"/>
      <c r="AP188" s="936"/>
      <c r="AQ188" s="936"/>
      <c r="AR188" s="936"/>
      <c r="AS188" s="936"/>
      <c r="AT188" s="936"/>
      <c r="AU188" s="936"/>
      <c r="AV188" s="936"/>
      <c r="AW188" s="936"/>
      <c r="AX188" s="936"/>
      <c r="AY188" s="936"/>
      <c r="AZ188" s="936"/>
      <c r="BA188" s="936"/>
      <c r="BB188" s="936"/>
      <c r="BC188" s="936"/>
      <c r="BD188" s="936"/>
      <c r="BE188" s="936"/>
      <c r="BF188" s="936"/>
      <c r="BG188" s="936"/>
      <c r="BH188" s="936"/>
      <c r="BI188" s="936"/>
      <c r="BJ188" s="936"/>
      <c r="BK188" s="936"/>
      <c r="BL188" s="936"/>
      <c r="BM188" s="936"/>
    </row>
    <row r="189" spans="2:65" s="939" customFormat="1" ht="17.25" customHeight="1">
      <c r="C189" s="942" t="s">
        <v>70</v>
      </c>
      <c r="D189" s="942"/>
      <c r="E189" s="942" t="str">
        <f>J23</f>
        <v>BordSup</v>
      </c>
      <c r="F189" s="942"/>
      <c r="G189" s="942"/>
      <c r="H189" s="942"/>
      <c r="I189" s="942"/>
      <c r="AB189" s="938"/>
      <c r="AC189" s="936"/>
      <c r="AD189" s="936"/>
      <c r="AE189" s="936"/>
      <c r="AF189" s="936"/>
      <c r="AG189" s="936"/>
      <c r="AH189" s="936"/>
      <c r="AI189" s="936"/>
      <c r="AJ189" s="936"/>
      <c r="AK189" s="936"/>
      <c r="AL189" s="936"/>
      <c r="AM189" s="936"/>
      <c r="AN189" s="936"/>
      <c r="AO189" s="936"/>
      <c r="AP189" s="936"/>
      <c r="AQ189" s="936"/>
      <c r="AR189" s="936"/>
      <c r="AS189" s="936"/>
      <c r="AT189" s="936"/>
      <c r="AU189" s="936"/>
      <c r="AV189" s="936"/>
      <c r="AW189" s="936"/>
      <c r="AX189" s="936"/>
      <c r="AY189" s="936"/>
      <c r="AZ189" s="936"/>
      <c r="BA189" s="936"/>
      <c r="BB189" s="936"/>
      <c r="BC189" s="936"/>
      <c r="BD189" s="936"/>
      <c r="BE189" s="936"/>
      <c r="BF189" s="936"/>
      <c r="BG189" s="936"/>
      <c r="BH189" s="936"/>
      <c r="BI189" s="936"/>
      <c r="BJ189" s="936"/>
      <c r="BK189" s="936"/>
      <c r="BL189" s="936"/>
      <c r="BM189" s="936"/>
    </row>
    <row r="190" spans="2:65" s="939" customFormat="1" ht="17.25" customHeight="1">
      <c r="C190" s="959" t="s">
        <v>503</v>
      </c>
      <c r="D190" s="959"/>
      <c r="E190" s="962" t="str" cm="1">
        <f t="array" ref="E190">angleDecimal2Txt(angleConvert2Decimal(M20))</f>
        <v>+00°03.00 (+00.0500) [+00°03'00.00]</v>
      </c>
      <c r="F190" s="962"/>
      <c r="G190" s="962"/>
      <c r="H190" s="962"/>
      <c r="I190" s="962"/>
      <c r="AB190" s="938"/>
      <c r="AC190" s="936"/>
      <c r="AD190" s="936"/>
      <c r="AE190" s="936"/>
      <c r="AF190" s="936"/>
      <c r="AG190" s="936"/>
      <c r="AH190" s="936"/>
      <c r="AI190" s="936"/>
      <c r="AJ190" s="936"/>
      <c r="AK190" s="936"/>
      <c r="AL190" s="936"/>
      <c r="AM190" s="936"/>
      <c r="AN190" s="936"/>
      <c r="AO190" s="936"/>
      <c r="AP190" s="936"/>
      <c r="AQ190" s="936"/>
      <c r="AR190" s="936"/>
      <c r="AS190" s="936"/>
      <c r="AT190" s="936"/>
      <c r="AU190" s="936"/>
      <c r="AV190" s="936"/>
      <c r="AW190" s="936"/>
      <c r="AX190" s="936"/>
      <c r="AY190" s="936"/>
      <c r="AZ190" s="936"/>
      <c r="BA190" s="936"/>
      <c r="BB190" s="936"/>
      <c r="BC190" s="936"/>
      <c r="BD190" s="936"/>
      <c r="BE190" s="936"/>
      <c r="BF190" s="936"/>
      <c r="BG190" s="936"/>
      <c r="BH190" s="936"/>
      <c r="BI190" s="936"/>
      <c r="BJ190" s="936"/>
      <c r="BK190" s="936"/>
      <c r="BL190" s="936"/>
      <c r="BM190" s="936"/>
    </row>
    <row r="191" spans="2:65" s="939" customFormat="1" ht="17.25" customHeight="1">
      <c r="C191" s="960" t="s">
        <v>504</v>
      </c>
      <c r="D191" s="960"/>
      <c r="E191" s="963" t="str">
        <f>CONCATENATE(M19, " m")</f>
        <v>2 m</v>
      </c>
      <c r="F191" s="963"/>
      <c r="G191" s="963"/>
      <c r="H191" s="963"/>
      <c r="I191" s="963"/>
      <c r="AB191" s="938"/>
      <c r="AC191" s="936"/>
      <c r="AD191" s="936"/>
      <c r="AE191" s="936"/>
      <c r="AF191" s="936"/>
      <c r="AG191" s="936"/>
      <c r="AH191" s="936"/>
      <c r="AI191" s="936"/>
      <c r="AJ191" s="936"/>
      <c r="AK191" s="936"/>
      <c r="AL191" s="936"/>
      <c r="AM191" s="936"/>
      <c r="AN191" s="936"/>
      <c r="AO191" s="936"/>
      <c r="AP191" s="936"/>
      <c r="AQ191" s="936"/>
      <c r="AR191" s="936"/>
      <c r="AS191" s="936"/>
      <c r="AT191" s="936"/>
      <c r="AU191" s="936"/>
      <c r="AV191" s="936"/>
      <c r="AW191" s="936"/>
      <c r="AX191" s="936"/>
      <c r="AY191" s="936"/>
      <c r="AZ191" s="936"/>
      <c r="BA191" s="936"/>
      <c r="BB191" s="936"/>
      <c r="BC191" s="936"/>
      <c r="BD191" s="936"/>
      <c r="BE191" s="936"/>
      <c r="BF191" s="936"/>
      <c r="BG191" s="936"/>
      <c r="BH191" s="936"/>
      <c r="BI191" s="936"/>
      <c r="BJ191" s="936"/>
      <c r="BK191" s="936"/>
      <c r="BL191" s="936"/>
      <c r="BM191" s="936"/>
    </row>
    <row r="192" spans="2:65" s="939" customFormat="1" ht="17.25" customHeight="1">
      <c r="E192" s="945" t="str" cm="1">
        <f t="array" ref="E192">angleDecimal2Txt(O93)</f>
        <v>+18°49.51 (+18.8252) [+18°49'30.82]</v>
      </c>
      <c r="F192" s="945"/>
      <c r="G192" s="945"/>
      <c r="H192" s="945"/>
      <c r="I192" s="945"/>
      <c r="J192" s="945" t="s">
        <v>506</v>
      </c>
      <c r="K192" s="945"/>
      <c r="L192" s="945"/>
      <c r="AB192" s="938"/>
      <c r="AC192" s="936"/>
      <c r="AD192" s="936"/>
      <c r="AE192" s="936"/>
      <c r="AF192" s="936"/>
      <c r="AG192" s="936"/>
      <c r="AH192" s="936"/>
      <c r="AI192" s="936"/>
      <c r="AJ192" s="936"/>
      <c r="AK192" s="936"/>
      <c r="AL192" s="936"/>
      <c r="AM192" s="936"/>
      <c r="AN192" s="936"/>
      <c r="AO192" s="936"/>
      <c r="AP192" s="936"/>
      <c r="AQ192" s="936"/>
      <c r="AR192" s="936"/>
      <c r="AS192" s="936"/>
      <c r="AT192" s="936"/>
      <c r="AU192" s="936"/>
      <c r="AV192" s="936"/>
      <c r="AW192" s="936"/>
      <c r="AX192" s="936"/>
      <c r="AY192" s="936"/>
      <c r="AZ192" s="936"/>
      <c r="BA192" s="936"/>
      <c r="BB192" s="936"/>
      <c r="BC192" s="936"/>
      <c r="BD192" s="936"/>
      <c r="BE192" s="936"/>
      <c r="BF192" s="936"/>
      <c r="BG192" s="936"/>
      <c r="BH192" s="936"/>
      <c r="BI192" s="936"/>
      <c r="BJ192" s="936"/>
      <c r="BK192" s="936"/>
      <c r="BL192" s="936"/>
      <c r="BM192" s="936"/>
    </row>
    <row r="193" spans="2:65" s="939" customFormat="1" ht="17.25" customHeight="1">
      <c r="E193" s="956"/>
      <c r="F193" s="971" t="s">
        <v>504</v>
      </c>
      <c r="G193" s="972"/>
      <c r="H193" s="973" t="str" cm="1">
        <f t="array" ref="H193">angleDecimal2Txt(O91)</f>
        <v>+00°02.48 (+00.0414) [+00°02'29.17]</v>
      </c>
      <c r="I193" s="973"/>
      <c r="J193" s="973"/>
      <c r="K193" s="973"/>
      <c r="L193" s="973"/>
      <c r="AB193" s="938"/>
      <c r="AC193" s="936"/>
      <c r="AD193" s="936"/>
      <c r="AE193" s="936"/>
      <c r="AF193" s="936"/>
      <c r="AG193" s="936"/>
      <c r="AH193" s="936"/>
      <c r="AI193" s="936"/>
      <c r="AJ193" s="936"/>
      <c r="AK193" s="936"/>
      <c r="AL193" s="936"/>
      <c r="AM193" s="936"/>
      <c r="AN193" s="936"/>
      <c r="AO193" s="936"/>
      <c r="AP193" s="936"/>
      <c r="AQ193" s="936"/>
      <c r="AR193" s="936"/>
      <c r="AS193" s="936"/>
      <c r="AT193" s="936"/>
      <c r="AU193" s="936"/>
      <c r="AV193" s="936"/>
      <c r="AW193" s="936"/>
      <c r="AX193" s="936"/>
      <c r="AY193" s="936"/>
      <c r="AZ193" s="936"/>
      <c r="BA193" s="936"/>
      <c r="BB193" s="936"/>
      <c r="BC193" s="936"/>
      <c r="BD193" s="936"/>
      <c r="BE193" s="936"/>
      <c r="BF193" s="936"/>
      <c r="BG193" s="936"/>
      <c r="BH193" s="936"/>
      <c r="BI193" s="936"/>
      <c r="BJ193" s="936"/>
      <c r="BK193" s="936"/>
      <c r="BL193" s="936"/>
      <c r="BM193" s="936"/>
    </row>
    <row r="194" spans="2:65" s="939" customFormat="1" ht="17.25" customHeight="1">
      <c r="F194" s="974" t="s">
        <v>511</v>
      </c>
      <c r="G194" s="974"/>
      <c r="H194" s="973" t="str" cm="1">
        <f t="array" ref="H194">angleDecimal2Txt(O103)</f>
        <v>+00°02.87 (+00.0479) [+00°02'52.75]</v>
      </c>
      <c r="I194" s="973"/>
      <c r="J194" s="973"/>
      <c r="K194" s="973"/>
      <c r="L194" s="973"/>
      <c r="AB194" s="938"/>
      <c r="AC194" s="936"/>
      <c r="AD194" s="936"/>
      <c r="AE194" s="936"/>
      <c r="AF194" s="936"/>
      <c r="AG194" s="936"/>
      <c r="AH194" s="936"/>
      <c r="AI194" s="936"/>
      <c r="AJ194" s="936"/>
      <c r="AK194" s="936"/>
      <c r="AL194" s="936"/>
      <c r="AM194" s="936"/>
      <c r="AN194" s="936"/>
      <c r="AO194" s="936"/>
      <c r="AP194" s="936"/>
      <c r="AQ194" s="936"/>
      <c r="AR194" s="936"/>
      <c r="AS194" s="936"/>
      <c r="AT194" s="936"/>
      <c r="AU194" s="936"/>
      <c r="AV194" s="936"/>
      <c r="AW194" s="936"/>
      <c r="AX194" s="936"/>
      <c r="AY194" s="936"/>
      <c r="AZ194" s="936"/>
      <c r="BA194" s="936"/>
      <c r="BB194" s="936"/>
      <c r="BC194" s="936"/>
      <c r="BD194" s="936"/>
      <c r="BE194" s="936"/>
      <c r="BF194" s="936"/>
      <c r="BG194" s="936"/>
      <c r="BH194" s="936"/>
      <c r="BI194" s="936"/>
      <c r="BJ194" s="936"/>
      <c r="BK194" s="936"/>
      <c r="BL194" s="936"/>
      <c r="BM194" s="936"/>
    </row>
    <row r="195" spans="2:65" s="939" customFormat="1" ht="17.25" customHeight="1">
      <c r="F195" s="971" t="s">
        <v>538</v>
      </c>
      <c r="G195" s="972"/>
      <c r="H195" s="1009" t="str" cm="1">
        <f t="array" ref="H195">angleDecimal2Txt(O97)</f>
        <v>+00°54.50 (+00.9083) [+00°54'30.00]</v>
      </c>
      <c r="I195" s="1010"/>
      <c r="J195" s="1010"/>
      <c r="K195" s="1010"/>
      <c r="L195" s="1011"/>
      <c r="AB195" s="938"/>
      <c r="AC195" s="936"/>
      <c r="AD195" s="936"/>
      <c r="AE195" s="936"/>
      <c r="AF195" s="936"/>
      <c r="AG195" s="936"/>
      <c r="AH195" s="936"/>
      <c r="AI195" s="936"/>
      <c r="AJ195" s="936"/>
      <c r="AK195" s="936"/>
      <c r="AL195" s="936"/>
      <c r="AM195" s="936"/>
      <c r="AN195" s="936"/>
      <c r="AO195" s="936"/>
      <c r="AP195" s="936"/>
      <c r="AQ195" s="936"/>
      <c r="AR195" s="936"/>
      <c r="AS195" s="936"/>
      <c r="AT195" s="936"/>
      <c r="AU195" s="936"/>
      <c r="AV195" s="936"/>
      <c r="AW195" s="936"/>
      <c r="AX195" s="936"/>
      <c r="AY195" s="936"/>
      <c r="AZ195" s="936"/>
      <c r="BA195" s="936"/>
      <c r="BB195" s="936"/>
      <c r="BC195" s="936"/>
      <c r="BD195" s="936"/>
      <c r="BE195" s="936"/>
      <c r="BF195" s="936"/>
      <c r="BG195" s="936"/>
      <c r="BH195" s="936"/>
      <c r="BI195" s="936"/>
      <c r="BJ195" s="936"/>
      <c r="BK195" s="936"/>
      <c r="BL195" s="936"/>
      <c r="BM195" s="936"/>
    </row>
    <row r="196" spans="2:65" s="939" customFormat="1" ht="17.25" customHeight="1">
      <c r="F196" s="974" t="s">
        <v>512</v>
      </c>
      <c r="G196" s="974"/>
      <c r="H196" s="974" t="str" cm="1">
        <f t="array" ref="H196">angleDecimal2Txt(O98)</f>
        <v>+00°51.58 (+00.8597) [+00°51'35.06]</v>
      </c>
      <c r="I196" s="974"/>
      <c r="J196" s="974"/>
      <c r="K196" s="974"/>
      <c r="L196" s="974"/>
      <c r="AB196" s="938"/>
      <c r="AC196" s="936"/>
      <c r="AD196" s="936"/>
      <c r="AE196" s="936"/>
      <c r="AF196" s="936"/>
      <c r="AG196" s="936"/>
      <c r="AH196" s="936"/>
      <c r="AI196" s="936"/>
      <c r="AJ196" s="936"/>
      <c r="AK196" s="936"/>
      <c r="AL196" s="936"/>
      <c r="AM196" s="936"/>
      <c r="AN196" s="936"/>
      <c r="AO196" s="936"/>
      <c r="AP196" s="936"/>
      <c r="AQ196" s="936"/>
      <c r="AR196" s="936"/>
      <c r="AS196" s="936"/>
      <c r="AT196" s="936"/>
      <c r="AU196" s="936"/>
      <c r="AV196" s="936"/>
      <c r="AW196" s="936"/>
      <c r="AX196" s="936"/>
      <c r="AY196" s="936"/>
      <c r="AZ196" s="936"/>
      <c r="BA196" s="936"/>
      <c r="BB196" s="936"/>
      <c r="BC196" s="936"/>
      <c r="BD196" s="936"/>
      <c r="BE196" s="936"/>
      <c r="BF196" s="936"/>
      <c r="BG196" s="936"/>
      <c r="BH196" s="936"/>
      <c r="BI196" s="936"/>
      <c r="BJ196" s="936"/>
      <c r="BK196" s="936"/>
      <c r="BL196" s="936"/>
      <c r="BM196" s="936"/>
    </row>
    <row r="197" spans="2:65" s="939" customFormat="1" ht="17.25" customHeight="1">
      <c r="F197" s="974" t="s">
        <v>106</v>
      </c>
      <c r="G197" s="974"/>
      <c r="H197" s="974" t="str" cm="1">
        <f t="array" ref="H197">angleDecimal2Txt(O105)</f>
        <v>+00°29.69 (+00.4950) [+00°29'42.00]</v>
      </c>
      <c r="I197" s="974"/>
      <c r="J197" s="974"/>
      <c r="K197" s="974"/>
      <c r="L197" s="974"/>
      <c r="AB197" s="938"/>
      <c r="AC197" s="936"/>
      <c r="AD197" s="936"/>
      <c r="AE197" s="936"/>
      <c r="AF197" s="936"/>
      <c r="AG197" s="936"/>
      <c r="AH197" s="936"/>
      <c r="AI197" s="936"/>
      <c r="AJ197" s="936"/>
      <c r="AK197" s="936"/>
      <c r="AL197" s="936"/>
      <c r="AM197" s="936"/>
      <c r="AN197" s="936"/>
      <c r="AO197" s="936"/>
      <c r="AP197" s="936"/>
      <c r="AQ197" s="936"/>
      <c r="AR197" s="936"/>
      <c r="AS197" s="936"/>
      <c r="AT197" s="936"/>
      <c r="AU197" s="936"/>
      <c r="AV197" s="936"/>
      <c r="AW197" s="936"/>
      <c r="AX197" s="936"/>
      <c r="AY197" s="936"/>
      <c r="AZ197" s="936"/>
      <c r="BA197" s="936"/>
      <c r="BB197" s="936"/>
      <c r="BC197" s="936"/>
      <c r="BD197" s="936"/>
      <c r="BE197" s="936"/>
      <c r="BF197" s="936"/>
      <c r="BG197" s="936"/>
      <c r="BH197" s="936"/>
      <c r="BI197" s="936"/>
      <c r="BJ197" s="936"/>
      <c r="BK197" s="936"/>
      <c r="BL197" s="936"/>
      <c r="BM197" s="936"/>
    </row>
    <row r="198" spans="2:65" s="939" customFormat="1" ht="17.25" customHeight="1">
      <c r="F198" s="974" t="s">
        <v>71</v>
      </c>
      <c r="G198" s="974"/>
      <c r="H198" s="974" t="str" cm="1">
        <f t="array" ref="H198">angleDecimal2Txt(O107)</f>
        <v>-00°14.84 (-00.2475) [-00°14'51.00]</v>
      </c>
      <c r="I198" s="974"/>
      <c r="J198" s="974"/>
      <c r="K198" s="974"/>
      <c r="L198" s="974"/>
      <c r="AB198" s="938"/>
      <c r="AC198" s="936"/>
      <c r="AD198" s="936"/>
      <c r="AE198" s="936"/>
      <c r="AF198" s="936"/>
      <c r="AG198" s="936"/>
      <c r="AH198" s="936"/>
      <c r="AI198" s="936"/>
      <c r="AJ198" s="936"/>
      <c r="AK198" s="936"/>
      <c r="AL198" s="936"/>
      <c r="AM198" s="936"/>
      <c r="AN198" s="936"/>
      <c r="AO198" s="936"/>
      <c r="AP198" s="936"/>
      <c r="AQ198" s="936"/>
      <c r="AR198" s="936"/>
      <c r="AS198" s="936"/>
      <c r="AT198" s="936"/>
      <c r="AU198" s="936"/>
      <c r="AV198" s="936"/>
      <c r="AW198" s="936"/>
      <c r="AX198" s="936"/>
      <c r="AY198" s="936"/>
      <c r="AZ198" s="936"/>
      <c r="BA198" s="936"/>
      <c r="BB198" s="936"/>
      <c r="BC198" s="936"/>
      <c r="BD198" s="936"/>
      <c r="BE198" s="936"/>
      <c r="BF198" s="936"/>
      <c r="BG198" s="936"/>
      <c r="BH198" s="936"/>
      <c r="BI198" s="936"/>
      <c r="BJ198" s="936"/>
      <c r="BK198" s="936"/>
      <c r="BL198" s="936"/>
      <c r="BM198" s="936"/>
    </row>
    <row r="199" spans="2:65" s="939" customFormat="1" ht="17.25" customHeight="1">
      <c r="D199" s="941"/>
      <c r="E199" s="945" t="str" cm="1">
        <f t="array" ref="E199">angleDecimal2Txt(F86)</f>
        <v>+19°23.36 (+19.3894) [+19°23'22.13]</v>
      </c>
      <c r="F199" s="945"/>
      <c r="G199" s="945"/>
      <c r="H199" s="945"/>
      <c r="I199" s="945"/>
      <c r="J199" s="945" t="s">
        <v>505</v>
      </c>
      <c r="K199" s="945"/>
      <c r="L199" s="945"/>
      <c r="AB199" s="938"/>
      <c r="AC199" s="936"/>
      <c r="AD199" s="936"/>
      <c r="AE199" s="936"/>
      <c r="AF199" s="936"/>
      <c r="AG199" s="936"/>
      <c r="AH199" s="936"/>
      <c r="AI199" s="936"/>
      <c r="AJ199" s="936"/>
      <c r="AK199" s="936"/>
      <c r="AL199" s="936"/>
      <c r="AM199" s="936"/>
      <c r="AN199" s="936"/>
      <c r="AO199" s="936"/>
      <c r="AP199" s="936"/>
      <c r="AQ199" s="936"/>
      <c r="AR199" s="936"/>
      <c r="AS199" s="936"/>
      <c r="AT199" s="936"/>
      <c r="AU199" s="936"/>
      <c r="AV199" s="936"/>
      <c r="AW199" s="936"/>
      <c r="AX199" s="936"/>
      <c r="AY199" s="936"/>
      <c r="AZ199" s="936"/>
      <c r="BA199" s="936"/>
      <c r="BB199" s="936"/>
      <c r="BC199" s="936"/>
      <c r="BD199" s="936"/>
      <c r="BE199" s="936"/>
      <c r="BF199" s="936"/>
      <c r="BG199" s="936"/>
      <c r="BH199" s="936"/>
      <c r="BI199" s="936"/>
      <c r="BJ199" s="936"/>
      <c r="BK199" s="936"/>
      <c r="BL199" s="936"/>
      <c r="BM199" s="936"/>
    </row>
    <row r="200" spans="2:65" s="939" customFormat="1" ht="17.25" customHeight="1">
      <c r="D200" s="941"/>
      <c r="F200" s="974" t="str" cm="1">
        <f t="array" ref="F200">angleDecimal2Txt(O98-O103-O91)</f>
        <v>+00°46.21 (+00.7703) [+00°46'13.13]</v>
      </c>
      <c r="G200" s="974"/>
      <c r="H200" s="974"/>
      <c r="I200" s="974"/>
      <c r="J200" s="974"/>
      <c r="K200" s="974" t="s">
        <v>513</v>
      </c>
      <c r="L200" s="974"/>
      <c r="M200" s="974"/>
      <c r="N200" s="976" t="s">
        <v>529</v>
      </c>
      <c r="O200" s="976"/>
      <c r="P200" s="976"/>
      <c r="AB200" s="938"/>
      <c r="AC200" s="936"/>
      <c r="AD200" s="936"/>
      <c r="AE200" s="936"/>
      <c r="AF200" s="936"/>
      <c r="AG200" s="936"/>
      <c r="AH200" s="936"/>
      <c r="AI200" s="936"/>
      <c r="AJ200" s="936"/>
      <c r="AK200" s="936"/>
      <c r="AL200" s="936"/>
      <c r="AM200" s="936"/>
      <c r="AN200" s="936"/>
      <c r="AO200" s="936"/>
      <c r="AP200" s="936"/>
      <c r="AQ200" s="936"/>
      <c r="AR200" s="936"/>
      <c r="AS200" s="936"/>
      <c r="AT200" s="936"/>
      <c r="AU200" s="936"/>
      <c r="AV200" s="936"/>
      <c r="AW200" s="936"/>
      <c r="AX200" s="936"/>
      <c r="AY200" s="936"/>
      <c r="AZ200" s="936"/>
      <c r="BA200" s="936"/>
      <c r="BB200" s="936"/>
      <c r="BC200" s="936"/>
      <c r="BD200" s="936"/>
      <c r="BE200" s="936"/>
      <c r="BF200" s="936"/>
      <c r="BG200" s="936"/>
      <c r="BH200" s="936"/>
      <c r="BI200" s="936"/>
      <c r="BJ200" s="936"/>
      <c r="BK200" s="936"/>
      <c r="BL200" s="936"/>
      <c r="BM200" s="936"/>
    </row>
    <row r="201" spans="2:65" s="939" customFormat="1" ht="17.25" customHeight="1">
      <c r="D201" s="941"/>
      <c r="F201" s="974" t="str" cm="1">
        <f t="array" ref="F201">angleDecimal2Txt(O98-O103-O91+O107)</f>
        <v>+00°31.36 (+00.5228) [+00°31'22.13]</v>
      </c>
      <c r="G201" s="974"/>
      <c r="H201" s="974"/>
      <c r="I201" s="974"/>
      <c r="J201" s="974"/>
      <c r="K201" s="974" t="s">
        <v>509</v>
      </c>
      <c r="L201" s="974"/>
      <c r="M201" s="974"/>
      <c r="N201" s="976"/>
      <c r="O201" s="976"/>
      <c r="P201" s="976"/>
      <c r="AB201" s="938"/>
      <c r="AC201" s="936"/>
      <c r="AD201" s="936"/>
      <c r="AE201" s="936"/>
      <c r="AF201" s="936"/>
      <c r="AG201" s="936"/>
      <c r="AH201" s="936"/>
      <c r="AI201" s="936"/>
      <c r="AJ201" s="936"/>
      <c r="AK201" s="936"/>
      <c r="AL201" s="936"/>
      <c r="AM201" s="936"/>
      <c r="AN201" s="936"/>
      <c r="AO201" s="936"/>
      <c r="AP201" s="936"/>
      <c r="AQ201" s="936"/>
      <c r="AR201" s="936"/>
      <c r="AS201" s="936"/>
      <c r="AT201" s="936"/>
      <c r="AU201" s="936"/>
      <c r="AV201" s="936"/>
      <c r="AW201" s="936"/>
      <c r="AX201" s="936"/>
      <c r="AY201" s="936"/>
      <c r="AZ201" s="936"/>
      <c r="BA201" s="936"/>
      <c r="BB201" s="936"/>
      <c r="BC201" s="936"/>
      <c r="BD201" s="936"/>
      <c r="BE201" s="936"/>
      <c r="BF201" s="936"/>
      <c r="BG201" s="936"/>
      <c r="BH201" s="936"/>
      <c r="BI201" s="936"/>
      <c r="BJ201" s="936"/>
      <c r="BK201" s="936"/>
      <c r="BL201" s="936"/>
      <c r="BM201" s="936"/>
    </row>
    <row r="202" spans="2:65" s="939" customFormat="1" ht="17.25" customHeight="1">
      <c r="D202" s="941"/>
      <c r="F202" s="974" t="str" cm="1">
        <f t="array" ref="F202">angleDecimal2Txt(O98-O103+O107)</f>
        <v>+00°33.85 (+00.5642) [+00°33'51.30]</v>
      </c>
      <c r="G202" s="974"/>
      <c r="H202" s="974"/>
      <c r="I202" s="974"/>
      <c r="J202" s="974"/>
      <c r="K202" s="974" t="s">
        <v>510</v>
      </c>
      <c r="L202" s="974"/>
      <c r="M202" s="974"/>
      <c r="N202" s="976"/>
      <c r="O202" s="976"/>
      <c r="P202" s="976"/>
      <c r="AB202" s="938"/>
      <c r="AC202" s="936"/>
      <c r="AD202" s="936"/>
      <c r="AE202" s="936"/>
      <c r="AF202" s="936"/>
      <c r="AG202" s="936"/>
      <c r="AH202" s="936"/>
      <c r="AI202" s="936"/>
      <c r="AJ202" s="936"/>
      <c r="AK202" s="936"/>
      <c r="AL202" s="936"/>
      <c r="AM202" s="936"/>
      <c r="AN202" s="936"/>
      <c r="AO202" s="936"/>
      <c r="AP202" s="936"/>
      <c r="AQ202" s="936"/>
      <c r="AR202" s="936"/>
      <c r="AS202" s="936"/>
      <c r="AT202" s="936"/>
      <c r="AU202" s="936"/>
      <c r="AV202" s="936"/>
      <c r="AW202" s="936"/>
      <c r="AX202" s="936"/>
      <c r="AY202" s="936"/>
      <c r="AZ202" s="936"/>
      <c r="BA202" s="936"/>
      <c r="BB202" s="936"/>
      <c r="BC202" s="936"/>
      <c r="BD202" s="936"/>
      <c r="BE202" s="936"/>
      <c r="BF202" s="936"/>
      <c r="BG202" s="936"/>
      <c r="BH202" s="936"/>
      <c r="BI202" s="936"/>
      <c r="BJ202" s="936"/>
      <c r="BK202" s="936"/>
      <c r="BL202" s="936"/>
      <c r="BM202" s="936"/>
    </row>
    <row r="203" spans="2:65" s="939" customFormat="1" ht="17.25" customHeight="1">
      <c r="AB203" s="938"/>
      <c r="AC203" s="936"/>
      <c r="AD203" s="936"/>
      <c r="AE203" s="936"/>
      <c r="AF203" s="936"/>
      <c r="AG203" s="936"/>
      <c r="AH203" s="936"/>
      <c r="AI203" s="936"/>
      <c r="AJ203" s="936"/>
      <c r="AK203" s="936"/>
      <c r="AL203" s="936"/>
      <c r="AM203" s="936"/>
      <c r="AN203" s="936"/>
      <c r="AO203" s="936"/>
      <c r="AP203" s="936"/>
      <c r="AQ203" s="936"/>
      <c r="AR203" s="936"/>
      <c r="AS203" s="936"/>
      <c r="AT203" s="936"/>
      <c r="AU203" s="936"/>
      <c r="AV203" s="936"/>
      <c r="AW203" s="936"/>
      <c r="AX203" s="936"/>
      <c r="AY203" s="936"/>
      <c r="AZ203" s="936"/>
      <c r="BA203" s="936"/>
      <c r="BB203" s="936"/>
      <c r="BC203" s="936"/>
      <c r="BD203" s="936"/>
      <c r="BE203" s="936"/>
      <c r="BF203" s="936"/>
      <c r="BG203" s="936"/>
      <c r="BH203" s="936"/>
      <c r="BI203" s="936"/>
      <c r="BJ203" s="936"/>
      <c r="BK203" s="936"/>
      <c r="BL203" s="936"/>
      <c r="BM203" s="936"/>
    </row>
    <row r="204" spans="2:65" s="939" customFormat="1" ht="17.25" customHeight="1">
      <c r="C204" s="941"/>
      <c r="AB204" s="938"/>
      <c r="AC204" s="936"/>
      <c r="AD204" s="936"/>
      <c r="AE204" s="936"/>
      <c r="AF204" s="936"/>
      <c r="AG204" s="936"/>
      <c r="AH204" s="936"/>
      <c r="AI204" s="936"/>
      <c r="AJ204" s="936"/>
      <c r="AK204" s="936"/>
      <c r="AL204" s="936"/>
      <c r="AM204" s="936"/>
      <c r="AN204" s="936"/>
      <c r="AO204" s="936"/>
      <c r="AP204" s="936"/>
      <c r="AQ204" s="936"/>
      <c r="AR204" s="936"/>
      <c r="AS204" s="936"/>
      <c r="AT204" s="936"/>
      <c r="AU204" s="936"/>
      <c r="AV204" s="936"/>
      <c r="AW204" s="936"/>
      <c r="AX204" s="936"/>
      <c r="AY204" s="936"/>
      <c r="AZ204" s="936"/>
      <c r="BA204" s="936"/>
      <c r="BB204" s="936"/>
      <c r="BC204" s="936"/>
      <c r="BD204" s="936"/>
      <c r="BE204" s="936"/>
      <c r="BF204" s="936"/>
      <c r="BG204" s="936"/>
      <c r="BH204" s="936"/>
      <c r="BI204" s="936"/>
      <c r="BJ204" s="936"/>
      <c r="BK204" s="936"/>
      <c r="BL204" s="936"/>
      <c r="BM204" s="936"/>
    </row>
    <row r="205" spans="2:65" s="939" customFormat="1" ht="17.25" customHeight="1" thickBot="1">
      <c r="B205" s="951" t="s">
        <v>62</v>
      </c>
      <c r="C205" s="952"/>
      <c r="D205" s="952"/>
      <c r="E205" s="952"/>
      <c r="F205" s="952"/>
      <c r="G205" s="952"/>
      <c r="H205" s="951"/>
      <c r="I205" s="951"/>
      <c r="J205" s="951"/>
      <c r="K205" s="951"/>
      <c r="L205" s="951"/>
      <c r="M205" s="951"/>
      <c r="N205" s="951"/>
      <c r="O205" s="951"/>
      <c r="P205" s="951"/>
      <c r="Q205" s="951"/>
      <c r="AB205" s="938"/>
      <c r="AC205" s="936"/>
      <c r="AD205" s="936"/>
      <c r="AE205" s="936"/>
      <c r="AF205" s="936"/>
      <c r="AG205" s="936"/>
      <c r="AH205" s="936"/>
      <c r="AI205" s="936"/>
      <c r="AJ205" s="936"/>
      <c r="AK205" s="936"/>
      <c r="AL205" s="936"/>
      <c r="AM205" s="936"/>
      <c r="AN205" s="936"/>
      <c r="AO205" s="936"/>
      <c r="AP205" s="936"/>
      <c r="AQ205" s="936"/>
      <c r="AR205" s="936"/>
      <c r="AS205" s="936"/>
      <c r="AT205" s="936"/>
      <c r="AU205" s="936"/>
      <c r="AV205" s="936"/>
      <c r="AW205" s="936"/>
      <c r="AX205" s="936"/>
      <c r="AY205" s="936"/>
      <c r="AZ205" s="936"/>
      <c r="BA205" s="936"/>
      <c r="BB205" s="936"/>
      <c r="BC205" s="936"/>
      <c r="BD205" s="936"/>
      <c r="BE205" s="936"/>
      <c r="BF205" s="936"/>
      <c r="BG205" s="936"/>
      <c r="BH205" s="936"/>
      <c r="BI205" s="936"/>
      <c r="BJ205" s="936"/>
      <c r="BK205" s="936"/>
      <c r="BL205" s="936"/>
      <c r="BM205" s="936"/>
    </row>
    <row r="206" spans="2:65" s="939" customFormat="1" ht="17.25" customHeight="1" thickTop="1">
      <c r="C206" s="964" t="s">
        <v>514</v>
      </c>
      <c r="D206" s="964"/>
      <c r="E206" s="964" t="str" cm="1">
        <f t="array" ref="E206">latitudeDecimal2Txt(F36)</f>
        <v>N 40°00.00 (N 40.0000) [N 40°00'00.00]</v>
      </c>
      <c r="F206" s="964"/>
      <c r="G206" s="964"/>
      <c r="H206" s="964"/>
      <c r="I206" s="964"/>
      <c r="J206" s="964"/>
      <c r="AB206" s="938"/>
      <c r="AC206" s="936"/>
      <c r="AD206" s="936"/>
      <c r="AE206" s="936"/>
      <c r="AF206" s="936"/>
      <c r="AG206" s="936"/>
      <c r="AH206" s="936"/>
      <c r="AI206" s="936"/>
      <c r="AJ206" s="936"/>
      <c r="AK206" s="936"/>
      <c r="AL206" s="936"/>
      <c r="AM206" s="936"/>
      <c r="AN206" s="936"/>
      <c r="AO206" s="936"/>
      <c r="AP206" s="936"/>
      <c r="AQ206" s="936"/>
      <c r="AR206" s="936"/>
      <c r="AS206" s="936"/>
      <c r="AT206" s="936"/>
      <c r="AU206" s="936"/>
      <c r="AV206" s="936"/>
      <c r="AW206" s="936"/>
      <c r="AX206" s="936"/>
      <c r="AY206" s="936"/>
      <c r="AZ206" s="936"/>
      <c r="BA206" s="936"/>
      <c r="BB206" s="936"/>
      <c r="BC206" s="936"/>
      <c r="BD206" s="936"/>
      <c r="BE206" s="936"/>
      <c r="BF206" s="936"/>
      <c r="BG206" s="936"/>
      <c r="BH206" s="936"/>
      <c r="BI206" s="936"/>
      <c r="BJ206" s="936"/>
      <c r="BK206" s="936"/>
      <c r="BL206" s="936"/>
      <c r="BM206" s="936"/>
    </row>
    <row r="207" spans="2:65" s="939" customFormat="1" ht="17.25" customHeight="1">
      <c r="C207" s="942" t="s">
        <v>515</v>
      </c>
      <c r="D207" s="942"/>
      <c r="E207" s="942" t="str" cm="1">
        <f t="array" ref="E207">longitudeDecimal2Txt(F41)</f>
        <v>E 03°45.00 (E 03.7500) [E 03°45'00.00]</v>
      </c>
      <c r="F207" s="942"/>
      <c r="G207" s="942"/>
      <c r="H207" s="942"/>
      <c r="I207" s="942"/>
      <c r="J207" s="942"/>
      <c r="AB207" s="938"/>
      <c r="AC207" s="936"/>
      <c r="AD207" s="936"/>
      <c r="AE207" s="936"/>
      <c r="AF207" s="936"/>
      <c r="AG207" s="936"/>
      <c r="AH207" s="936"/>
      <c r="AI207" s="936"/>
      <c r="AJ207" s="936"/>
      <c r="AK207" s="936"/>
      <c r="AL207" s="936"/>
      <c r="AM207" s="936"/>
      <c r="AN207" s="936"/>
      <c r="AO207" s="936"/>
      <c r="AP207" s="936"/>
      <c r="AQ207" s="936"/>
      <c r="AR207" s="936"/>
      <c r="AS207" s="936"/>
      <c r="AT207" s="936"/>
      <c r="AU207" s="936"/>
      <c r="AV207" s="936"/>
      <c r="AW207" s="936"/>
      <c r="AX207" s="936"/>
      <c r="AY207" s="936"/>
      <c r="AZ207" s="936"/>
      <c r="BA207" s="936"/>
      <c r="BB207" s="936"/>
      <c r="BC207" s="936"/>
      <c r="BD207" s="936"/>
      <c r="BE207" s="936"/>
      <c r="BF207" s="936"/>
      <c r="BG207" s="936"/>
      <c r="BH207" s="936"/>
      <c r="BI207" s="936"/>
      <c r="BJ207" s="936"/>
      <c r="BK207" s="936"/>
      <c r="BL207" s="936"/>
      <c r="BM207" s="936"/>
    </row>
    <row r="208" spans="2:65" s="939" customFormat="1" ht="17.25" customHeight="1">
      <c r="F208" s="976" t="str">
        <f>CONCATENATE("GHA - ", G64)</f>
        <v>GHA - Par interval</v>
      </c>
      <c r="G208" s="976"/>
      <c r="H208" s="974">
        <f>IF($G$64=$AD$64,M68,CONCATENATE("T0:",M76))</f>
        <v>8</v>
      </c>
      <c r="I208" s="974"/>
      <c r="J208" s="974"/>
      <c r="K208" s="974" t="str" cm="1">
        <f t="array" ref="K208">IF($G$64=$AD$64,angleDecimal2Txt(AE67,0),CONCATENATE("Pos. à T0:",angleDecimal2Txt(AD75,0)))</f>
        <v>+35°40.39</v>
      </c>
      <c r="L208" s="974"/>
      <c r="M208" s="974"/>
      <c r="AB208" s="938"/>
      <c r="AC208" s="936"/>
      <c r="AD208" s="936"/>
      <c r="AE208" s="936"/>
      <c r="AF208" s="936"/>
      <c r="AG208" s="936"/>
      <c r="AH208" s="936"/>
      <c r="AI208" s="936"/>
      <c r="AJ208" s="936"/>
      <c r="AK208" s="936"/>
      <c r="AL208" s="936"/>
      <c r="AM208" s="936"/>
      <c r="AN208" s="936"/>
      <c r="AO208" s="936"/>
      <c r="AP208" s="936"/>
      <c r="AQ208" s="936"/>
      <c r="AR208" s="936"/>
      <c r="AS208" s="936"/>
      <c r="AT208" s="936"/>
      <c r="AU208" s="936"/>
      <c r="AV208" s="936"/>
      <c r="AW208" s="936"/>
      <c r="AX208" s="936"/>
      <c r="AY208" s="936"/>
      <c r="AZ208" s="936"/>
      <c r="BA208" s="936"/>
      <c r="BB208" s="936"/>
      <c r="BC208" s="936"/>
      <c r="BD208" s="936"/>
      <c r="BE208" s="936"/>
      <c r="BF208" s="936"/>
      <c r="BG208" s="936"/>
      <c r="BH208" s="936"/>
      <c r="BI208" s="936"/>
      <c r="BJ208" s="936"/>
      <c r="BK208" s="936"/>
      <c r="BL208" s="936"/>
      <c r="BM208" s="936"/>
    </row>
    <row r="209" spans="3:65" s="939" customFormat="1" ht="17.25" customHeight="1">
      <c r="F209" s="976"/>
      <c r="G209" s="976"/>
      <c r="H209" s="974" cm="1">
        <f t="array" ref="H209">IF($G$64=$AD$64,M70,CONCATENATE("V:",angleDecimal2Txt(AD77,0)))</f>
        <v>9</v>
      </c>
      <c r="I209" s="974"/>
      <c r="J209" s="974"/>
      <c r="K209" s="974" t="str" cm="1">
        <f t="array" ref="K209">IF($G$64=$AD$64,angleDecimal2Txt(AE68,0),CONCATENATE("dt:",TEXT((I76-M76),"0.000")," h"))</f>
        <v>+50°13.40</v>
      </c>
      <c r="L209" s="974"/>
      <c r="M209" s="974"/>
      <c r="AB209" s="938"/>
      <c r="AC209" s="936"/>
      <c r="AD209" s="936"/>
      <c r="AE209" s="936"/>
      <c r="AF209" s="936"/>
      <c r="AG209" s="936"/>
      <c r="AH209" s="936"/>
      <c r="AI209" s="936"/>
      <c r="AJ209" s="936"/>
      <c r="AK209" s="936"/>
      <c r="AL209" s="936"/>
      <c r="AM209" s="936"/>
      <c r="AN209" s="936"/>
      <c r="AO209" s="936"/>
      <c r="AP209" s="936"/>
      <c r="AQ209" s="936"/>
      <c r="AR209" s="936"/>
      <c r="AS209" s="936"/>
      <c r="AT209" s="936"/>
      <c r="AU209" s="936"/>
      <c r="AV209" s="936"/>
      <c r="AW209" s="936"/>
      <c r="AX209" s="936"/>
      <c r="AY209" s="936"/>
      <c r="AZ209" s="936"/>
      <c r="BA209" s="936"/>
      <c r="BB209" s="936"/>
      <c r="BC209" s="936"/>
      <c r="BD209" s="936"/>
      <c r="BE209" s="936"/>
      <c r="BF209" s="936"/>
      <c r="BG209" s="936"/>
      <c r="BH209" s="936"/>
      <c r="BI209" s="936"/>
      <c r="BJ209" s="936"/>
      <c r="BK209" s="936"/>
      <c r="BL209" s="936"/>
      <c r="BM209" s="936"/>
    </row>
    <row r="210" spans="3:65" s="939" customFormat="1" ht="17.25" customHeight="1">
      <c r="C210" s="940" t="s">
        <v>516</v>
      </c>
      <c r="D210" s="940"/>
      <c r="E210" s="940" t="str" cm="1">
        <f t="array" ref="E210">angleDecimal2Txt(F63)</f>
        <v>+40°15.15 (+40.2525) [+40°15'09.15]</v>
      </c>
      <c r="F210" s="940"/>
      <c r="G210" s="940"/>
      <c r="H210" s="940"/>
      <c r="I210" s="940"/>
      <c r="J210" s="940"/>
      <c r="AB210" s="938"/>
      <c r="AC210" s="936"/>
      <c r="AD210" s="936"/>
      <c r="AE210" s="936"/>
      <c r="AF210" s="936"/>
      <c r="AG210" s="936"/>
      <c r="AH210" s="936"/>
      <c r="AI210" s="936"/>
      <c r="AJ210" s="936"/>
      <c r="AK210" s="936"/>
      <c r="AL210" s="936"/>
      <c r="AM210" s="936"/>
      <c r="AN210" s="936"/>
      <c r="AO210" s="936"/>
      <c r="AP210" s="936"/>
      <c r="AQ210" s="936"/>
      <c r="AR210" s="936"/>
      <c r="AS210" s="936"/>
      <c r="AT210" s="936"/>
      <c r="AU210" s="936"/>
      <c r="AV210" s="936"/>
      <c r="AW210" s="936"/>
      <c r="AX210" s="936"/>
      <c r="AY210" s="936"/>
      <c r="AZ210" s="936"/>
      <c r="BA210" s="936"/>
      <c r="BB210" s="936"/>
      <c r="BC210" s="936"/>
      <c r="BD210" s="936"/>
      <c r="BE210" s="936"/>
      <c r="BF210" s="936"/>
      <c r="BG210" s="936"/>
      <c r="BH210" s="936"/>
      <c r="BI210" s="936"/>
      <c r="BJ210" s="936"/>
      <c r="BK210" s="936"/>
      <c r="BL210" s="936"/>
      <c r="BM210" s="936"/>
    </row>
    <row r="211" spans="3:65" s="939" customFormat="1" ht="17.25" customHeight="1">
      <c r="C211" s="940" t="s">
        <v>43</v>
      </c>
      <c r="D211" s="940"/>
      <c r="E211" s="940" t="str" cm="1">
        <f t="array" ref="E211">angleDecimal2Txt(F82)</f>
        <v>+44°00.15 (+44.0025) [+44°00'09.15]</v>
      </c>
      <c r="F211" s="940"/>
      <c r="G211" s="940"/>
      <c r="H211" s="940"/>
      <c r="I211" s="940"/>
      <c r="J211" s="940"/>
      <c r="AB211" s="938"/>
      <c r="AC211" s="936"/>
      <c r="AD211" s="936"/>
      <c r="AE211" s="936"/>
      <c r="AF211" s="936"/>
      <c r="AG211" s="936"/>
      <c r="AH211" s="936"/>
      <c r="AI211" s="936"/>
      <c r="AJ211" s="936"/>
      <c r="AK211" s="936"/>
      <c r="AL211" s="936"/>
      <c r="AM211" s="936"/>
      <c r="AN211" s="936"/>
      <c r="AO211" s="936"/>
      <c r="AP211" s="936"/>
      <c r="AQ211" s="936"/>
      <c r="AR211" s="936"/>
      <c r="AS211" s="936"/>
      <c r="AT211" s="936"/>
      <c r="AU211" s="936"/>
      <c r="AV211" s="936"/>
      <c r="AW211" s="936"/>
      <c r="AX211" s="936"/>
      <c r="AY211" s="936"/>
      <c r="AZ211" s="936"/>
      <c r="BA211" s="936"/>
      <c r="BB211" s="936"/>
      <c r="BC211" s="936"/>
      <c r="BD211" s="936"/>
      <c r="BE211" s="936"/>
      <c r="BF211" s="936"/>
      <c r="BG211" s="936"/>
      <c r="BH211" s="936"/>
      <c r="BI211" s="936"/>
      <c r="BJ211" s="936"/>
      <c r="BK211" s="936"/>
      <c r="BL211" s="936"/>
      <c r="BM211" s="936"/>
    </row>
    <row r="212" spans="3:65" s="939" customFormat="1" ht="17.25" customHeight="1">
      <c r="F212" s="976" t="str">
        <f>CONCATENATE("Déc. - ", G46)</f>
        <v>Déc. - Par interval</v>
      </c>
      <c r="G212" s="976"/>
      <c r="H212" s="974">
        <f>IF($G$46=$AD$46,M50,CONCATENATE("T0:",M58))</f>
        <v>8</v>
      </c>
      <c r="I212" s="974"/>
      <c r="J212" s="974" t="str" cm="1">
        <f t="array" ref="J212">IF($G$46=$AD$46,angleDecimal2Txt(AE49,0),CONCATENATE("Pos. à T0:",angleDecimal2Txt(AD57,0)))</f>
        <v>-17°02.39</v>
      </c>
      <c r="K212" s="974"/>
      <c r="L212" s="974"/>
      <c r="M212" s="974"/>
      <c r="AB212" s="938"/>
      <c r="AC212" s="936"/>
      <c r="AD212" s="936"/>
      <c r="AE212" s="936"/>
      <c r="AF212" s="936"/>
      <c r="AG212" s="936"/>
      <c r="AH212" s="936"/>
      <c r="AI212" s="936"/>
      <c r="AJ212" s="936"/>
      <c r="AK212" s="936"/>
      <c r="AL212" s="936"/>
      <c r="AM212" s="936"/>
      <c r="AN212" s="936"/>
      <c r="AO212" s="936"/>
      <c r="AP212" s="936"/>
      <c r="AQ212" s="936"/>
      <c r="AR212" s="936"/>
      <c r="AS212" s="936"/>
      <c r="AT212" s="936"/>
      <c r="AU212" s="936"/>
      <c r="AV212" s="936"/>
      <c r="AW212" s="936"/>
      <c r="AX212" s="936"/>
      <c r="AY212" s="936"/>
      <c r="AZ212" s="936"/>
      <c r="BA212" s="936"/>
      <c r="BB212" s="936"/>
      <c r="BC212" s="936"/>
      <c r="BD212" s="936"/>
      <c r="BE212" s="936"/>
      <c r="BF212" s="936"/>
      <c r="BG212" s="936"/>
      <c r="BH212" s="936"/>
      <c r="BI212" s="936"/>
      <c r="BJ212" s="936"/>
      <c r="BK212" s="936"/>
      <c r="BL212" s="936"/>
      <c r="BM212" s="936"/>
    </row>
    <row r="213" spans="3:65" s="939" customFormat="1" ht="17.25" customHeight="1">
      <c r="F213" s="976"/>
      <c r="G213" s="976"/>
      <c r="H213" s="974" cm="1">
        <f t="array" ref="H213">IF($G$46=$AD$46,M52,CONCATENATE("V:",angleDecimal2Txt(AD59,0)))</f>
        <v>9</v>
      </c>
      <c r="I213" s="974"/>
      <c r="J213" s="974" t="str" cm="1">
        <f t="array" ref="J213">IF($G$46=$AD$46,angleDecimal2Txt(AE50,0),CONCATENATE("dt:",TEXT((I58-M58),"0.000")," h"))</f>
        <v>-16°52.79</v>
      </c>
      <c r="K213" s="974"/>
      <c r="L213" s="974"/>
      <c r="M213" s="974"/>
      <c r="AB213" s="938"/>
      <c r="AC213" s="936"/>
      <c r="AD213" s="936"/>
      <c r="AE213" s="936"/>
      <c r="AF213" s="936"/>
      <c r="AG213" s="936"/>
      <c r="AH213" s="936"/>
      <c r="AI213" s="936"/>
      <c r="AJ213" s="936"/>
      <c r="AK213" s="936"/>
      <c r="AL213" s="936"/>
      <c r="AM213" s="936"/>
      <c r="AN213" s="936"/>
      <c r="AO213" s="936"/>
      <c r="AP213" s="936"/>
      <c r="AQ213" s="936"/>
      <c r="AR213" s="936"/>
      <c r="AS213" s="936"/>
      <c r="AT213" s="936"/>
      <c r="AU213" s="936"/>
      <c r="AV213" s="936"/>
      <c r="AW213" s="936"/>
      <c r="AX213" s="936"/>
      <c r="AY213" s="936"/>
      <c r="AZ213" s="936"/>
      <c r="BA213" s="936"/>
      <c r="BB213" s="936"/>
      <c r="BC213" s="936"/>
      <c r="BD213" s="936"/>
      <c r="BE213" s="936"/>
      <c r="BF213" s="936"/>
      <c r="BG213" s="936"/>
      <c r="BH213" s="936"/>
      <c r="BI213" s="936"/>
      <c r="BJ213" s="936"/>
      <c r="BK213" s="936"/>
      <c r="BL213" s="936"/>
      <c r="BM213" s="936"/>
    </row>
    <row r="214" spans="3:65" s="939" customFormat="1" ht="17.25" customHeight="1">
      <c r="C214" s="940" t="s">
        <v>9</v>
      </c>
      <c r="D214" s="940"/>
      <c r="E214" s="940" t="str" cm="1">
        <f t="array" ref="E214">latitudeDecimal2Txt(F45)</f>
        <v>S 16°59.37 (S 16.9896) [S 16°59'22.72]</v>
      </c>
      <c r="F214" s="940"/>
      <c r="G214" s="940"/>
      <c r="H214" s="940"/>
      <c r="I214" s="940"/>
      <c r="J214" s="940"/>
      <c r="AB214" s="938"/>
      <c r="AC214" s="936"/>
      <c r="AD214" s="936"/>
      <c r="AE214" s="936"/>
      <c r="AF214" s="936"/>
      <c r="AG214" s="936"/>
      <c r="AH214" s="936"/>
      <c r="AI214" s="936"/>
      <c r="AJ214" s="936"/>
      <c r="AK214" s="936"/>
      <c r="AL214" s="936"/>
      <c r="AM214" s="936"/>
      <c r="AN214" s="936"/>
      <c r="AO214" s="936"/>
      <c r="AP214" s="936"/>
      <c r="AQ214" s="936"/>
      <c r="AR214" s="936"/>
      <c r="AS214" s="936"/>
      <c r="AT214" s="936"/>
      <c r="AU214" s="936"/>
      <c r="AV214" s="936"/>
      <c r="AW214" s="936"/>
      <c r="AX214" s="936"/>
      <c r="AY214" s="936"/>
      <c r="AZ214" s="936"/>
      <c r="BA214" s="936"/>
      <c r="BB214" s="936"/>
      <c r="BC214" s="936"/>
      <c r="BD214" s="936"/>
      <c r="BE214" s="936"/>
      <c r="BF214" s="936"/>
      <c r="BG214" s="936"/>
      <c r="BH214" s="936"/>
      <c r="BI214" s="936"/>
      <c r="BJ214" s="936"/>
      <c r="BK214" s="936"/>
      <c r="BL214" s="936"/>
      <c r="BM214" s="936"/>
    </row>
    <row r="215" spans="3:65" s="939" customFormat="1" ht="17.25" customHeight="1">
      <c r="F215" s="974" t="s">
        <v>518</v>
      </c>
      <c r="G215" s="974"/>
      <c r="H215" s="974">
        <f>SIN(U130)</f>
        <v>-0.29219885882261776</v>
      </c>
      <c r="I215" s="974"/>
      <c r="J215" s="974">
        <f>SIN(U131)</f>
        <v>0.64278760968653925</v>
      </c>
      <c r="K215" s="974"/>
      <c r="L215" s="974" t="s">
        <v>519</v>
      </c>
      <c r="M215" s="974"/>
      <c r="AB215" s="938"/>
      <c r="AC215" s="936"/>
      <c r="AD215" s="936"/>
      <c r="AE215" s="936"/>
      <c r="AF215" s="936"/>
      <c r="AG215" s="936"/>
      <c r="AH215" s="936"/>
      <c r="AI215" s="936"/>
      <c r="AJ215" s="936"/>
      <c r="AK215" s="936"/>
      <c r="AL215" s="936"/>
      <c r="AM215" s="936"/>
      <c r="AN215" s="936"/>
      <c r="AO215" s="936"/>
      <c r="AP215" s="936"/>
      <c r="AQ215" s="936"/>
      <c r="AR215" s="936"/>
      <c r="AS215" s="936"/>
      <c r="AT215" s="936"/>
      <c r="AU215" s="936"/>
      <c r="AV215" s="936"/>
      <c r="AW215" s="936"/>
      <c r="AX215" s="936"/>
      <c r="AY215" s="936"/>
      <c r="AZ215" s="936"/>
      <c r="BA215" s="936"/>
      <c r="BB215" s="936"/>
      <c r="BC215" s="936"/>
      <c r="BD215" s="936"/>
      <c r="BE215" s="936"/>
      <c r="BF215" s="936"/>
      <c r="BG215" s="936"/>
      <c r="BH215" s="936"/>
      <c r="BI215" s="936"/>
      <c r="BJ215" s="936"/>
      <c r="BK215" s="936"/>
      <c r="BL215" s="936"/>
      <c r="BM215" s="936"/>
    </row>
    <row r="216" spans="3:65" s="939" customFormat="1" ht="17.25" customHeight="1">
      <c r="F216" s="974" t="s">
        <v>517</v>
      </c>
      <c r="G216" s="974"/>
      <c r="H216" s="974">
        <f>COS(U130)</f>
        <v>0.95635758317836317</v>
      </c>
      <c r="I216" s="974"/>
      <c r="J216" s="974">
        <f>COS(U131)</f>
        <v>0.76604444311897801</v>
      </c>
      <c r="K216" s="974"/>
      <c r="L216" s="974" t="s">
        <v>520</v>
      </c>
      <c r="M216" s="974"/>
      <c r="AB216" s="938"/>
      <c r="AC216" s="936"/>
      <c r="AD216" s="936"/>
      <c r="AE216" s="936"/>
      <c r="AF216" s="936"/>
      <c r="AG216" s="936"/>
      <c r="AH216" s="936"/>
      <c r="AI216" s="936"/>
      <c r="AJ216" s="936"/>
      <c r="AK216" s="936"/>
      <c r="AL216" s="936"/>
      <c r="AM216" s="936"/>
      <c r="AN216" s="936"/>
      <c r="AO216" s="936"/>
      <c r="AP216" s="936"/>
      <c r="AQ216" s="936"/>
      <c r="AR216" s="936"/>
      <c r="AS216" s="936"/>
      <c r="AT216" s="936"/>
      <c r="AU216" s="936"/>
      <c r="AV216" s="936"/>
      <c r="AW216" s="936"/>
      <c r="AX216" s="936"/>
      <c r="AY216" s="936"/>
      <c r="AZ216" s="936"/>
      <c r="BA216" s="936"/>
      <c r="BB216" s="936"/>
      <c r="BC216" s="936"/>
      <c r="BD216" s="936"/>
      <c r="BE216" s="936"/>
      <c r="BF216" s="936"/>
      <c r="BG216" s="936"/>
      <c r="BH216" s="936"/>
      <c r="BI216" s="936"/>
      <c r="BJ216" s="936"/>
      <c r="BK216" s="936"/>
      <c r="BL216" s="936"/>
      <c r="BM216" s="936"/>
    </row>
    <row r="217" spans="3:65" s="939" customFormat="1" ht="17.25" customHeight="1">
      <c r="F217" s="997" t="s">
        <v>521</v>
      </c>
      <c r="G217" s="997"/>
      <c r="H217" s="997">
        <f>COS(U132)</f>
        <v>0.71930898427170975</v>
      </c>
      <c r="I217" s="997"/>
      <c r="J217" s="977"/>
      <c r="K217" s="977"/>
      <c r="L217" s="977"/>
      <c r="M217" s="977"/>
      <c r="AB217" s="938"/>
      <c r="AC217" s="936"/>
      <c r="AD217" s="936"/>
      <c r="AE217" s="936"/>
      <c r="AF217" s="936"/>
      <c r="AG217" s="936"/>
      <c r="AH217" s="936"/>
      <c r="AI217" s="936"/>
      <c r="AJ217" s="936"/>
      <c r="AK217" s="936"/>
      <c r="AL217" s="936"/>
      <c r="AM217" s="936"/>
      <c r="AN217" s="936"/>
      <c r="AO217" s="936"/>
      <c r="AP217" s="936"/>
      <c r="AQ217" s="936"/>
      <c r="AR217" s="936"/>
      <c r="AS217" s="936"/>
      <c r="AT217" s="936"/>
      <c r="AU217" s="936"/>
      <c r="AV217" s="936"/>
      <c r="AW217" s="936"/>
      <c r="AX217" s="936"/>
      <c r="AY217" s="936"/>
      <c r="AZ217" s="936"/>
      <c r="BA217" s="936"/>
      <c r="BB217" s="936"/>
      <c r="BC217" s="936"/>
      <c r="BD217" s="936"/>
      <c r="BE217" s="936"/>
      <c r="BF217" s="936"/>
      <c r="BG217" s="936"/>
      <c r="BH217" s="936"/>
      <c r="BI217" s="936"/>
      <c r="BJ217" s="936"/>
      <c r="BK217" s="936"/>
      <c r="BL217" s="936"/>
      <c r="BM217" s="936"/>
    </row>
    <row r="218" spans="3:65" s="939" customFormat="1" ht="17.25" customHeight="1">
      <c r="F218" s="974" t="s">
        <v>522</v>
      </c>
      <c r="G218" s="974"/>
      <c r="H218" s="974"/>
      <c r="I218" s="974"/>
      <c r="J218" s="974"/>
      <c r="K218" s="974"/>
      <c r="L218" s="974"/>
      <c r="M218" s="974"/>
      <c r="AB218" s="938"/>
      <c r="AC218" s="936"/>
      <c r="AD218" s="936"/>
      <c r="AE218" s="936"/>
      <c r="AF218" s="936"/>
      <c r="AG218" s="936"/>
      <c r="AH218" s="936"/>
      <c r="AI218" s="936"/>
      <c r="AJ218" s="936"/>
      <c r="AK218" s="936"/>
      <c r="AL218" s="936"/>
      <c r="AM218" s="936"/>
      <c r="AN218" s="936"/>
      <c r="AO218" s="936"/>
      <c r="AP218" s="936"/>
      <c r="AQ218" s="936"/>
      <c r="AR218" s="936"/>
      <c r="AS218" s="936"/>
      <c r="AT218" s="936"/>
      <c r="AU218" s="936"/>
      <c r="AV218" s="936"/>
      <c r="AW218" s="936"/>
      <c r="AX218" s="936"/>
      <c r="AY218" s="936"/>
      <c r="AZ218" s="936"/>
      <c r="BA218" s="936"/>
      <c r="BB218" s="936"/>
      <c r="BC218" s="936"/>
      <c r="BD218" s="936"/>
      <c r="BE218" s="936"/>
      <c r="BF218" s="936"/>
      <c r="BG218" s="936"/>
      <c r="BH218" s="936"/>
      <c r="BI218" s="936"/>
      <c r="BJ218" s="936"/>
      <c r="BK218" s="936"/>
      <c r="BL218" s="936"/>
      <c r="BM218" s="936"/>
    </row>
    <row r="219" spans="3:65" s="939" customFormat="1" ht="17.25" customHeight="1">
      <c r="F219" s="974" t="s">
        <v>530</v>
      </c>
      <c r="G219" s="974"/>
      <c r="H219" s="974">
        <f>AD130</f>
        <v>0.3391528840891907</v>
      </c>
      <c r="I219" s="974"/>
      <c r="J219" s="974"/>
      <c r="K219" s="974"/>
      <c r="L219" s="974"/>
      <c r="M219" s="974"/>
      <c r="AB219" s="938"/>
      <c r="AC219" s="936"/>
      <c r="AD219" s="936"/>
      <c r="AE219" s="936"/>
      <c r="AF219" s="936"/>
      <c r="AG219" s="936"/>
      <c r="AH219" s="936"/>
      <c r="AI219" s="936"/>
      <c r="AJ219" s="936"/>
      <c r="AK219" s="936"/>
      <c r="AL219" s="936"/>
      <c r="AM219" s="936"/>
      <c r="AN219" s="936"/>
      <c r="AO219" s="936"/>
      <c r="AP219" s="936"/>
      <c r="AQ219" s="936"/>
      <c r="AR219" s="936"/>
      <c r="AS219" s="936"/>
      <c r="AT219" s="936"/>
      <c r="AU219" s="936"/>
      <c r="AV219" s="936"/>
      <c r="AW219" s="936"/>
      <c r="AX219" s="936"/>
      <c r="AY219" s="936"/>
      <c r="AZ219" s="936"/>
      <c r="BA219" s="936"/>
      <c r="BB219" s="936"/>
      <c r="BC219" s="936"/>
      <c r="BD219" s="936"/>
      <c r="BE219" s="936"/>
      <c r="BF219" s="936"/>
      <c r="BG219" s="936"/>
      <c r="BH219" s="936"/>
      <c r="BI219" s="936"/>
      <c r="BJ219" s="936"/>
      <c r="BK219" s="936"/>
      <c r="BL219" s="936"/>
      <c r="BM219" s="936"/>
    </row>
    <row r="220" spans="3:65" s="939" customFormat="1" ht="17.25" customHeight="1">
      <c r="C220" s="945" t="s">
        <v>523</v>
      </c>
      <c r="D220" s="945"/>
      <c r="E220" s="945" t="str" cm="1">
        <f t="array" ref="E220">angleDecimal2Txt(I130,0)</f>
        <v>+19°49.51</v>
      </c>
      <c r="F220" s="945"/>
      <c r="G220" s="945"/>
      <c r="H220" s="945"/>
      <c r="I220" s="945"/>
      <c r="J220" s="945"/>
      <c r="AB220" s="938"/>
      <c r="AC220" s="936"/>
      <c r="AD220" s="936"/>
      <c r="AE220" s="936"/>
      <c r="AF220" s="936"/>
      <c r="AG220" s="936"/>
      <c r="AH220" s="936"/>
      <c r="AI220" s="936"/>
      <c r="AJ220" s="936"/>
      <c r="AK220" s="936"/>
      <c r="AL220" s="936"/>
      <c r="AM220" s="936"/>
      <c r="AN220" s="936"/>
      <c r="AO220" s="936"/>
      <c r="AP220" s="936"/>
      <c r="AQ220" s="936"/>
      <c r="AR220" s="936"/>
      <c r="AS220" s="936"/>
      <c r="AT220" s="936"/>
      <c r="AU220" s="936"/>
      <c r="AV220" s="936"/>
      <c r="AW220" s="936"/>
      <c r="AX220" s="936"/>
      <c r="AY220" s="936"/>
      <c r="AZ220" s="936"/>
      <c r="BA220" s="936"/>
      <c r="BB220" s="936"/>
      <c r="BC220" s="936"/>
      <c r="BD220" s="936"/>
      <c r="BE220" s="936"/>
      <c r="BF220" s="936"/>
      <c r="BG220" s="936"/>
      <c r="BH220" s="936"/>
      <c r="BI220" s="936"/>
      <c r="BJ220" s="936"/>
      <c r="BK220" s="936"/>
      <c r="BL220" s="936"/>
      <c r="BM220" s="936"/>
    </row>
    <row r="221" spans="3:65" s="939" customFormat="1" ht="17.25" customHeight="1">
      <c r="C221" s="965" t="s">
        <v>531</v>
      </c>
      <c r="D221" s="966"/>
      <c r="E221" s="945" t="str" cm="1">
        <f t="array" ref="E221">angleDecimal2Txt(T135,0)</f>
        <v>-00°26.14</v>
      </c>
      <c r="F221" s="945"/>
      <c r="G221" s="945"/>
      <c r="H221" s="945"/>
      <c r="I221" s="945"/>
      <c r="J221" s="945"/>
      <c r="AB221" s="938"/>
      <c r="AC221" s="936"/>
      <c r="AD221" s="936"/>
      <c r="AE221" s="936"/>
      <c r="AF221" s="936"/>
      <c r="AG221" s="936"/>
      <c r="AH221" s="936"/>
      <c r="AI221" s="936"/>
      <c r="AJ221" s="936"/>
      <c r="AK221" s="936"/>
      <c r="AL221" s="936"/>
      <c r="AM221" s="936"/>
      <c r="AN221" s="936"/>
      <c r="AO221" s="936"/>
      <c r="AP221" s="936"/>
      <c r="AQ221" s="936"/>
      <c r="AR221" s="936"/>
      <c r="AS221" s="936"/>
      <c r="AT221" s="936"/>
      <c r="AU221" s="936"/>
      <c r="AV221" s="936"/>
      <c r="AW221" s="936"/>
      <c r="AX221" s="936"/>
      <c r="AY221" s="936"/>
      <c r="AZ221" s="936"/>
      <c r="BA221" s="936"/>
      <c r="BB221" s="936"/>
      <c r="BC221" s="936"/>
      <c r="BD221" s="936"/>
      <c r="BE221" s="936"/>
      <c r="BF221" s="936"/>
      <c r="BG221" s="936"/>
      <c r="BH221" s="936"/>
      <c r="BI221" s="936"/>
      <c r="BJ221" s="936"/>
      <c r="BK221" s="936"/>
      <c r="BL221" s="936"/>
      <c r="BM221" s="936"/>
    </row>
    <row r="222" spans="3:65" ht="17.25" customHeight="1">
      <c r="C222" s="967"/>
      <c r="D222" s="968"/>
      <c r="E222" s="945" t="str">
        <f>CONCATENATE(TEXT(V135,"0.00"),"  Mn")</f>
        <v>-26.15  Mn</v>
      </c>
      <c r="F222" s="945"/>
      <c r="G222" s="945"/>
      <c r="H222" s="945"/>
      <c r="I222" s="945"/>
      <c r="J222" s="945"/>
      <c r="O222" s="1019" t="s">
        <v>564</v>
      </c>
      <c r="P222" s="1012" t="str" cm="1">
        <f t="array" ref="P222">latitudeDecimal2Txt(V136,0)</f>
        <v>S 16°59.37</v>
      </c>
      <c r="Q222" s="1012"/>
      <c r="AC222" s="318"/>
      <c r="AD222" s="318"/>
      <c r="AE222" s="318"/>
      <c r="AF222" s="318"/>
      <c r="AG222" s="318"/>
      <c r="AH222" s="318"/>
      <c r="AI222" s="318"/>
      <c r="AJ222" s="318"/>
      <c r="AK222" s="318"/>
      <c r="AL222" s="318"/>
      <c r="AM222" s="318"/>
      <c r="AN222" s="318"/>
      <c r="AO222" s="318"/>
      <c r="AP222" s="318"/>
      <c r="AQ222" s="318"/>
      <c r="AR222" s="318"/>
      <c r="AS222" s="318"/>
      <c r="AT222" s="318"/>
      <c r="AU222" s="318"/>
      <c r="AV222" s="318"/>
      <c r="AW222" s="318"/>
      <c r="AX222" s="318"/>
      <c r="AY222" s="318"/>
      <c r="AZ222" s="318"/>
      <c r="BA222" s="318"/>
      <c r="BB222" s="318"/>
      <c r="BC222" s="318"/>
      <c r="BD222" s="318"/>
      <c r="BE222" s="318"/>
      <c r="BF222" s="318"/>
      <c r="BG222" s="318"/>
      <c r="BH222" s="318"/>
      <c r="BI222" s="318"/>
      <c r="BJ222" s="318"/>
      <c r="BK222" s="318"/>
      <c r="BL222" s="318"/>
      <c r="BM222" s="318"/>
    </row>
    <row r="223" spans="3:65" ht="17.25" customHeight="1">
      <c r="C223" s="969"/>
      <c r="D223" s="970"/>
      <c r="E223" s="945" t="str">
        <f>Y135</f>
        <v>Oppose de Pg</v>
      </c>
      <c r="F223" s="998"/>
      <c r="G223" s="998"/>
      <c r="H223" s="998"/>
      <c r="I223" s="998"/>
      <c r="J223" s="998"/>
      <c r="O223" s="1012"/>
      <c r="P223" s="1012" t="str" cm="1">
        <f t="array" ref="P223">longitudeDecimal2Txt(V137,0)</f>
        <v>W 40°15.15</v>
      </c>
      <c r="Q223" s="1012"/>
      <c r="AC223" s="318"/>
      <c r="AD223" s="318"/>
      <c r="AE223" s="318"/>
      <c r="AF223" s="318"/>
      <c r="AG223" s="318"/>
      <c r="AH223" s="318"/>
      <c r="AI223" s="318"/>
      <c r="AJ223" s="318"/>
      <c r="AK223" s="318"/>
      <c r="AL223" s="318"/>
      <c r="AM223" s="318"/>
      <c r="AN223" s="318"/>
      <c r="AO223" s="318"/>
      <c r="AP223" s="318"/>
      <c r="AQ223" s="318"/>
      <c r="AR223" s="318"/>
      <c r="AS223" s="318"/>
      <c r="AT223" s="318"/>
      <c r="AU223" s="318"/>
      <c r="AV223" s="318"/>
      <c r="AW223" s="318"/>
      <c r="AX223" s="318"/>
      <c r="AY223" s="318"/>
      <c r="AZ223" s="318"/>
      <c r="BA223" s="318"/>
      <c r="BB223" s="318"/>
      <c r="BC223" s="318"/>
      <c r="BD223" s="318"/>
      <c r="BE223" s="318"/>
      <c r="BF223" s="318"/>
      <c r="BG223" s="318"/>
      <c r="BH223" s="318"/>
      <c r="BI223" s="318"/>
      <c r="BJ223" s="318"/>
      <c r="BK223" s="318"/>
      <c r="BL223" s="318"/>
      <c r="BM223" s="318"/>
    </row>
    <row r="224" spans="3:65" ht="17.25" customHeight="1">
      <c r="C224" s="316"/>
      <c r="D224" s="316"/>
      <c r="E224" s="316"/>
      <c r="F224" s="974" t="s">
        <v>524</v>
      </c>
      <c r="G224" s="974"/>
      <c r="H224" s="974"/>
      <c r="I224" s="974"/>
      <c r="J224" s="974"/>
      <c r="K224" s="974"/>
      <c r="L224" s="974"/>
      <c r="M224" s="974"/>
      <c r="N224" s="978"/>
      <c r="O224" s="978"/>
      <c r="P224" s="978"/>
      <c r="Q224" s="978"/>
      <c r="AC224" s="318"/>
      <c r="AD224" s="318"/>
      <c r="AE224" s="318"/>
      <c r="AF224" s="318"/>
      <c r="AG224" s="318"/>
      <c r="AH224" s="318"/>
      <c r="AI224" s="318"/>
      <c r="AJ224" s="318"/>
      <c r="AK224" s="318"/>
      <c r="AL224" s="318"/>
      <c r="AM224" s="318"/>
      <c r="AN224" s="318"/>
      <c r="AO224" s="318"/>
      <c r="AP224" s="318"/>
      <c r="AQ224" s="318"/>
      <c r="AR224" s="318"/>
      <c r="AS224" s="318"/>
      <c r="AT224" s="318"/>
      <c r="AU224" s="318"/>
      <c r="AV224" s="318"/>
      <c r="AW224" s="318"/>
      <c r="AX224" s="318"/>
      <c r="AY224" s="318"/>
      <c r="AZ224" s="318"/>
      <c r="BA224" s="318"/>
      <c r="BB224" s="318"/>
      <c r="BC224" s="318"/>
      <c r="BD224" s="318"/>
      <c r="BE224" s="318"/>
      <c r="BF224" s="318"/>
      <c r="BG224" s="318"/>
      <c r="BH224" s="318"/>
      <c r="BI224" s="318"/>
      <c r="BJ224" s="318"/>
      <c r="BK224" s="318"/>
      <c r="BL224" s="318"/>
      <c r="BM224" s="318"/>
    </row>
    <row r="225" spans="3:65" ht="17.25" customHeight="1">
      <c r="C225" s="316"/>
      <c r="D225" s="316"/>
      <c r="E225" s="316"/>
      <c r="F225" s="974" t="s">
        <v>525</v>
      </c>
      <c r="G225" s="974"/>
      <c r="H225" s="974">
        <f>AD141</f>
        <v>-0.70798282342972663</v>
      </c>
      <c r="I225" s="974"/>
      <c r="J225" s="974"/>
      <c r="K225" s="974"/>
      <c r="L225" s="974"/>
      <c r="M225" s="974"/>
      <c r="N225" s="978"/>
      <c r="O225" s="978"/>
      <c r="P225" s="978"/>
      <c r="Q225" s="978"/>
      <c r="AC225" s="318"/>
      <c r="AD225" s="318"/>
      <c r="AE225" s="318"/>
      <c r="AF225" s="318"/>
      <c r="AG225" s="318"/>
      <c r="AH225" s="318"/>
      <c r="AI225" s="318"/>
      <c r="AJ225" s="318"/>
      <c r="AK225" s="318"/>
      <c r="AL225" s="318"/>
      <c r="AM225" s="318"/>
      <c r="AN225" s="318"/>
      <c r="AO225" s="318"/>
      <c r="AP225" s="318"/>
      <c r="AQ225" s="318"/>
      <c r="AR225" s="318"/>
      <c r="AS225" s="318"/>
      <c r="AT225" s="318"/>
      <c r="AU225" s="318"/>
      <c r="AV225" s="318"/>
      <c r="AW225" s="318"/>
      <c r="AX225" s="318"/>
      <c r="AY225" s="318"/>
      <c r="AZ225" s="318"/>
      <c r="BA225" s="318"/>
      <c r="BB225" s="318"/>
      <c r="BC225" s="318"/>
      <c r="BD225" s="318"/>
      <c r="BE225" s="318"/>
      <c r="BF225" s="318"/>
      <c r="BG225" s="318"/>
      <c r="BH225" s="318"/>
      <c r="BI225" s="318"/>
      <c r="BJ225" s="318"/>
      <c r="BK225" s="318"/>
      <c r="BL225" s="318"/>
      <c r="BM225" s="318"/>
    </row>
    <row r="226" spans="3:65" ht="17.25" customHeight="1">
      <c r="C226" s="316"/>
      <c r="D226" s="316"/>
      <c r="E226" s="316"/>
      <c r="F226" s="974" t="s">
        <v>96</v>
      </c>
      <c r="G226" s="974"/>
      <c r="H226" s="974" t="str" cm="1">
        <f t="array" ref="H226">angleDecimal2Txt(I142,0)</f>
        <v>+135°04.26</v>
      </c>
      <c r="I226" s="974"/>
      <c r="J226" s="974"/>
      <c r="K226" s="974"/>
      <c r="L226" s="974"/>
      <c r="M226" s="974"/>
      <c r="N226" s="978"/>
      <c r="O226" s="978"/>
      <c r="P226" s="978"/>
      <c r="Q226" s="978"/>
      <c r="AC226" s="318"/>
      <c r="AD226" s="318"/>
      <c r="AE226" s="318"/>
      <c r="AF226" s="318"/>
      <c r="AG226" s="318"/>
      <c r="AH226" s="318"/>
      <c r="AI226" s="318"/>
      <c r="AJ226" s="318"/>
      <c r="AK226" s="318"/>
      <c r="AL226" s="318"/>
      <c r="AM226" s="318"/>
      <c r="AN226" s="318"/>
      <c r="AO226" s="318"/>
      <c r="AP226" s="318"/>
      <c r="AQ226" s="318"/>
      <c r="AR226" s="318"/>
      <c r="AS226" s="318"/>
      <c r="AT226" s="318"/>
      <c r="AU226" s="318"/>
      <c r="AV226" s="318"/>
      <c r="AW226" s="318"/>
      <c r="AX226" s="318"/>
      <c r="AY226" s="318"/>
      <c r="AZ226" s="318"/>
      <c r="BA226" s="318"/>
      <c r="BB226" s="318"/>
      <c r="BC226" s="318"/>
      <c r="BD226" s="318"/>
      <c r="BE226" s="318"/>
      <c r="BF226" s="318"/>
      <c r="BG226" s="318"/>
      <c r="BH226" s="318"/>
      <c r="BI226" s="318"/>
      <c r="BJ226" s="318"/>
      <c r="BK226" s="318"/>
      <c r="BL226" s="318"/>
      <c r="BM226" s="318"/>
    </row>
    <row r="227" spans="3:65" ht="17.25" customHeight="1">
      <c r="C227" s="316"/>
      <c r="D227" s="316"/>
      <c r="E227" s="316"/>
      <c r="F227" s="979" t="s">
        <v>154</v>
      </c>
      <c r="G227" s="980"/>
      <c r="H227" s="980"/>
      <c r="I227" s="980"/>
      <c r="J227" s="980"/>
      <c r="K227" s="981"/>
      <c r="L227" s="979" t="s">
        <v>155</v>
      </c>
      <c r="M227" s="980"/>
      <c r="N227" s="980"/>
      <c r="O227" s="980"/>
      <c r="P227" s="980"/>
      <c r="Q227" s="981"/>
      <c r="AC227" s="318"/>
      <c r="AD227" s="318"/>
      <c r="AE227" s="318"/>
      <c r="AF227" s="318"/>
      <c r="AG227" s="318"/>
      <c r="AH227" s="318"/>
      <c r="AI227" s="318"/>
      <c r="AJ227" s="318"/>
      <c r="AK227" s="318"/>
      <c r="AL227" s="318"/>
      <c r="AM227" s="318"/>
      <c r="AN227" s="318"/>
      <c r="AO227" s="318"/>
      <c r="AP227" s="318"/>
      <c r="AQ227" s="318"/>
      <c r="AR227" s="318"/>
      <c r="AS227" s="318"/>
      <c r="AT227" s="318"/>
      <c r="AU227" s="318"/>
      <c r="AV227" s="318"/>
      <c r="AW227" s="318"/>
      <c r="AX227" s="318"/>
      <c r="AY227" s="318"/>
      <c r="AZ227" s="318"/>
      <c r="BA227" s="318"/>
      <c r="BB227" s="318"/>
      <c r="BC227" s="318"/>
      <c r="BD227" s="318"/>
      <c r="BE227" s="318"/>
      <c r="BF227" s="318"/>
      <c r="BG227" s="318"/>
      <c r="BH227" s="318"/>
      <c r="BI227" s="318"/>
      <c r="BJ227" s="318"/>
      <c r="BK227" s="318"/>
      <c r="BL227" s="318"/>
      <c r="BM227" s="318"/>
    </row>
    <row r="228" spans="3:65" ht="17.25" customHeight="1">
      <c r="C228" s="316"/>
      <c r="D228" s="316"/>
      <c r="E228" s="316"/>
      <c r="F228" s="982"/>
      <c r="G228" s="983" t="s">
        <v>126</v>
      </c>
      <c r="H228" s="984"/>
      <c r="I228" s="985"/>
      <c r="J228" s="986" t="s">
        <v>127</v>
      </c>
      <c r="K228" s="987"/>
      <c r="L228" s="982"/>
      <c r="M228" s="983" t="s">
        <v>126</v>
      </c>
      <c r="N228" s="984"/>
      <c r="O228" s="985"/>
      <c r="P228" s="986" t="s">
        <v>128</v>
      </c>
      <c r="Q228" s="987"/>
      <c r="AC228" s="318"/>
      <c r="AD228" s="318"/>
      <c r="AE228" s="318"/>
      <c r="AF228" s="318"/>
      <c r="AG228" s="318"/>
      <c r="AH228" s="318"/>
      <c r="AI228" s="318"/>
      <c r="AJ228" s="318"/>
      <c r="AK228" s="318"/>
      <c r="AL228" s="318"/>
      <c r="AM228" s="318"/>
      <c r="AN228" s="318"/>
      <c r="AO228" s="318"/>
      <c r="AP228" s="318"/>
      <c r="AQ228" s="318"/>
      <c r="AR228" s="318"/>
      <c r="AS228" s="318"/>
      <c r="AT228" s="318"/>
      <c r="AU228" s="318"/>
      <c r="AV228" s="318"/>
      <c r="AW228" s="318"/>
      <c r="AX228" s="318"/>
      <c r="AY228" s="318"/>
      <c r="AZ228" s="318"/>
      <c r="BA228" s="318"/>
      <c r="BB228" s="318"/>
      <c r="BC228" s="318"/>
      <c r="BD228" s="318"/>
      <c r="BE228" s="318"/>
      <c r="BF228" s="318"/>
      <c r="BG228" s="318"/>
      <c r="BH228" s="318"/>
      <c r="BI228" s="318"/>
      <c r="BJ228" s="318"/>
      <c r="BK228" s="318"/>
      <c r="BL228" s="318"/>
      <c r="BM228" s="318"/>
    </row>
    <row r="229" spans="3:65" ht="17.25" customHeight="1">
      <c r="C229" s="316"/>
      <c r="D229" s="316"/>
      <c r="E229" s="316"/>
      <c r="F229" s="988"/>
      <c r="G229" s="989" t="s">
        <v>90</v>
      </c>
      <c r="H229" s="990"/>
      <c r="I229" s="991"/>
      <c r="J229" s="992" t="s">
        <v>91</v>
      </c>
      <c r="K229" s="993"/>
      <c r="L229" s="988"/>
      <c r="M229" s="989" t="s">
        <v>90</v>
      </c>
      <c r="N229" s="990"/>
      <c r="O229" s="991"/>
      <c r="P229" s="992" t="s">
        <v>92</v>
      </c>
      <c r="Q229" s="993"/>
      <c r="AC229" s="318"/>
      <c r="AD229" s="318"/>
      <c r="AE229" s="318"/>
      <c r="AF229" s="318"/>
      <c r="AG229" s="318"/>
      <c r="AH229" s="318"/>
      <c r="AI229" s="318"/>
      <c r="AJ229" s="318"/>
      <c r="AK229" s="318"/>
      <c r="AL229" s="318"/>
      <c r="AM229" s="318"/>
      <c r="AN229" s="318"/>
      <c r="AO229" s="318"/>
      <c r="AP229" s="318"/>
      <c r="AQ229" s="318"/>
      <c r="AR229" s="318"/>
      <c r="AS229" s="318"/>
      <c r="AT229" s="318"/>
      <c r="AU229" s="318"/>
      <c r="AV229" s="318"/>
      <c r="AW229" s="318"/>
      <c r="AX229" s="318"/>
      <c r="AY229" s="318"/>
      <c r="AZ229" s="318"/>
      <c r="BA229" s="318"/>
      <c r="BB229" s="318"/>
      <c r="BC229" s="318"/>
      <c r="BD229" s="318"/>
      <c r="BE229" s="318"/>
      <c r="BF229" s="318"/>
      <c r="BG229" s="318"/>
      <c r="BH229" s="318"/>
      <c r="BI229" s="318"/>
      <c r="BJ229" s="318"/>
      <c r="BK229" s="318"/>
      <c r="BL229" s="318"/>
      <c r="BM229" s="318"/>
    </row>
    <row r="230" spans="3:65" ht="17.25" customHeight="1">
      <c r="C230" s="316"/>
      <c r="D230" s="316"/>
      <c r="E230" s="316"/>
      <c r="F230" s="974" t="s">
        <v>528</v>
      </c>
      <c r="G230" s="974"/>
      <c r="H230" s="974" t="str">
        <f>IF(F36&gt;0,"Nord","Sud")</f>
        <v>Nord</v>
      </c>
      <c r="I230" s="974"/>
      <c r="J230" s="974"/>
      <c r="K230" s="974"/>
      <c r="L230" s="974"/>
      <c r="M230" s="974"/>
      <c r="N230" s="978"/>
      <c r="O230" s="978"/>
      <c r="P230" s="978"/>
      <c r="Q230" s="978"/>
      <c r="AC230" s="318"/>
      <c r="AD230" s="318"/>
      <c r="AE230" s="318"/>
      <c r="AF230" s="318"/>
      <c r="AG230" s="318"/>
      <c r="AH230" s="318"/>
      <c r="AI230" s="318"/>
      <c r="AJ230" s="318"/>
      <c r="AK230" s="318"/>
      <c r="AL230" s="318"/>
      <c r="AM230" s="318"/>
      <c r="AN230" s="318"/>
      <c r="AO230" s="318"/>
      <c r="AP230" s="318"/>
      <c r="AQ230" s="318"/>
      <c r="AR230" s="318"/>
      <c r="AS230" s="318"/>
      <c r="AT230" s="318"/>
      <c r="AU230" s="318"/>
      <c r="AV230" s="318"/>
      <c r="AW230" s="318"/>
      <c r="AX230" s="318"/>
      <c r="AY230" s="318"/>
      <c r="AZ230" s="318"/>
      <c r="BA230" s="318"/>
      <c r="BB230" s="318"/>
      <c r="BC230" s="318"/>
      <c r="BD230" s="318"/>
      <c r="BE230" s="318"/>
      <c r="BF230" s="318"/>
      <c r="BG230" s="318"/>
      <c r="BH230" s="318"/>
      <c r="BI230" s="318"/>
      <c r="BJ230" s="318"/>
      <c r="BK230" s="318"/>
      <c r="BL230" s="318"/>
      <c r="BM230" s="318"/>
    </row>
    <row r="231" spans="3:65" ht="17.25" customHeight="1">
      <c r="C231" s="316"/>
      <c r="D231" s="316"/>
      <c r="E231" s="316"/>
      <c r="F231" s="974" t="s">
        <v>527</v>
      </c>
      <c r="G231" s="974"/>
      <c r="H231" s="974" t="b">
        <f>(F82&gt;180)</f>
        <v>0</v>
      </c>
      <c r="I231" s="974"/>
      <c r="J231" s="974"/>
      <c r="K231" s="974"/>
      <c r="L231" s="974"/>
      <c r="M231" s="974"/>
      <c r="N231" s="978"/>
      <c r="O231" s="978"/>
      <c r="P231" s="978"/>
      <c r="Q231" s="978"/>
      <c r="AC231" s="318"/>
      <c r="AD231" s="318"/>
      <c r="AE231" s="318"/>
      <c r="AF231" s="318"/>
      <c r="AG231" s="318"/>
      <c r="AH231" s="318"/>
      <c r="AI231" s="318"/>
      <c r="AJ231" s="318"/>
      <c r="AK231" s="318"/>
      <c r="AL231" s="318"/>
      <c r="AM231" s="318"/>
      <c r="AN231" s="318"/>
      <c r="AO231" s="318"/>
      <c r="AP231" s="318"/>
      <c r="AQ231" s="318"/>
      <c r="AR231" s="318"/>
      <c r="AS231" s="318"/>
      <c r="AT231" s="318"/>
      <c r="AU231" s="318"/>
      <c r="AV231" s="318"/>
      <c r="AW231" s="318"/>
      <c r="AX231" s="318"/>
      <c r="AY231" s="318"/>
      <c r="AZ231" s="318"/>
      <c r="BA231" s="318"/>
      <c r="BB231" s="318"/>
      <c r="BC231" s="318"/>
      <c r="BD231" s="318"/>
      <c r="BE231" s="318"/>
      <c r="BF231" s="318"/>
      <c r="BG231" s="318"/>
      <c r="BH231" s="318"/>
      <c r="BI231" s="318"/>
      <c r="BJ231" s="318"/>
      <c r="BK231" s="318"/>
      <c r="BL231" s="318"/>
      <c r="BM231" s="318"/>
    </row>
    <row r="232" spans="3:65" ht="17.25" customHeight="1">
      <c r="C232" s="945" t="s">
        <v>526</v>
      </c>
      <c r="D232" s="945"/>
      <c r="E232" s="945" t="str" cm="1">
        <f t="array" ref="E232">angleDecimal2Txt(T152,0)</f>
        <v>+224°55.73</v>
      </c>
      <c r="F232" s="945"/>
      <c r="G232" s="945"/>
      <c r="H232" s="945"/>
      <c r="I232" s="945"/>
      <c r="J232" s="945"/>
      <c r="AC232" s="318"/>
      <c r="AD232" s="318"/>
      <c r="AE232" s="318"/>
      <c r="AF232" s="318"/>
      <c r="AG232" s="318"/>
      <c r="AH232" s="318"/>
      <c r="AI232" s="318"/>
      <c r="AJ232" s="318"/>
      <c r="AK232" s="318"/>
      <c r="AL232" s="318"/>
      <c r="AM232" s="318"/>
      <c r="AN232" s="318"/>
      <c r="AO232" s="318"/>
      <c r="AP232" s="318"/>
      <c r="AQ232" s="318"/>
      <c r="AR232" s="318"/>
      <c r="AS232" s="318"/>
      <c r="AT232" s="318"/>
      <c r="AU232" s="318"/>
      <c r="AV232" s="318"/>
      <c r="AW232" s="318"/>
      <c r="AX232" s="318"/>
      <c r="AY232" s="318"/>
      <c r="AZ232" s="318"/>
      <c r="BA232" s="318"/>
      <c r="BB232" s="318"/>
      <c r="BC232" s="318"/>
      <c r="BD232" s="318"/>
      <c r="BE232" s="318"/>
      <c r="BF232" s="318"/>
      <c r="BG232" s="318"/>
      <c r="BH232" s="318"/>
      <c r="BI232" s="318"/>
      <c r="BJ232" s="318"/>
      <c r="BK232" s="318"/>
      <c r="BL232" s="318"/>
      <c r="BM232" s="318"/>
    </row>
  </sheetData>
  <protectedRanges>
    <protectedRange sqref="I11:Y11" name="Heure visee" securityDescriptor="O:WDG:WDD:(A;;CC;;;WD)"/>
  </protectedRanges>
  <dataConsolidate link="1"/>
  <mergeCells count="435">
    <mergeCell ref="P222:Q222"/>
    <mergeCell ref="P223:Q223"/>
    <mergeCell ref="F230:G230"/>
    <mergeCell ref="H230:M230"/>
    <mergeCell ref="F231:G231"/>
    <mergeCell ref="H231:M231"/>
    <mergeCell ref="C232:D232"/>
    <mergeCell ref="E232:J232"/>
    <mergeCell ref="F195:G195"/>
    <mergeCell ref="H195:L195"/>
    <mergeCell ref="O222:O223"/>
    <mergeCell ref="F226:G226"/>
    <mergeCell ref="H226:M226"/>
    <mergeCell ref="F227:K227"/>
    <mergeCell ref="L227:Q227"/>
    <mergeCell ref="F228:F229"/>
    <mergeCell ref="G228:I228"/>
    <mergeCell ref="J228:K228"/>
    <mergeCell ref="L228:L229"/>
    <mergeCell ref="M228:O228"/>
    <mergeCell ref="P228:Q228"/>
    <mergeCell ref="G229:I229"/>
    <mergeCell ref="J229:K229"/>
    <mergeCell ref="M229:O229"/>
    <mergeCell ref="P229:Q229"/>
    <mergeCell ref="C220:D220"/>
    <mergeCell ref="E220:J220"/>
    <mergeCell ref="C221:D223"/>
    <mergeCell ref="E221:J221"/>
    <mergeCell ref="E222:J222"/>
    <mergeCell ref="E223:J223"/>
    <mergeCell ref="F224:M224"/>
    <mergeCell ref="F225:G225"/>
    <mergeCell ref="H225:M225"/>
    <mergeCell ref="F216:G216"/>
    <mergeCell ref="H216:I216"/>
    <mergeCell ref="J216:K216"/>
    <mergeCell ref="L216:M216"/>
    <mergeCell ref="F217:G217"/>
    <mergeCell ref="H217:I217"/>
    <mergeCell ref="F218:M218"/>
    <mergeCell ref="F219:G219"/>
    <mergeCell ref="H219:M219"/>
    <mergeCell ref="F212:G213"/>
    <mergeCell ref="H212:I212"/>
    <mergeCell ref="J212:M212"/>
    <mergeCell ref="H213:I213"/>
    <mergeCell ref="J213:M213"/>
    <mergeCell ref="C214:D214"/>
    <mergeCell ref="E214:J214"/>
    <mergeCell ref="F215:G215"/>
    <mergeCell ref="H215:I215"/>
    <mergeCell ref="J215:K215"/>
    <mergeCell ref="L215:M215"/>
    <mergeCell ref="F208:G209"/>
    <mergeCell ref="H208:J208"/>
    <mergeCell ref="K208:M208"/>
    <mergeCell ref="H209:J209"/>
    <mergeCell ref="K209:M209"/>
    <mergeCell ref="C210:D210"/>
    <mergeCell ref="E210:J210"/>
    <mergeCell ref="C211:D211"/>
    <mergeCell ref="E211:J211"/>
    <mergeCell ref="N200:P202"/>
    <mergeCell ref="F201:J201"/>
    <mergeCell ref="K201:M201"/>
    <mergeCell ref="F202:J202"/>
    <mergeCell ref="K202:M202"/>
    <mergeCell ref="C206:D206"/>
    <mergeCell ref="E206:J206"/>
    <mergeCell ref="C207:D207"/>
    <mergeCell ref="E207:J207"/>
    <mergeCell ref="F196:G196"/>
    <mergeCell ref="H196:L196"/>
    <mergeCell ref="F197:G197"/>
    <mergeCell ref="H197:L197"/>
    <mergeCell ref="F198:G198"/>
    <mergeCell ref="H198:L198"/>
    <mergeCell ref="E199:I199"/>
    <mergeCell ref="J199:L199"/>
    <mergeCell ref="F200:J200"/>
    <mergeCell ref="K200:M200"/>
    <mergeCell ref="C190:D190"/>
    <mergeCell ref="E190:I190"/>
    <mergeCell ref="C191:D191"/>
    <mergeCell ref="E191:I191"/>
    <mergeCell ref="E192:I192"/>
    <mergeCell ref="J192:L192"/>
    <mergeCell ref="F193:G193"/>
    <mergeCell ref="H193:L193"/>
    <mergeCell ref="F194:G194"/>
    <mergeCell ref="H194:L194"/>
    <mergeCell ref="B184:C184"/>
    <mergeCell ref="D184:G184"/>
    <mergeCell ref="I184:L184"/>
    <mergeCell ref="B185:C185"/>
    <mergeCell ref="D185:E185"/>
    <mergeCell ref="C188:D188"/>
    <mergeCell ref="E188:I188"/>
    <mergeCell ref="C189:D189"/>
    <mergeCell ref="E189:I189"/>
    <mergeCell ref="O129:AA129"/>
    <mergeCell ref="E130:H132"/>
    <mergeCell ref="I130:M131"/>
    <mergeCell ref="T130:T132"/>
    <mergeCell ref="O142:P142"/>
    <mergeCell ref="Q142:S142"/>
    <mergeCell ref="U142:W142"/>
    <mergeCell ref="I146:N146"/>
    <mergeCell ref="O146:T146"/>
    <mergeCell ref="X130:X132"/>
    <mergeCell ref="O131:P131"/>
    <mergeCell ref="Q131:S131"/>
    <mergeCell ref="U131:W131"/>
    <mergeCell ref="I132:M132"/>
    <mergeCell ref="O132:P132"/>
    <mergeCell ref="Q132:S132"/>
    <mergeCell ref="U132:W132"/>
    <mergeCell ref="E134:H136"/>
    <mergeCell ref="I134:M135"/>
    <mergeCell ref="O135:S135"/>
    <mergeCell ref="O130:P130"/>
    <mergeCell ref="Q130:S130"/>
    <mergeCell ref="U130:W130"/>
    <mergeCell ref="Y135:Z135"/>
    <mergeCell ref="H116:N116"/>
    <mergeCell ref="O116:R116"/>
    <mergeCell ref="U116:Z116"/>
    <mergeCell ref="F118:I118"/>
    <mergeCell ref="J118:L118"/>
    <mergeCell ref="L124:M124"/>
    <mergeCell ref="O124:P124"/>
    <mergeCell ref="W124:AA124"/>
    <mergeCell ref="H126:N126"/>
    <mergeCell ref="O126:R126"/>
    <mergeCell ref="U126:Z12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D25:I27"/>
    <mergeCell ref="P27:X27"/>
    <mergeCell ref="C28:I31"/>
    <mergeCell ref="J28:L31"/>
    <mergeCell ref="M28:O31"/>
    <mergeCell ref="P28:R29"/>
    <mergeCell ref="P30:R3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N3:P4"/>
    <mergeCell ref="Q3:S4"/>
    <mergeCell ref="I8:K8"/>
    <mergeCell ref="L8:O8"/>
    <mergeCell ref="U120:V120"/>
    <mergeCell ref="U121:V121"/>
    <mergeCell ref="K122:K123"/>
    <mergeCell ref="N122:N123"/>
    <mergeCell ref="Q122:Q123"/>
    <mergeCell ref="U122:V122"/>
    <mergeCell ref="L123:M123"/>
    <mergeCell ref="O123:P123"/>
    <mergeCell ref="C23:I23"/>
    <mergeCell ref="J23:L23"/>
    <mergeCell ref="M23:O23"/>
    <mergeCell ref="C24:D24"/>
    <mergeCell ref="J24:L27"/>
    <mergeCell ref="M24:O27"/>
    <mergeCell ref="C21:I21"/>
    <mergeCell ref="J21:L21"/>
    <mergeCell ref="M21:O21"/>
    <mergeCell ref="P21:X21"/>
    <mergeCell ref="C22:I22"/>
    <mergeCell ref="J22:L22"/>
    <mergeCell ref="I136:M136"/>
    <mergeCell ref="O141:AA141"/>
    <mergeCell ref="E142:H144"/>
    <mergeCell ref="I142:M143"/>
    <mergeCell ref="T142:T144"/>
    <mergeCell ref="X142:X144"/>
    <mergeCell ref="O143:P143"/>
    <mergeCell ref="Q143:S143"/>
    <mergeCell ref="U143:W143"/>
    <mergeCell ref="I144:M144"/>
    <mergeCell ref="O144:P144"/>
    <mergeCell ref="Q144:S144"/>
    <mergeCell ref="U144:W144"/>
    <mergeCell ref="S136:S137"/>
    <mergeCell ref="T136:U136"/>
    <mergeCell ref="V136:W136"/>
    <mergeCell ref="X136:AC136"/>
    <mergeCell ref="T137:U137"/>
    <mergeCell ref="V137:W137"/>
    <mergeCell ref="X137:AC137"/>
    <mergeCell ref="Q150:S150"/>
    <mergeCell ref="T150:V150"/>
    <mergeCell ref="X150:Z150"/>
    <mergeCell ref="I151:J151"/>
    <mergeCell ref="I152:J152"/>
    <mergeCell ref="L152:M152"/>
    <mergeCell ref="O152:S152"/>
    <mergeCell ref="T152:U152"/>
    <mergeCell ref="I147:I148"/>
    <mergeCell ref="J147:L147"/>
    <mergeCell ref="M147:N147"/>
    <mergeCell ref="O147:O148"/>
    <mergeCell ref="P147:R147"/>
    <mergeCell ref="S147:T147"/>
    <mergeCell ref="J148:L148"/>
    <mergeCell ref="M148:N148"/>
    <mergeCell ref="P148:R148"/>
    <mergeCell ref="S148:T148"/>
    <mergeCell ref="L151:M151"/>
    <mergeCell ref="AE179:AF180"/>
    <mergeCell ref="E160:F160"/>
    <mergeCell ref="S160:T160"/>
    <mergeCell ref="U160:Z160"/>
    <mergeCell ref="Q162:S162"/>
    <mergeCell ref="R163:S163"/>
    <mergeCell ref="C168:F168"/>
    <mergeCell ref="E169:F169"/>
    <mergeCell ref="G169:L169"/>
    <mergeCell ref="S169:T169"/>
    <mergeCell ref="U169:Z169"/>
    <mergeCell ref="AC29:AO29"/>
    <mergeCell ref="E170:F170"/>
    <mergeCell ref="G170:L170"/>
    <mergeCell ref="S170:T170"/>
    <mergeCell ref="U170:Z170"/>
    <mergeCell ref="C172:E172"/>
    <mergeCell ref="D173:E173"/>
    <mergeCell ref="AE173:AF174"/>
    <mergeCell ref="AE176:AF177"/>
    <mergeCell ref="I153:K153"/>
    <mergeCell ref="L153:M153"/>
    <mergeCell ref="T153:Y153"/>
    <mergeCell ref="C158:F158"/>
    <mergeCell ref="H158:J158"/>
    <mergeCell ref="L158:N158"/>
    <mergeCell ref="Q158:T158"/>
    <mergeCell ref="E159:F159"/>
    <mergeCell ref="I159:J159"/>
    <mergeCell ref="M159:N159"/>
    <mergeCell ref="S159:T159"/>
    <mergeCell ref="U159:Z159"/>
    <mergeCell ref="T149:V149"/>
    <mergeCell ref="X149:Z149"/>
    <mergeCell ref="N150:O150"/>
  </mergeCells>
  <dataValidations count="8">
    <dataValidation type="list" allowBlank="1" showInputMessage="1" showErrorMessage="1" sqref="M23:O23" xr:uid="{39EBD459-BF12-4A47-923A-D3915DF7A305}">
      <formula1>$AD$27:$AF$27</formula1>
    </dataValidation>
    <dataValidation type="list" allowBlank="1" showInputMessage="1" showErrorMessage="1" sqref="M22:O22" xr:uid="{CB93C1BB-E91A-46AC-A0FE-35FE6F88E479}">
      <formula1>$AD$23:$AF$23</formula1>
    </dataValidation>
    <dataValidation type="list" allowBlank="1" showInputMessage="1" showErrorMessage="1" sqref="G87:I87" xr:uid="{975EFC59-B6D8-4C9B-B275-10D8F8A0899E}">
      <formula1>$AD$87:$AD$88</formula1>
    </dataValidation>
    <dataValidation type="list" allowBlank="1" showInputMessage="1" showErrorMessage="1" sqref="G64:I64" xr:uid="{E286D32A-36A3-4A6E-AAF6-1D5A2F6FE303}">
      <formula1>$AD$64:$AD$65</formula1>
    </dataValidation>
    <dataValidation type="list" allowBlank="1" showInputMessage="1" showErrorMessage="1" sqref="G46:I46" xr:uid="{421B46A2-60D4-4FF6-907F-0C66AA7CE09C}">
      <formula1>$AD$46:$AD$47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M43 I43 I41 R43 P76 P70 P68 U76" xr:uid="{5F64D768-D42E-4C58-9BB3-9FD8C3E14FE3}">
      <formula1>$B$38:$B$39</formula1>
    </dataValidation>
    <dataValidation type="list" allowBlank="1" showInputMessage="1" showErrorMessage="1" sqref="I36:I37 U81 P58:P59 U58:U59 P50:P53 P81" xr:uid="{84E51EE9-DF19-47A4-A27D-BE04D7958004}">
      <formula1>$A$38:$A$39</formula1>
    </dataValidation>
  </dataValidations>
  <printOptions horizontalCentered="1" verticalCentered="1"/>
  <pageMargins left="0.25" right="0.25" top="0.1" bottom="0.1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180</xdr:row>
                    <xdr:rowOff>57150</xdr:rowOff>
                  </from>
                  <to>
                    <xdr:col>7</xdr:col>
                    <xdr:colOff>361950</xdr:colOff>
                    <xdr:row>181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O104"/>
  <sheetViews>
    <sheetView tabSelected="1" topLeftCell="A61" zoomScale="90" zoomScaleNormal="90" workbookViewId="0">
      <selection activeCell="S12" sqref="S12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61" customWidth="1"/>
    <col min="4" max="4" width="9.140625" style="61" customWidth="1"/>
    <col min="5" max="5" width="6.85546875" style="300" customWidth="1"/>
    <col min="6" max="6" width="8.28515625" style="205" customWidth="1"/>
    <col min="7" max="7" width="7.85546875" style="61" customWidth="1"/>
    <col min="8" max="10" width="8.140625" style="16" customWidth="1"/>
    <col min="11" max="11" width="10.42578125" style="16" customWidth="1"/>
    <col min="12" max="12" width="9.85546875" style="16" customWidth="1"/>
    <col min="13" max="13" width="8.140625" style="207" customWidth="1"/>
    <col min="14" max="14" width="9.28515625" style="16" customWidth="1"/>
    <col min="15" max="15" width="8" style="16" customWidth="1"/>
    <col min="16" max="18" width="9.28515625" style="16" customWidth="1"/>
    <col min="19" max="19" width="10.5703125" style="16" customWidth="1"/>
    <col min="20" max="20" width="11" style="16" customWidth="1"/>
    <col min="21" max="22" width="7.140625" style="16" customWidth="1"/>
    <col min="23" max="23" width="8" style="195" customWidth="1"/>
    <col min="24" max="24" width="11.28515625" style="195" customWidth="1"/>
    <col min="25" max="25" width="11.7109375" style="195" customWidth="1"/>
    <col min="26" max="26" width="12.42578125" style="195" customWidth="1"/>
    <col min="27" max="27" width="13" style="207" customWidth="1"/>
    <col min="28" max="28" width="11.28515625" style="251" customWidth="1" outlineLevel="1"/>
    <col min="29" max="29" width="15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1:66" customFormat="1" ht="11.25" customHeight="1">
      <c r="B1" s="16"/>
      <c r="C1" s="375" t="s">
        <v>143</v>
      </c>
      <c r="D1" s="375"/>
      <c r="E1" s="375"/>
      <c r="F1" s="375"/>
      <c r="G1" s="362" t="s">
        <v>144</v>
      </c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Z1" s="195"/>
      <c r="AA1" s="207"/>
      <c r="AB1" s="251"/>
      <c r="BN1" s="24"/>
    </row>
    <row r="2" spans="1:66" customFormat="1" ht="11.25" customHeight="1">
      <c r="B2" s="16"/>
      <c r="C2" s="375"/>
      <c r="D2" s="375"/>
      <c r="E2" s="375"/>
      <c r="F2" s="375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195"/>
      <c r="AA2" s="207"/>
      <c r="AB2" s="251"/>
      <c r="BN2" s="24"/>
    </row>
    <row r="3" spans="1:66" customFormat="1" ht="11.25" customHeight="1">
      <c r="B3" s="16"/>
      <c r="C3" s="375"/>
      <c r="D3" s="375"/>
      <c r="E3" s="375"/>
      <c r="F3" s="375"/>
      <c r="G3" s="371" t="s">
        <v>148</v>
      </c>
      <c r="H3" s="371"/>
      <c r="I3" s="371"/>
      <c r="J3" s="373" t="s">
        <v>147</v>
      </c>
      <c r="K3" s="373"/>
      <c r="L3" s="373"/>
      <c r="M3" s="207"/>
      <c r="N3" s="16"/>
      <c r="O3" s="16"/>
      <c r="P3" s="16"/>
      <c r="Q3" s="16"/>
      <c r="R3" s="16"/>
      <c r="S3" s="16"/>
      <c r="T3" s="16"/>
      <c r="U3" s="16"/>
      <c r="V3" s="16"/>
      <c r="W3" s="195"/>
      <c r="X3" s="195"/>
      <c r="Y3" s="195"/>
      <c r="Z3" s="195"/>
      <c r="AA3" s="207"/>
      <c r="AB3" s="251"/>
      <c r="BN3" s="24"/>
    </row>
    <row r="4" spans="1:66" customFormat="1" ht="11.25" customHeight="1">
      <c r="B4" s="16"/>
      <c r="C4" s="375"/>
      <c r="D4" s="375"/>
      <c r="E4" s="375"/>
      <c r="F4" s="375"/>
      <c r="G4" s="372"/>
      <c r="H4" s="372"/>
      <c r="I4" s="372"/>
      <c r="J4" s="374"/>
      <c r="K4" s="374"/>
      <c r="L4" s="374"/>
      <c r="M4" s="207"/>
      <c r="N4" s="16"/>
      <c r="O4" s="16" t="s">
        <v>40</v>
      </c>
      <c r="P4" s="16" t="s">
        <v>207</v>
      </c>
      <c r="Q4" s="16"/>
      <c r="R4" s="16"/>
      <c r="S4" s="16"/>
      <c r="T4" s="16"/>
      <c r="U4" s="16"/>
      <c r="V4" s="16"/>
      <c r="W4" s="195"/>
      <c r="X4" s="195"/>
      <c r="Y4" s="195"/>
      <c r="Z4" s="195"/>
      <c r="AA4" s="207"/>
      <c r="AB4" s="251"/>
      <c r="BN4" s="24"/>
    </row>
    <row r="5" spans="1:66" ht="17.25" customHeight="1" thickBot="1"/>
    <row r="6" spans="1:66" customFormat="1" ht="17.25" customHeight="1" thickBot="1">
      <c r="B6" s="25" t="s">
        <v>0</v>
      </c>
      <c r="C6" s="26"/>
      <c r="D6" s="26"/>
      <c r="E6" s="301" t="str">
        <f>dateDecimale2txt(dateConvert2Decimal(E7),0)</f>
        <v>2024/09/30</v>
      </c>
      <c r="F6" s="107"/>
      <c r="G6" s="108"/>
      <c r="H6" s="109"/>
      <c r="I6" s="107"/>
      <c r="J6" s="107"/>
      <c r="K6" s="107"/>
      <c r="L6" s="26"/>
      <c r="M6" s="219"/>
      <c r="N6" s="26" t="s">
        <v>353</v>
      </c>
      <c r="O6" s="26"/>
      <c r="P6" s="26"/>
      <c r="Q6" s="26"/>
      <c r="R6" s="26"/>
      <c r="S6" s="26" t="s">
        <v>354</v>
      </c>
      <c r="T6" s="326">
        <f>dateConvert2Decimal(E7)</f>
        <v>1727654400</v>
      </c>
      <c r="U6" s="326"/>
      <c r="V6" s="326"/>
      <c r="W6" s="26" t="s">
        <v>355</v>
      </c>
      <c r="X6" s="569">
        <f>(T6/86400)+DATE(1970,1,1)</f>
        <v>45565</v>
      </c>
      <c r="Y6" s="569"/>
      <c r="Z6" s="26" t="s">
        <v>356</v>
      </c>
      <c r="AA6" s="260">
        <f>INT(MONTH(X6))</f>
        <v>9</v>
      </c>
      <c r="AB6" s="251"/>
      <c r="BN6" s="24"/>
    </row>
    <row r="7" spans="1:66" customFormat="1" ht="17.25" customHeight="1">
      <c r="B7" s="16"/>
      <c r="C7" s="363" t="s">
        <v>1</v>
      </c>
      <c r="D7" s="364"/>
      <c r="E7" s="540" t="s">
        <v>430</v>
      </c>
      <c r="F7" s="541"/>
      <c r="G7" s="541"/>
      <c r="H7" s="61"/>
      <c r="I7" s="16"/>
      <c r="J7" s="16"/>
      <c r="K7" s="16"/>
      <c r="L7" s="16"/>
      <c r="M7" s="207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251"/>
      <c r="BN7" s="24"/>
    </row>
    <row r="8" spans="1:66" customFormat="1" ht="17.25" customHeight="1" thickBot="1">
      <c r="B8" s="16"/>
      <c r="C8" s="14"/>
      <c r="D8" s="14"/>
      <c r="E8" s="302"/>
      <c r="F8" s="212"/>
      <c r="G8" s="14"/>
      <c r="H8" s="14"/>
      <c r="I8" s="14"/>
      <c r="J8" s="14"/>
      <c r="K8" s="14"/>
      <c r="L8" s="14"/>
      <c r="M8" s="221"/>
      <c r="N8" s="14"/>
      <c r="O8" s="14"/>
      <c r="P8" s="14"/>
      <c r="Q8" s="14"/>
      <c r="R8" s="14"/>
      <c r="S8" s="14"/>
      <c r="T8" s="14"/>
      <c r="U8" s="14"/>
      <c r="V8" s="14"/>
      <c r="W8" s="214"/>
      <c r="X8" s="214"/>
      <c r="Y8" s="214"/>
      <c r="Z8" s="195"/>
      <c r="AA8" s="207"/>
      <c r="AB8" s="251"/>
      <c r="BN8" s="24"/>
    </row>
    <row r="9" spans="1:66" customFormat="1" ht="17.25" customHeight="1" thickBot="1">
      <c r="B9" s="25" t="s">
        <v>17</v>
      </c>
      <c r="C9" s="26"/>
      <c r="D9" s="26"/>
      <c r="E9" s="303"/>
      <c r="F9" s="213"/>
      <c r="G9" s="26"/>
      <c r="H9" s="26"/>
      <c r="I9" s="26"/>
      <c r="J9" s="26"/>
      <c r="K9" s="26"/>
      <c r="L9" s="26"/>
      <c r="M9" s="219"/>
      <c r="N9" s="26"/>
      <c r="O9" s="26"/>
      <c r="P9" s="26"/>
      <c r="Q9" s="26"/>
      <c r="R9" s="26"/>
      <c r="S9" s="26"/>
      <c r="T9" s="26"/>
      <c r="U9" s="26"/>
      <c r="V9" s="26"/>
      <c r="W9" s="215"/>
      <c r="X9" s="215"/>
      <c r="Y9" s="215"/>
      <c r="Z9" s="215"/>
      <c r="AA9" s="219"/>
      <c r="AB9" s="252"/>
      <c r="BN9" s="24"/>
    </row>
    <row r="10" spans="1:66" ht="17.25" customHeight="1">
      <c r="C10" s="14"/>
      <c r="D10" s="14"/>
      <c r="E10" s="632" t="s">
        <v>7</v>
      </c>
      <c r="F10" s="632"/>
      <c r="G10" s="632"/>
      <c r="H10" s="632"/>
      <c r="I10" s="14"/>
      <c r="J10" s="14"/>
      <c r="K10" s="14"/>
      <c r="L10" s="14"/>
      <c r="M10" s="221"/>
      <c r="N10" s="14"/>
      <c r="O10" s="14"/>
      <c r="P10" s="14"/>
      <c r="Q10" s="14"/>
      <c r="R10" s="14"/>
      <c r="S10" s="14"/>
      <c r="T10" s="14"/>
      <c r="U10" s="14"/>
      <c r="V10" s="14"/>
    </row>
    <row r="11" spans="1:66" ht="17.25" customHeight="1" thickBot="1">
      <c r="C11" s="14"/>
      <c r="D11" s="14"/>
      <c r="E11" s="632"/>
      <c r="F11" s="632"/>
      <c r="G11" s="632"/>
      <c r="H11" s="632"/>
      <c r="I11" s="14"/>
      <c r="J11" s="14" t="s">
        <v>140</v>
      </c>
      <c r="K11" s="14"/>
      <c r="L11" s="14" t="s">
        <v>141</v>
      </c>
      <c r="M11" s="221"/>
      <c r="N11" s="14"/>
      <c r="O11" s="14"/>
      <c r="P11" s="14"/>
      <c r="Q11" s="14"/>
      <c r="R11" s="14"/>
      <c r="S11" s="14"/>
      <c r="T11" s="14"/>
      <c r="U11" s="14"/>
      <c r="V11" s="14"/>
    </row>
    <row r="12" spans="1:66" ht="17.25" customHeight="1" thickTop="1" thickBot="1">
      <c r="A12" s="626" t="s">
        <v>34</v>
      </c>
      <c r="B12" s="627"/>
      <c r="C12" s="628"/>
      <c r="D12" s="14"/>
      <c r="E12" s="302"/>
      <c r="F12" s="871">
        <f>AD12*angleConvert2Decimal(I12)</f>
        <v>5.0999999999999996</v>
      </c>
      <c r="G12" s="872"/>
      <c r="H12" s="218" t="s">
        <v>3</v>
      </c>
      <c r="I12" s="217" t="s">
        <v>431</v>
      </c>
      <c r="J12" s="876" t="str">
        <f>angleDecimal2Txt(F12)</f>
        <v>+05°06.00 (+05.0999) [+05°06'00.00]</v>
      </c>
      <c r="K12" s="877"/>
      <c r="L12" s="877"/>
      <c r="M12" s="349"/>
      <c r="N12"/>
      <c r="O12"/>
      <c r="P12"/>
      <c r="Q12"/>
      <c r="R12"/>
      <c r="S12"/>
      <c r="T12"/>
      <c r="U12"/>
      <c r="V12"/>
      <c r="W12"/>
      <c r="X12"/>
      <c r="Y12" s="214"/>
      <c r="Z12" s="214"/>
      <c r="AC12" s="3" t="s">
        <v>179</v>
      </c>
      <c r="AD12" s="3">
        <f>VLOOKUP(H12,$A$13:$C$14,3)</f>
        <v>1</v>
      </c>
      <c r="AG12" s="16"/>
      <c r="AH12" s="16"/>
      <c r="BN12" s="31"/>
    </row>
    <row r="13" spans="1:66" ht="17.25" customHeight="1">
      <c r="A13" s="17" t="s">
        <v>3</v>
      </c>
      <c r="B13" s="32" t="s">
        <v>5</v>
      </c>
      <c r="C13" s="18">
        <v>1</v>
      </c>
      <c r="D13" s="14"/>
      <c r="E13" s="302"/>
      <c r="F13" s="212"/>
      <c r="G13" s="14"/>
      <c r="H13" s="14"/>
      <c r="BN13" s="31"/>
    </row>
    <row r="14" spans="1:66" ht="17.25" customHeight="1" thickBot="1">
      <c r="A14" s="19" t="s">
        <v>4</v>
      </c>
      <c r="B14" s="20" t="s">
        <v>6</v>
      </c>
      <c r="C14" s="21">
        <v>-1</v>
      </c>
      <c r="D14" s="14"/>
      <c r="E14" s="526" t="s">
        <v>8</v>
      </c>
      <c r="F14" s="526"/>
      <c r="G14" s="526"/>
      <c r="H14" s="526"/>
      <c r="I14" s="14"/>
      <c r="J14" s="14"/>
      <c r="K14" s="14"/>
      <c r="L14" s="14"/>
      <c r="M14" s="221"/>
      <c r="N14" s="14"/>
      <c r="O14" s="14"/>
      <c r="P14" s="14"/>
      <c r="Q14" s="14"/>
      <c r="R14" s="14"/>
      <c r="S14" s="14"/>
      <c r="T14" s="14"/>
      <c r="U14" s="14"/>
      <c r="V14" s="14"/>
      <c r="BN14" s="31"/>
    </row>
    <row r="15" spans="1:66" ht="17.25" customHeight="1" thickBot="1">
      <c r="C15" s="14"/>
      <c r="D15" s="14"/>
      <c r="E15" s="526"/>
      <c r="F15" s="526"/>
      <c r="G15" s="526"/>
      <c r="H15" s="526"/>
      <c r="I15" s="14"/>
      <c r="J15" s="14" t="s">
        <v>140</v>
      </c>
      <c r="K15" s="14"/>
      <c r="L15" s="14" t="s">
        <v>149</v>
      </c>
      <c r="M15" s="221"/>
      <c r="N15" s="14"/>
      <c r="O15" s="14"/>
      <c r="P15" s="14"/>
      <c r="Q15" s="14"/>
      <c r="R15" s="14"/>
      <c r="S15" s="14"/>
      <c r="T15" s="14"/>
      <c r="U15" s="14"/>
      <c r="V15" s="14"/>
      <c r="BN15" s="31"/>
    </row>
    <row r="16" spans="1:66" ht="17.25" customHeight="1" thickTop="1" thickBot="1">
      <c r="B16" s="14"/>
      <c r="C16" s="14"/>
      <c r="D16" s="14"/>
      <c r="E16" s="302"/>
      <c r="F16" s="871">
        <f>AD16*angleConvert2Decimal(I16)</f>
        <v>-12.85</v>
      </c>
      <c r="G16" s="872"/>
      <c r="H16" s="218" t="s">
        <v>6</v>
      </c>
      <c r="I16" s="217" t="s">
        <v>432</v>
      </c>
      <c r="J16" s="876" t="str">
        <f>angleDecimal2Txt(F16)</f>
        <v>-12°51.00 (-12.8499) [-12°51'00.00]</v>
      </c>
      <c r="K16" s="877"/>
      <c r="L16" s="877"/>
      <c r="M16" s="349"/>
      <c r="N16"/>
      <c r="O16"/>
      <c r="P16"/>
      <c r="Q16"/>
      <c r="R16"/>
      <c r="S16"/>
      <c r="T16"/>
      <c r="U16"/>
      <c r="V16"/>
      <c r="W16"/>
      <c r="X16"/>
      <c r="Y16" s="214"/>
      <c r="Z16" s="214"/>
      <c r="AC16" s="3" t="s">
        <v>181</v>
      </c>
      <c r="AD16" s="3">
        <f>VLOOKUP(H16,B13:C14,2)</f>
        <v>-1</v>
      </c>
    </row>
    <row r="17" spans="1:67" ht="17.25" customHeight="1" thickTop="1" thickBot="1">
      <c r="C17" s="14"/>
      <c r="D17" s="14"/>
      <c r="E17" s="302"/>
      <c r="F17" s="212"/>
      <c r="G17" s="14"/>
      <c r="H17" s="14"/>
      <c r="I17" s="14"/>
      <c r="J17" s="14"/>
      <c r="K17" s="14"/>
      <c r="L17" s="14"/>
      <c r="M17" s="221"/>
      <c r="N17" s="14"/>
      <c r="O17" s="14"/>
      <c r="P17" s="14"/>
      <c r="Q17" s="14"/>
      <c r="R17" s="14"/>
      <c r="S17" s="14"/>
      <c r="T17" s="14"/>
      <c r="U17" s="14"/>
      <c r="V17" s="14"/>
      <c r="W17" s="214"/>
      <c r="X17" s="214"/>
      <c r="Y17" s="214"/>
      <c r="Z17" s="214"/>
    </row>
    <row r="18" spans="1:67" customFormat="1" ht="17.25" customHeight="1" thickBot="1">
      <c r="B18" s="25" t="s">
        <v>384</v>
      </c>
      <c r="C18" s="26"/>
      <c r="D18" s="26"/>
      <c r="E18" s="303"/>
      <c r="F18" s="213"/>
      <c r="G18" s="26"/>
      <c r="H18" s="26"/>
      <c r="I18" s="26"/>
      <c r="J18" s="26"/>
      <c r="K18" s="26"/>
      <c r="L18" s="26"/>
      <c r="M18" s="219"/>
      <c r="N18" s="26"/>
      <c r="O18" s="26"/>
      <c r="P18" s="26"/>
      <c r="Q18" s="26"/>
      <c r="R18" s="26"/>
      <c r="S18" s="26"/>
      <c r="T18" s="26"/>
      <c r="U18" s="26"/>
      <c r="V18" s="26"/>
      <c r="W18" s="215"/>
      <c r="X18" s="215"/>
      <c r="Y18" s="215"/>
      <c r="Z18" s="215"/>
      <c r="AA18" s="219"/>
      <c r="AB18" s="252"/>
      <c r="BN18" s="24"/>
    </row>
    <row r="19" spans="1:67" customFormat="1" ht="18" customHeight="1" thickBot="1">
      <c r="B19" s="16"/>
      <c r="C19" s="622" t="s">
        <v>19</v>
      </c>
      <c r="D19" s="622"/>
      <c r="E19" s="622"/>
      <c r="F19" s="622"/>
      <c r="G19" s="622"/>
      <c r="H19" s="622"/>
      <c r="I19" s="622"/>
      <c r="J19" s="199"/>
      <c r="K19" s="197">
        <f>0.0293 * SQRT(M19)</f>
        <v>0.15504102682838503</v>
      </c>
      <c r="L19" s="198" t="s">
        <v>28</v>
      </c>
      <c r="M19" s="492">
        <v>28</v>
      </c>
      <c r="N19" s="492"/>
      <c r="O19" s="492"/>
      <c r="P19" s="14"/>
      <c r="Q19" s="14"/>
      <c r="R19" s="14"/>
      <c r="S19" s="14"/>
      <c r="T19" s="14"/>
      <c r="U19" s="14"/>
      <c r="V19" s="14"/>
      <c r="W19" s="214"/>
      <c r="X19" s="214"/>
      <c r="Y19" s="214"/>
      <c r="Z19" s="195"/>
      <c r="AA19" s="207"/>
      <c r="AB19" s="251"/>
      <c r="BN19" s="24"/>
    </row>
    <row r="20" spans="1:67" customFormat="1" ht="18" customHeight="1" thickTop="1" thickBot="1">
      <c r="B20" s="14"/>
      <c r="C20" s="873" t="s">
        <v>20</v>
      </c>
      <c r="D20" s="874"/>
      <c r="E20" s="874"/>
      <c r="F20" s="874"/>
      <c r="G20" s="874"/>
      <c r="H20" s="874"/>
      <c r="I20" s="875"/>
      <c r="J20" s="200" cm="1">
        <f t="array" ref="J20">angleConvert2Decimal(M20)</f>
        <v>1.6666666666666666E-2</v>
      </c>
      <c r="K20" s="201" t="s">
        <v>28</v>
      </c>
      <c r="L20" s="277" t="s">
        <v>434</v>
      </c>
      <c r="M20" s="491" t="s">
        <v>433</v>
      </c>
      <c r="N20" s="492"/>
      <c r="O20" s="492"/>
      <c r="P20" s="327" t="str" cm="1">
        <f t="array" ref="P20">angleDecimal2Txt(J20)</f>
        <v>+00°01.00 (+00.0166) [+00°01'00.00]</v>
      </c>
      <c r="Q20" s="327"/>
      <c r="R20" s="327"/>
      <c r="S20" s="327"/>
      <c r="T20" s="327"/>
      <c r="U20" s="327"/>
      <c r="V20" s="327"/>
      <c r="W20" s="327"/>
      <c r="X20" s="327"/>
      <c r="Y20" s="214"/>
      <c r="Z20" s="195"/>
      <c r="AA20" s="207"/>
      <c r="AB20" s="251"/>
      <c r="BN20" s="24"/>
    </row>
    <row r="21" spans="1:67" ht="17.25" customHeight="1" thickTop="1"/>
    <row r="22" spans="1:67" ht="17.25" customHeight="1" thickBot="1">
      <c r="A22" s="14"/>
      <c r="C22" s="14"/>
      <c r="D22"/>
      <c r="E22" s="304"/>
      <c r="F22" s="204"/>
      <c r="G22"/>
      <c r="H22"/>
      <c r="I22"/>
      <c r="J22"/>
      <c r="K22"/>
      <c r="L22"/>
      <c r="M22" s="208"/>
      <c r="N22"/>
      <c r="O22"/>
      <c r="P22"/>
      <c r="Q22"/>
    </row>
    <row r="23" spans="1:67" customFormat="1" ht="17.25" customHeight="1" thickBot="1">
      <c r="A23" s="33"/>
      <c r="B23" s="25" t="s">
        <v>385</v>
      </c>
      <c r="C23" s="26"/>
      <c r="D23" s="26"/>
      <c r="E23" s="303"/>
      <c r="F23" s="213"/>
      <c r="G23" s="26"/>
      <c r="H23" s="26"/>
      <c r="I23" s="26"/>
      <c r="J23" s="26"/>
      <c r="K23" s="26"/>
      <c r="L23" s="26"/>
      <c r="M23" s="219"/>
      <c r="N23" s="26"/>
      <c r="O23" s="26"/>
      <c r="P23" s="26"/>
      <c r="Q23" s="26"/>
      <c r="R23" s="26"/>
      <c r="S23" s="26"/>
      <c r="T23" s="26"/>
      <c r="U23" s="26"/>
      <c r="V23" s="26"/>
      <c r="W23" s="215"/>
      <c r="X23" s="215"/>
      <c r="Y23" s="215"/>
      <c r="Z23" s="215"/>
      <c r="AA23" s="219"/>
      <c r="AB23" s="253"/>
      <c r="BN23" s="24"/>
      <c r="BO23" s="16"/>
    </row>
    <row r="24" spans="1:67" customFormat="1" ht="17.25" customHeight="1">
      <c r="E24" s="304"/>
      <c r="F24" s="204"/>
      <c r="M24" s="208"/>
      <c r="W24" s="206"/>
      <c r="X24" s="206"/>
      <c r="Y24" s="206"/>
      <c r="Z24" s="206"/>
      <c r="AA24" s="208"/>
      <c r="AB24" s="318"/>
    </row>
    <row r="25" spans="1:67" customFormat="1" ht="13.5" customHeight="1">
      <c r="B25" s="870"/>
      <c r="C25" s="870"/>
      <c r="D25" s="866" t="s">
        <v>158</v>
      </c>
      <c r="E25" s="866" t="s">
        <v>391</v>
      </c>
      <c r="F25" s="866"/>
      <c r="G25" s="866"/>
      <c r="H25" s="866" t="s">
        <v>60</v>
      </c>
      <c r="I25" s="866"/>
      <c r="J25" s="869" t="s">
        <v>392</v>
      </c>
      <c r="K25" s="869"/>
      <c r="L25" s="870" t="s">
        <v>208</v>
      </c>
      <c r="M25" s="870"/>
      <c r="N25" s="866" t="s">
        <v>86</v>
      </c>
      <c r="O25" s="866"/>
      <c r="P25" s="16"/>
      <c r="Q25" s="878" t="s">
        <v>476</v>
      </c>
      <c r="R25" s="878"/>
      <c r="S25" s="878"/>
      <c r="T25" s="878"/>
      <c r="U25" s="16"/>
      <c r="V25" s="866" t="s">
        <v>477</v>
      </c>
      <c r="W25" s="866"/>
      <c r="X25" s="866"/>
      <c r="Y25" s="195"/>
      <c r="Z25" s="195"/>
      <c r="AA25" s="207"/>
      <c r="AB25" s="318"/>
    </row>
    <row r="26" spans="1:67" customFormat="1" ht="15.75" customHeight="1">
      <c r="B26" s="870"/>
      <c r="C26" s="870"/>
      <c r="D26" s="866"/>
      <c r="E26" s="866"/>
      <c r="F26" s="866"/>
      <c r="G26" s="866"/>
      <c r="H26" s="866"/>
      <c r="I26" s="866"/>
      <c r="J26" s="869" t="s">
        <v>403</v>
      </c>
      <c r="K26" s="869"/>
      <c r="L26" s="870"/>
      <c r="M26" s="870"/>
      <c r="N26" s="866"/>
      <c r="O26" s="866"/>
      <c r="P26" s="16"/>
      <c r="Q26" s="16"/>
      <c r="R26" s="202" t="s">
        <v>159</v>
      </c>
      <c r="S26" s="202" t="s">
        <v>17</v>
      </c>
      <c r="T26" s="202"/>
      <c r="U26" s="16"/>
      <c r="V26" s="866"/>
      <c r="W26" s="866"/>
      <c r="X26" s="866"/>
      <c r="Y26" s="195"/>
      <c r="Z26" s="195"/>
      <c r="AA26" s="207"/>
      <c r="AB26" s="318"/>
      <c r="AJ26" s="187"/>
      <c r="AK26" s="187"/>
      <c r="AL26" s="187"/>
      <c r="AM26" s="187"/>
      <c r="AN26" s="187"/>
      <c r="AO26" s="187"/>
      <c r="AP26" s="187"/>
      <c r="AQ26" s="187"/>
      <c r="AR26" s="187"/>
    </row>
    <row r="27" spans="1:67" customFormat="1" ht="26.25" customHeight="1">
      <c r="B27" s="293" t="s">
        <v>32</v>
      </c>
      <c r="C27" s="293" t="s">
        <v>435</v>
      </c>
      <c r="D27" s="294" t="str">
        <f>IF(B27=$AC$27,IF(ISNA(VLOOKUP(C27,$I$43:$I$44,1,FALSE)),"Mauvaise planete","OK"),"OK")</f>
        <v>OK</v>
      </c>
      <c r="E27" s="867" t="s">
        <v>439</v>
      </c>
      <c r="F27" s="868"/>
      <c r="G27" s="295">
        <f>heureConvert2Decimal(E27)</f>
        <v>5.8516666666666666</v>
      </c>
      <c r="H27" s="296" t="s">
        <v>444</v>
      </c>
      <c r="I27" s="1002">
        <f>angleConvert2Decimal(H27)</f>
        <v>62.353333333333332</v>
      </c>
      <c r="J27" s="1002">
        <f>I27-$J$20-$K$19</f>
        <v>62.181625639838281</v>
      </c>
      <c r="K27" s="297" t="str">
        <f>angleDecimal2Txt(J27,0)</f>
        <v>+62°10.89</v>
      </c>
      <c r="L27" s="296" t="s">
        <v>452</v>
      </c>
      <c r="M27" s="246">
        <f>angleConvert2Decimal(L27)</f>
        <v>258.44166666666666</v>
      </c>
      <c r="N27" s="296" t="s">
        <v>453</v>
      </c>
      <c r="O27" s="298">
        <f>angleConvert2Decimal(N27)</f>
        <v>-16.745000000000001</v>
      </c>
      <c r="P27" s="16"/>
      <c r="Q27" s="866" t="s">
        <v>386</v>
      </c>
      <c r="R27" s="284">
        <v>5</v>
      </c>
      <c r="S27" s="285" t="s">
        <v>449</v>
      </c>
      <c r="T27" s="286">
        <f>angleConvert2Decimal(S27)</f>
        <v>84.438333333333333</v>
      </c>
      <c r="U27" s="16"/>
      <c r="V27" s="864" t="s">
        <v>65</v>
      </c>
      <c r="W27" s="865"/>
      <c r="X27" s="290">
        <v>10</v>
      </c>
      <c r="Y27" s="195"/>
      <c r="Z27" s="195"/>
      <c r="AA27" s="207"/>
      <c r="AB27" s="318"/>
      <c r="AC27" s="210" t="s">
        <v>390</v>
      </c>
    </row>
    <row r="28" spans="1:67" customFormat="1" ht="26.25" customHeight="1">
      <c r="B28" s="13" t="s">
        <v>32</v>
      </c>
      <c r="C28" s="13" t="s">
        <v>436</v>
      </c>
      <c r="D28" s="294" t="str">
        <f>IF(B28=$AC$27,IF(ISNA(VLOOKUP(C28,$I$43:$I$44,1,FALSE)),"Mauvaise planete","OK"),"OK")</f>
        <v>OK</v>
      </c>
      <c r="E28" s="867" t="s">
        <v>440</v>
      </c>
      <c r="F28" s="868"/>
      <c r="G28" s="299">
        <f>heureConvert2Decimal(E28)</f>
        <v>5.9225000000000003</v>
      </c>
      <c r="H28" s="12" t="s">
        <v>445</v>
      </c>
      <c r="I28" s="1003">
        <f>angleConvert2Decimal(H28)</f>
        <v>60.494999999999997</v>
      </c>
      <c r="J28" s="1003">
        <f t="shared" ref="J28:J31" si="0">I28-$J$20-$K$19</f>
        <v>60.323292306504946</v>
      </c>
      <c r="K28" s="283" t="str">
        <f t="shared" ref="K28:K31" si="1">angleDecimal2Txt(J28,0)</f>
        <v>+60°19.39</v>
      </c>
      <c r="L28" s="12" t="s">
        <v>454</v>
      </c>
      <c r="M28" s="220">
        <f>angleConvert2Decimal(L28)</f>
        <v>244.85333333333332</v>
      </c>
      <c r="N28" s="12" t="s">
        <v>455</v>
      </c>
      <c r="O28" s="245">
        <f>angleConvert2Decimal(N28)</f>
        <v>5.1633333333333331</v>
      </c>
      <c r="P28" s="16"/>
      <c r="Q28" s="866"/>
      <c r="R28" s="287">
        <v>6</v>
      </c>
      <c r="S28" s="288" t="s">
        <v>450</v>
      </c>
      <c r="T28" s="289">
        <f>angleConvert2Decimal(S28)</f>
        <v>99.48</v>
      </c>
      <c r="U28" s="16"/>
      <c r="V28" s="292" t="s">
        <v>66</v>
      </c>
      <c r="W28" s="292"/>
      <c r="X28" s="291">
        <v>1010</v>
      </c>
      <c r="Y28" s="195"/>
      <c r="Z28" s="195"/>
      <c r="AA28" s="207"/>
      <c r="AB28" s="318"/>
      <c r="AC28" s="211" t="s">
        <v>32</v>
      </c>
    </row>
    <row r="29" spans="1:67" customFormat="1" ht="26.25" customHeight="1">
      <c r="B29" s="13" t="s">
        <v>32</v>
      </c>
      <c r="C29" s="13" t="s">
        <v>437</v>
      </c>
      <c r="D29" s="294" t="str">
        <f>IF(B29=$AC$27,IF(ISNA(VLOOKUP(C29,$I$43:$I$44,1,FALSE)),"Mauvaise planete","OK"),"OK")</f>
        <v>OK</v>
      </c>
      <c r="E29" s="867" t="s">
        <v>441</v>
      </c>
      <c r="F29" s="868"/>
      <c r="G29" s="299">
        <f>heureConvert2Decimal(E29)</f>
        <v>5.9677777777777781</v>
      </c>
      <c r="H29" s="12" t="s">
        <v>446</v>
      </c>
      <c r="I29" s="1003">
        <f>angleConvert2Decimal(H29)</f>
        <v>31.601666666666667</v>
      </c>
      <c r="J29" s="1003">
        <f t="shared" si="0"/>
        <v>31.429958973171615</v>
      </c>
      <c r="K29" s="283" t="str">
        <f t="shared" si="1"/>
        <v>+31°25.79</v>
      </c>
      <c r="L29" s="12" t="s">
        <v>456</v>
      </c>
      <c r="M29" s="220">
        <f>angleConvert2Decimal(L29)</f>
        <v>263.875</v>
      </c>
      <c r="N29" s="12" t="s">
        <v>457</v>
      </c>
      <c r="O29" s="245">
        <f>angleConvert2Decimal(N29)</f>
        <v>-52.701666666666668</v>
      </c>
      <c r="P29" s="16"/>
      <c r="Q29" s="866"/>
      <c r="R29" s="287">
        <v>7</v>
      </c>
      <c r="S29" s="288" t="s">
        <v>451</v>
      </c>
      <c r="T29" s="289">
        <f>angleConvert2Decimal(S29)</f>
        <v>114.52166666666666</v>
      </c>
      <c r="U29" s="16"/>
      <c r="V29" s="16"/>
      <c r="W29" s="195"/>
      <c r="X29" s="195"/>
      <c r="Y29" s="195"/>
      <c r="Z29" s="195"/>
      <c r="AA29" s="207"/>
      <c r="AB29" s="318"/>
    </row>
    <row r="30" spans="1:67" customFormat="1" ht="26.25" customHeight="1">
      <c r="B30" s="13" t="s">
        <v>32</v>
      </c>
      <c r="C30" s="13" t="s">
        <v>438</v>
      </c>
      <c r="D30" s="294" t="str">
        <f>IF(B30=$AC$27,IF(ISNA(VLOOKUP(C30,$I$43:$I$44,1,FALSE)),"Mauvaise planete","OK"),"OK")</f>
        <v>OK</v>
      </c>
      <c r="E30" s="867" t="s">
        <v>442</v>
      </c>
      <c r="F30" s="868"/>
      <c r="G30" s="299">
        <f>heureConvert2Decimal(E30)</f>
        <v>6.0138888888888893</v>
      </c>
      <c r="H30" s="12" t="s">
        <v>447</v>
      </c>
      <c r="I30" s="1003">
        <f>angleConvert2Decimal(H30)</f>
        <v>48.94</v>
      </c>
      <c r="J30" s="1003">
        <f t="shared" si="0"/>
        <v>48.768292306504947</v>
      </c>
      <c r="K30" s="283" t="str">
        <f t="shared" si="1"/>
        <v>+48°46.09</v>
      </c>
      <c r="L30" s="12" t="s">
        <v>458</v>
      </c>
      <c r="M30" s="220">
        <f>angleConvert2Decimal(L30)</f>
        <v>280.36833333333334</v>
      </c>
      <c r="N30" s="12" t="s">
        <v>459</v>
      </c>
      <c r="O30" s="245">
        <f>angleConvert2Decimal(N30)</f>
        <v>46.021666666666668</v>
      </c>
      <c r="P30" s="16"/>
      <c r="Q30" s="16"/>
      <c r="R30" s="16" t="s">
        <v>159</v>
      </c>
      <c r="S30" s="16" t="s">
        <v>17</v>
      </c>
      <c r="T30" s="16" t="s">
        <v>113</v>
      </c>
      <c r="U30" s="16"/>
      <c r="V30" s="16"/>
      <c r="W30" s="195"/>
      <c r="X30" s="195"/>
      <c r="Y30" s="195"/>
      <c r="Z30" s="195"/>
      <c r="AA30" s="207"/>
      <c r="AB30" s="318"/>
      <c r="AH30" t="s">
        <v>462</v>
      </c>
      <c r="AI30" s="16"/>
      <c r="AJ30" s="16"/>
      <c r="AK30" s="16"/>
      <c r="AL30" s="16"/>
      <c r="AM30" s="16"/>
      <c r="AN30" s="16"/>
      <c r="AO30" s="16"/>
    </row>
    <row r="31" spans="1:67" customFormat="1" ht="26.25" customHeight="1">
      <c r="B31" s="13" t="s">
        <v>390</v>
      </c>
      <c r="C31" s="13" t="s">
        <v>398</v>
      </c>
      <c r="D31" s="294" t="str">
        <f>IF(B31=$AC$27,IF(ISNA(VLOOKUP(C31,$I$43:$I$44,1,FALSE)),"Mauvaise planete","OK"),"OK")</f>
        <v>OK</v>
      </c>
      <c r="E31" s="867" t="s">
        <v>443</v>
      </c>
      <c r="F31" s="868"/>
      <c r="G31" s="299">
        <f>heureConvert2Decimal(E31)</f>
        <v>6.0986111111111105</v>
      </c>
      <c r="H31" s="12" t="s">
        <v>448</v>
      </c>
      <c r="I31" s="1003">
        <f>angleConvert2Decimal(H31)</f>
        <v>33.505000000000003</v>
      </c>
      <c r="J31" s="1003">
        <f t="shared" si="0"/>
        <v>33.333292306504951</v>
      </c>
      <c r="K31" s="283" t="str">
        <f t="shared" si="1"/>
        <v>+33°19.99</v>
      </c>
      <c r="L31" s="12" t="s">
        <v>460</v>
      </c>
      <c r="M31" s="220">
        <f>angleConvert2Decimal(L31)</f>
        <v>327.85333333333335</v>
      </c>
      <c r="N31" s="12" t="s">
        <v>461</v>
      </c>
      <c r="O31" s="245">
        <f>angleConvert2Decimal(N31)</f>
        <v>23.58</v>
      </c>
      <c r="P31" s="16"/>
      <c r="Q31" s="202" t="s">
        <v>386</v>
      </c>
      <c r="R31" s="287">
        <v>0</v>
      </c>
      <c r="S31" s="288" t="s">
        <v>393</v>
      </c>
      <c r="T31" s="287" t="s">
        <v>418</v>
      </c>
      <c r="U31" s="16"/>
      <c r="V31" s="16"/>
      <c r="W31" s="195"/>
      <c r="X31" s="195"/>
      <c r="Y31" s="195"/>
      <c r="Z31" s="195"/>
      <c r="AA31" s="207"/>
      <c r="AB31" s="318"/>
      <c r="AK31" s="230" t="s">
        <v>154</v>
      </c>
      <c r="AL31" s="231"/>
      <c r="AM31" s="231"/>
      <c r="AN31" s="230" t="s">
        <v>155</v>
      </c>
      <c r="AO31" s="231"/>
      <c r="AP31" s="232"/>
    </row>
    <row r="32" spans="1:67" customFormat="1" ht="14.25" customHeight="1">
      <c r="E32" s="304"/>
      <c r="F32" s="204"/>
      <c r="I32" s="16"/>
      <c r="J32" s="16"/>
      <c r="K32" s="16"/>
      <c r="L32" s="16"/>
      <c r="M32" s="207"/>
      <c r="N32" s="16"/>
      <c r="O32" s="16"/>
      <c r="P32" s="16"/>
      <c r="U32" s="16"/>
      <c r="V32" s="16"/>
      <c r="W32" s="195"/>
      <c r="X32" s="195"/>
      <c r="Y32" s="195"/>
      <c r="Z32" s="195"/>
      <c r="AA32" s="207"/>
      <c r="AB32" s="318"/>
      <c r="AK32" s="233"/>
      <c r="AL32" s="234" t="s">
        <v>126</v>
      </c>
      <c r="AM32" s="235" t="s">
        <v>127</v>
      </c>
      <c r="AN32" s="233"/>
      <c r="AO32" s="234" t="s">
        <v>126</v>
      </c>
      <c r="AP32" s="235" t="s">
        <v>128</v>
      </c>
    </row>
    <row r="33" spans="1:67" customFormat="1" ht="12.75" customHeight="1">
      <c r="C33" s="15"/>
      <c r="D33" s="15"/>
      <c r="E33" s="1027" t="s">
        <v>394</v>
      </c>
      <c r="F33" s="1027"/>
      <c r="G33" s="1028" t="s">
        <v>395</v>
      </c>
      <c r="H33" s="1028" t="s">
        <v>396</v>
      </c>
      <c r="I33" s="1028"/>
      <c r="J33" s="1028"/>
      <c r="K33" s="269" t="s">
        <v>99</v>
      </c>
      <c r="L33" s="269" t="s">
        <v>99</v>
      </c>
      <c r="M33" s="858" t="s">
        <v>109</v>
      </c>
      <c r="N33" s="858"/>
      <c r="O33" s="860" t="s">
        <v>386</v>
      </c>
      <c r="P33" s="860"/>
      <c r="Q33" s="860"/>
      <c r="R33" s="860"/>
      <c r="S33" s="860"/>
      <c r="T33" s="860"/>
      <c r="U33" s="863" t="s">
        <v>387</v>
      </c>
      <c r="V33" s="863" t="s">
        <v>516</v>
      </c>
      <c r="W33" s="863" t="s">
        <v>43</v>
      </c>
      <c r="X33" s="863" t="s">
        <v>238</v>
      </c>
      <c r="Y33" s="863"/>
      <c r="Z33" s="861" t="s">
        <v>388</v>
      </c>
      <c r="AA33" s="861" t="s">
        <v>389</v>
      </c>
      <c r="AB33" s="242" t="s">
        <v>416</v>
      </c>
      <c r="AC33" s="861" t="s">
        <v>97</v>
      </c>
      <c r="AE33" s="222" t="s">
        <v>411</v>
      </c>
      <c r="AF33" s="222"/>
      <c r="AG33" s="222"/>
      <c r="AH33" s="222"/>
      <c r="AI33" s="222"/>
      <c r="AJ33" s="226" t="s">
        <v>413</v>
      </c>
      <c r="AK33" s="227"/>
      <c r="AL33" s="227"/>
      <c r="AM33" s="236"/>
      <c r="AN33" s="237" t="s">
        <v>91</v>
      </c>
      <c r="AP33" s="236"/>
      <c r="AQ33" s="237" t="s">
        <v>92</v>
      </c>
      <c r="AR33" s="237"/>
    </row>
    <row r="34" spans="1:67" customFormat="1" ht="22.5" customHeight="1">
      <c r="C34" s="15"/>
      <c r="D34" s="15"/>
      <c r="E34" s="1027"/>
      <c r="F34" s="1027"/>
      <c r="G34" s="1028"/>
      <c r="H34" s="999" t="s">
        <v>100</v>
      </c>
      <c r="I34" s="999" t="s">
        <v>404</v>
      </c>
      <c r="J34" s="999" t="s">
        <v>195</v>
      </c>
      <c r="K34" s="270" t="s">
        <v>421</v>
      </c>
      <c r="L34" s="273" t="s">
        <v>427</v>
      </c>
      <c r="M34" s="858"/>
      <c r="N34" s="858"/>
      <c r="O34" s="216" t="s">
        <v>405</v>
      </c>
      <c r="P34" s="216" t="s">
        <v>406</v>
      </c>
      <c r="Q34" s="216" t="s">
        <v>407</v>
      </c>
      <c r="R34" s="216" t="s">
        <v>420</v>
      </c>
      <c r="S34" s="1000" t="s">
        <v>419</v>
      </c>
      <c r="T34" s="282" t="s">
        <v>478</v>
      </c>
      <c r="U34" s="863"/>
      <c r="V34" s="863"/>
      <c r="W34" s="863"/>
      <c r="X34" s="863"/>
      <c r="Y34" s="863"/>
      <c r="Z34" s="861"/>
      <c r="AA34" s="861"/>
      <c r="AB34" s="243" t="s">
        <v>417</v>
      </c>
      <c r="AC34" s="861"/>
      <c r="AD34" s="193" t="s">
        <v>408</v>
      </c>
      <c r="AE34" s="193" t="s">
        <v>409</v>
      </c>
      <c r="AF34" s="194" t="s">
        <v>410</v>
      </c>
      <c r="AG34" s="223"/>
      <c r="AH34" s="224" t="s">
        <v>238</v>
      </c>
      <c r="AI34" s="61" t="s">
        <v>463</v>
      </c>
      <c r="AJ34" s="228"/>
      <c r="AK34" s="229" t="s">
        <v>96</v>
      </c>
      <c r="AL34" s="185" t="s">
        <v>414</v>
      </c>
      <c r="AM34" s="238" t="s">
        <v>415</v>
      </c>
      <c r="AN34" s="238" t="s">
        <v>97</v>
      </c>
      <c r="AR34" s="16"/>
    </row>
    <row r="35" spans="1:67" customFormat="1" ht="17.25" customHeight="1">
      <c r="C35" s="202" t="str">
        <f t="shared" ref="C35:D39" si="2">B27</f>
        <v>Etoile</v>
      </c>
      <c r="D35" s="202" t="str">
        <f t="shared" si="2"/>
        <v>Sirius</v>
      </c>
      <c r="E35" s="1029">
        <f>IF(B27=$AC$27,IF(ISNA(VLOOKUP(C27,$I$43:$I$44,1,FALSE)),0,VLOOKUP(C27,$I$43:$J$44,2,FALSE)),0)</f>
        <v>0</v>
      </c>
      <c r="F35" s="1030">
        <f>angleConvert2Decimal(E35)</f>
        <v>0</v>
      </c>
      <c r="G35" s="1030">
        <f>ASIN(SIN(F35*Outils!$F$4)*COS(J27*Outils!$F$4))*Outils!$F$5</f>
        <v>0</v>
      </c>
      <c r="H35" s="1031">
        <f>0.28*$X$28/(273+$X$27)</f>
        <v>0.99929328621908131</v>
      </c>
      <c r="I35" s="1032">
        <f>(1/TAN(Outils!$F$4*(J27+7.31/(J27+4.4))))/60</f>
        <v>8.7533812352563641E-3</v>
      </c>
      <c r="J35" s="1032">
        <f>I35*$H$35</f>
        <v>8.7471951001077738E-3</v>
      </c>
      <c r="K35" s="271" t="str">
        <f>angleDecimal2Txt(G35-$K$19-J35,0)</f>
        <v>-00°09.82</v>
      </c>
      <c r="L35" s="274" t="str">
        <f>angleDecimal2Txt(AI44,0)</f>
        <v>+00°00.00</v>
      </c>
      <c r="M35" s="275">
        <f>J27-F35+G35-J35+angleConvert2Decimal(L35)</f>
        <v>62.172878444738174</v>
      </c>
      <c r="N35" s="276" t="str">
        <f>angleDecimal2Txt(M35,0)</f>
        <v>+62°10.37</v>
      </c>
      <c r="O35" s="245">
        <f>INT(G27)</f>
        <v>5</v>
      </c>
      <c r="P35" s="245">
        <f>VLOOKUP($O35,$R$27:$T$29,3,FALSE)</f>
        <v>84.438333333333333</v>
      </c>
      <c r="Q35" s="245">
        <f>VLOOKUP(1+$O35,$R$27:$T$29,3,FALSE)</f>
        <v>99.48</v>
      </c>
      <c r="R35" s="249">
        <f>P35+(Q35-P35)*(G27-O35)</f>
        <v>97.24881944444445</v>
      </c>
      <c r="S35" s="1001">
        <f>angleConvert2Decimal($S$31)+angleConvert2Decimal($T$31)*(G27-$R$31)</f>
        <v>183.39644505555555</v>
      </c>
      <c r="T35" s="250">
        <f>R35</f>
        <v>97.24881944444445</v>
      </c>
      <c r="U35" s="246">
        <f>$F$16+R35</f>
        <v>84.398819444444456</v>
      </c>
      <c r="V35" s="246">
        <f>IF(T35+M27&gt;360,T35+M27-360,IF(T35+M27&lt;0,T35+M27+360,T35+M27))</f>
        <v>355.69048611111111</v>
      </c>
      <c r="W35" s="246">
        <f>IF(U35+M27&gt;360,U35+M27-360,U35+M27)</f>
        <v>342.84048611111109</v>
      </c>
      <c r="X35" s="220">
        <f>AH35</f>
        <v>62.342378248487947</v>
      </c>
      <c r="Y35" s="229" t="str">
        <f>angleDecimal2Txt(X35,0)</f>
        <v>+62°20.54</v>
      </c>
      <c r="Z35" s="247">
        <f>60*(M35-X35)</f>
        <v>-10.169988224986355</v>
      </c>
      <c r="AA35" s="240" t="str">
        <f>IF(Z35&gt;0,"Vers Pg", "Oppose de Pg")</f>
        <v>Oppose de Pg</v>
      </c>
      <c r="AB35" s="241" t="str" cm="1">
        <f t="array" ref="AB35">CONCATENATE(TEXT(O27,"#,00")," / ",TEXT(longitudeHoraire2longitude(V35),"#,00"))</f>
        <v>-17 / 04</v>
      </c>
      <c r="AC35" s="248">
        <f>AN35</f>
        <v>124.49930793252736</v>
      </c>
      <c r="AD35" s="193">
        <f>Outils!$F$4 * O27</f>
        <v>-0.29225538324645051</v>
      </c>
      <c r="AE35" s="193">
        <f>Outils!$F$4 * $F$12</f>
        <v>8.9011791851710806E-2</v>
      </c>
      <c r="AF35" s="193">
        <f>Outils!$F$4 * W35</f>
        <v>5.9836952917767787</v>
      </c>
      <c r="AG35" s="225">
        <f>SIN(AD35)*SIN(AE35)+COS(AD35)*COS(AE35)*COS(AF35)</f>
        <v>0.88573719929365613</v>
      </c>
      <c r="AH35" s="224">
        <f>ASIN(AG35)*Outils!$F$5</f>
        <v>62.342378248487947</v>
      </c>
      <c r="AI35" s="61">
        <f>SIGN(O27*$F$16)</f>
        <v>1</v>
      </c>
      <c r="AJ35" s="16">
        <f>(SIN(AD35)-SIN(AE35)*SIN(AG35))/(COS(AE35)*COS(AG35))</f>
        <v>-0.56639628238192008</v>
      </c>
      <c r="AK35" s="229">
        <f>ACOS(AJ35)*Outils!$F$5</f>
        <v>124.49930793252736</v>
      </c>
      <c r="AL35" s="859" t="b">
        <f>$F$12&gt;0</f>
        <v>1</v>
      </c>
      <c r="AM35" s="239" t="b">
        <f>AF35&gt;PI()</f>
        <v>1</v>
      </c>
      <c r="AN35" s="239">
        <f>IF($AL$35,IF(AM35,AK35,360-AK35),IF(AL35,180-AK35,180+AK35))</f>
        <v>124.49930793252736</v>
      </c>
      <c r="AO35">
        <f>180+AN35</f>
        <v>304.49930793252736</v>
      </c>
    </row>
    <row r="36" spans="1:67" customFormat="1" ht="17.25" customHeight="1" collapsed="1">
      <c r="C36" s="202" t="str">
        <f t="shared" si="2"/>
        <v>Etoile</v>
      </c>
      <c r="D36" s="202" t="str">
        <f t="shared" si="2"/>
        <v>Procyon</v>
      </c>
      <c r="E36" s="1033">
        <f>IF(B28=$AC$27,IF(ISNA(VLOOKUP(C28,$I$43:$I$44,1,FALSE)),0,VLOOKUP(C28,$I$43:$J$44,2,FALSE)),0)</f>
        <v>0</v>
      </c>
      <c r="F36" s="1030">
        <f t="shared" ref="F36:F39" si="3">angleConvert2Decimal(E36)</f>
        <v>0</v>
      </c>
      <c r="G36" s="1030">
        <f>ASIN(SIN(F36*Outils!$F$4)*COS(J28*Outils!$F$4))*Outils!$F$5</f>
        <v>0</v>
      </c>
      <c r="H36" s="1034"/>
      <c r="I36" s="1032">
        <f>(1/TAN(Outils!$F$4*(J28+7.31/(J28+4.4))))/60</f>
        <v>9.4540477125991777E-3</v>
      </c>
      <c r="J36" s="1032">
        <f>I36*$H$35</f>
        <v>9.4473664067952212E-3</v>
      </c>
      <c r="K36" s="271" t="str">
        <f>angleDecimal2Txt(G36-$K$19-J36,0)</f>
        <v>-00°09.86</v>
      </c>
      <c r="L36" s="274" t="str">
        <f>angleDecimal2Txt(AI45,0)</f>
        <v>+00°00.00</v>
      </c>
      <c r="M36" s="275">
        <f t="shared" ref="M36:M39" si="4">J28-F36+G36-J36+angleConvert2Decimal(L36)</f>
        <v>60.31384494009815</v>
      </c>
      <c r="N36" s="276" t="str">
        <f t="shared" ref="N36:N39" si="5">angleDecimal2Txt(M36,0)</f>
        <v>+60°18.83</v>
      </c>
      <c r="O36" s="245">
        <f>INT(G28)</f>
        <v>5</v>
      </c>
      <c r="P36" s="245">
        <f t="shared" ref="P36:P39" si="6">VLOOKUP($O36,$R$27:$T$29,3,FALSE)</f>
        <v>84.438333333333333</v>
      </c>
      <c r="Q36" s="245">
        <f t="shared" ref="Q36:Q39" si="7">VLOOKUP(1+$O36,$R$27:$T$29,3,FALSE)</f>
        <v>99.48</v>
      </c>
      <c r="R36" s="249">
        <f>P36+(Q36-P36)*(G28-O36)</f>
        <v>98.314270833333339</v>
      </c>
      <c r="S36" s="1001">
        <f>angleConvert2Decimal($S$31)+angleConvert2Decimal($T$31)*(G28-$R$31)</f>
        <v>183.41415574999999</v>
      </c>
      <c r="T36" s="250">
        <f>R36</f>
        <v>98.314270833333339</v>
      </c>
      <c r="U36" s="220">
        <f>$F$16+R36</f>
        <v>85.464270833333345</v>
      </c>
      <c r="V36" s="246">
        <f t="shared" ref="V36:V39" si="8">IF(T36+M28&gt;360,T36+M28-360,IF(T36+M28&lt;0,T36+M28+360,T36+M28))</f>
        <v>343.16760416666665</v>
      </c>
      <c r="W36" s="246">
        <f>IF(U36+M28&gt;360,U36+M28-360,U36+M28)</f>
        <v>330.31760416666668</v>
      </c>
      <c r="X36" s="220">
        <f>AH36</f>
        <v>60.439228533284705</v>
      </c>
      <c r="Y36" s="229" t="str">
        <f t="shared" ref="Y36:Y39" si="9">angleDecimal2Txt(X36,0)</f>
        <v>+60°26.35</v>
      </c>
      <c r="Z36" s="247">
        <f>60*(M36-X36)</f>
        <v>-7.5230155911933139</v>
      </c>
      <c r="AA36" s="240" t="str">
        <f>IF(Z36&gt;0,"Vers Pg", "Oppose de Pg")</f>
        <v>Oppose de Pg</v>
      </c>
      <c r="AB36" s="241" t="str" cm="1">
        <f t="array" ref="AB36">CONCATENATE(TEXT(O28,"#,00")," / ",TEXT(longitudeHoraire2longitude(V36),"#,00"))</f>
        <v>05 / 17</v>
      </c>
      <c r="AC36" s="248">
        <f>AN36</f>
        <v>88.032050219632879</v>
      </c>
      <c r="AD36" s="193">
        <f>Outils!$F$4 * O28</f>
        <v>9.0117167044640539E-2</v>
      </c>
      <c r="AE36" s="193">
        <f>Outils!$F$4 * $F$12</f>
        <v>8.9011791851710806E-2</v>
      </c>
      <c r="AF36" s="193">
        <f>Outils!$F$4 * W36</f>
        <v>5.7651297700076736</v>
      </c>
      <c r="AG36" s="225">
        <f t="shared" ref="AG36:AG39" si="10">SIN(AD36)*SIN(AE36)+COS(AD36)*COS(AE36)*COS(AF36)</f>
        <v>0.86983291141151298</v>
      </c>
      <c r="AH36" s="224">
        <f>ASIN(AG36)*Outils!$F$5</f>
        <v>60.439228533284705</v>
      </c>
      <c r="AI36" s="61">
        <f>SIGN(O28*$F$16)</f>
        <v>-1</v>
      </c>
      <c r="AJ36" s="16">
        <f t="shared" ref="AJ36:AJ39" si="11">(SIN(AD36)-SIN(AE36)*SIN(AG36))/(COS(AE36)*COS(AG36))</f>
        <v>3.4340450173222112E-2</v>
      </c>
      <c r="AK36" s="229">
        <f>ACOS(AJ36)*Outils!$F$5</f>
        <v>88.032050219632879</v>
      </c>
      <c r="AL36" s="859"/>
      <c r="AM36" s="239" t="b">
        <f t="shared" ref="AM36:AM39" si="12">AF36&gt;PI()</f>
        <v>1</v>
      </c>
      <c r="AN36" s="239">
        <f>IF($AL$35,IF(AM36,AK36,360-AK36),IF(AL36,180-AK36,180+AK36))</f>
        <v>88.032050219632879</v>
      </c>
      <c r="AZ36" s="16"/>
      <c r="BA36" s="16"/>
      <c r="BB36" s="16"/>
      <c r="BC36" s="16"/>
      <c r="BD36" s="16"/>
    </row>
    <row r="37" spans="1:67" customFormat="1" ht="17.25" customHeight="1">
      <c r="C37" s="202" t="str">
        <f t="shared" si="2"/>
        <v>Etoile</v>
      </c>
      <c r="D37" s="202" t="str">
        <f t="shared" si="2"/>
        <v>Canopus</v>
      </c>
      <c r="E37" s="1033">
        <f>IF(B29=$AC$27,IF(ISNA(VLOOKUP(C29,$I$43:$I$44,1,FALSE)),0,VLOOKUP(C29,$I$43:$J$44,2,FALSE)),0)</f>
        <v>0</v>
      </c>
      <c r="F37" s="1030">
        <f t="shared" si="3"/>
        <v>0</v>
      </c>
      <c r="G37" s="1030">
        <f>ASIN(SIN(F37*Outils!$F$4)*COS(J29*Outils!$F$4))*Outils!$F$5</f>
        <v>0</v>
      </c>
      <c r="H37" s="1034"/>
      <c r="I37" s="1032">
        <f>(1/TAN(Outils!$F$4*(J29+7.31/(J29+4.4))))/60</f>
        <v>2.7055315956055811E-2</v>
      </c>
      <c r="J37" s="1032">
        <f>I37*$H$35</f>
        <v>2.7036195591422556E-2</v>
      </c>
      <c r="K37" s="271" t="str">
        <f>angleDecimal2Txt(G37-$K$19-J37,0)</f>
        <v>-00°10.92</v>
      </c>
      <c r="L37" s="274" t="str">
        <f>angleDecimal2Txt(AI46,0)</f>
        <v>+00°00.00</v>
      </c>
      <c r="M37" s="275">
        <f t="shared" si="4"/>
        <v>31.402922777580194</v>
      </c>
      <c r="N37" s="276" t="str">
        <f t="shared" si="5"/>
        <v>+31°24.17</v>
      </c>
      <c r="O37" s="245">
        <f>INT(G29)</f>
        <v>5</v>
      </c>
      <c r="P37" s="245">
        <f t="shared" si="6"/>
        <v>84.438333333333333</v>
      </c>
      <c r="Q37" s="245">
        <f t="shared" si="7"/>
        <v>99.48</v>
      </c>
      <c r="R37" s="249">
        <f>P37+(Q37-P37)*(G29-O37)</f>
        <v>98.995324074074077</v>
      </c>
      <c r="S37" s="1001">
        <f>angleConvert2Decimal($S$31)+angleConvert2Decimal($T$31)*(G29-$R$31)</f>
        <v>183.42547670370371</v>
      </c>
      <c r="T37" s="250">
        <f>R37</f>
        <v>98.995324074074077</v>
      </c>
      <c r="U37" s="220">
        <f>$F$16+R37</f>
        <v>86.145324074074082</v>
      </c>
      <c r="V37" s="246">
        <f t="shared" si="8"/>
        <v>2.8703240740740625</v>
      </c>
      <c r="W37" s="246">
        <f>IF(U37+M29&gt;360,U37+M29-360,U37+M29)</f>
        <v>350.0203240740741</v>
      </c>
      <c r="X37" s="220">
        <f>AH37</f>
        <v>31.582065319587482</v>
      </c>
      <c r="Y37" s="229" t="str">
        <f t="shared" si="9"/>
        <v>+31°34.92</v>
      </c>
      <c r="Z37" s="247">
        <f>60*(M37-X37)</f>
        <v>-10.748552520437258</v>
      </c>
      <c r="AA37" s="240" t="str">
        <f>IF(Z37&gt;0,"Vers Pg", "Oppose de Pg")</f>
        <v>Oppose de Pg</v>
      </c>
      <c r="AB37" s="241" t="str" cm="1">
        <f t="array" ref="AB37">CONCATENATE(TEXT(O29,"#,00")," / ",TEXT(longitudeHoraire2longitude(V37),"#,00"))</f>
        <v>-53 / -03</v>
      </c>
      <c r="AC37" s="248">
        <f>AN37</f>
        <v>166.85826343454016</v>
      </c>
      <c r="AD37" s="193">
        <f>Outils!$F$4 * O29</f>
        <v>-0.91981760462187823</v>
      </c>
      <c r="AE37" s="193">
        <f>Outils!$F$4 * $F$12</f>
        <v>8.9011791851710806E-2</v>
      </c>
      <c r="AF37" s="193">
        <f>Outils!$F$4 * W37</f>
        <v>6.1090071039901659</v>
      </c>
      <c r="AG37" s="225">
        <f t="shared" si="10"/>
        <v>0.52371927340054036</v>
      </c>
      <c r="AH37" s="224">
        <f>ASIN(AG37)*Outils!$F$5</f>
        <v>31.582065319587482</v>
      </c>
      <c r="AI37" s="61">
        <f>SIGN(O29*$F$16)</f>
        <v>1</v>
      </c>
      <c r="AJ37" s="16">
        <f t="shared" si="11"/>
        <v>-0.97381060689691712</v>
      </c>
      <c r="AK37" s="229">
        <f>ACOS(AJ37)*Outils!$F$5</f>
        <v>166.85826343454016</v>
      </c>
      <c r="AL37" s="859"/>
      <c r="AM37" s="239" t="b">
        <f t="shared" si="12"/>
        <v>1</v>
      </c>
      <c r="AN37" s="239">
        <f>IF($AL$35,IF(AM37,AK37,360-AK37),IF(AL37,180-AK37,180+AK37))</f>
        <v>166.85826343454016</v>
      </c>
      <c r="AZ37" s="16"/>
      <c r="BA37" s="16"/>
      <c r="BB37" s="16"/>
      <c r="BC37" s="16"/>
      <c r="BD37" s="16"/>
    </row>
    <row r="38" spans="1:67" customFormat="1" ht="17.25" customHeight="1">
      <c r="C38" s="202" t="str">
        <f t="shared" si="2"/>
        <v>Etoile</v>
      </c>
      <c r="D38" s="202" t="str">
        <f t="shared" si="2"/>
        <v>Capella</v>
      </c>
      <c r="E38" s="1033">
        <f>IF(B30=$AC$27,IF(ISNA(VLOOKUP(C30,$I$43:$I$44,1,FALSE)),0,VLOOKUP(C30,$I$43:$J$44,2,FALSE)),0)</f>
        <v>0</v>
      </c>
      <c r="F38" s="1030">
        <f t="shared" si="3"/>
        <v>0</v>
      </c>
      <c r="G38" s="1030">
        <f>ASIN(SIN(F38*Outils!$F$4)*COS(J30*Outils!$F$4))*Outils!$F$5</f>
        <v>0</v>
      </c>
      <c r="H38" s="1034"/>
      <c r="I38" s="1032">
        <f>(1/TAN(Outils!$F$4*(J30+7.31/(J30+4.4))))/60</f>
        <v>1.4536299300846002E-2</v>
      </c>
      <c r="J38" s="1032">
        <f>I38*$H$35</f>
        <v>1.4526026297806536E-2</v>
      </c>
      <c r="K38" s="271" t="str">
        <f>angleDecimal2Txt(G38-$K$19-J38,0)</f>
        <v>-00°10.17</v>
      </c>
      <c r="L38" s="274" t="str">
        <f>angleDecimal2Txt(AI47,0)</f>
        <v>+00°00.00</v>
      </c>
      <c r="M38" s="275">
        <f t="shared" si="4"/>
        <v>48.753766280207138</v>
      </c>
      <c r="N38" s="276" t="str">
        <f t="shared" si="5"/>
        <v>+48°45.22</v>
      </c>
      <c r="O38" s="245">
        <f>INT(G30)</f>
        <v>6</v>
      </c>
      <c r="P38" s="245">
        <f t="shared" si="6"/>
        <v>99.48</v>
      </c>
      <c r="Q38" s="245">
        <f t="shared" si="7"/>
        <v>114.52166666666666</v>
      </c>
      <c r="R38" s="249">
        <f>P38+(Q38-P38)*(G30-O38)</f>
        <v>99.688912037037042</v>
      </c>
      <c r="S38" s="1001">
        <f>angleConvert2Decimal($S$31)+angleConvert2Decimal($T$31)*(G30-$R$31)</f>
        <v>183.43700601851853</v>
      </c>
      <c r="T38" s="250">
        <f>R38</f>
        <v>99.688912037037042</v>
      </c>
      <c r="U38" s="220">
        <f>$F$16+R38</f>
        <v>86.838912037037048</v>
      </c>
      <c r="V38" s="246">
        <f t="shared" si="8"/>
        <v>20.057245370370367</v>
      </c>
      <c r="W38" s="246">
        <f>IF(U38+M30&gt;360,U38+M30-360,U38+M30)</f>
        <v>7.2072453703704014</v>
      </c>
      <c r="X38" s="220">
        <f>AH38</f>
        <v>48.602600852584409</v>
      </c>
      <c r="Y38" s="229" t="str">
        <f t="shared" si="9"/>
        <v>+48°36.15</v>
      </c>
      <c r="Z38" s="247">
        <f>60*(M38-X38)</f>
        <v>9.0699256573637399</v>
      </c>
      <c r="AA38" s="240" t="str">
        <f>IF(Z38&gt;0,"Vers Pg", "Oppose de Pg")</f>
        <v>Vers Pg</v>
      </c>
      <c r="AB38" s="241" t="str" cm="1">
        <f t="array" ref="AB38">CONCATENATE(TEXT(O30,"#,00")," / ",TEXT(longitudeHoraire2longitude(V38),"#,00"))</f>
        <v>46 / -20</v>
      </c>
      <c r="AC38" s="248">
        <f>AN38</f>
        <v>334.7364163358946</v>
      </c>
      <c r="AD38" s="193">
        <f>Outils!$F$4 * O30</f>
        <v>0.80322961058865705</v>
      </c>
      <c r="AE38" s="193">
        <f>Outils!$F$4 * $F$12</f>
        <v>8.9011791851710806E-2</v>
      </c>
      <c r="AF38" s="193">
        <f>Outils!$F$4 * W38</f>
        <v>0.12579016171208168</v>
      </c>
      <c r="AG38" s="225">
        <f t="shared" si="10"/>
        <v>0.75014108807873581</v>
      </c>
      <c r="AH38" s="224">
        <f>ASIN(AG38)*Outils!$F$5</f>
        <v>48.602600852584409</v>
      </c>
      <c r="AI38" s="61">
        <f>SIGN(O30*$F$16)</f>
        <v>-1</v>
      </c>
      <c r="AJ38" s="16">
        <f t="shared" si="11"/>
        <v>0.90435398926391075</v>
      </c>
      <c r="AK38" s="229">
        <f>ACOS(AJ38)*Outils!$F$5</f>
        <v>25.26358366410539</v>
      </c>
      <c r="AL38" s="859"/>
      <c r="AM38" s="239" t="b">
        <f t="shared" si="12"/>
        <v>0</v>
      </c>
      <c r="AN38" s="239">
        <f>IF($AL$35,IF(AM38,AK38,360-AK38),IF(AL38,180-AK38,180+AK38))</f>
        <v>334.7364163358946</v>
      </c>
      <c r="AZ38" s="16"/>
      <c r="BA38" s="16"/>
      <c r="BB38" s="16"/>
      <c r="BC38" s="16"/>
      <c r="BD38" s="16"/>
    </row>
    <row r="39" spans="1:67" customFormat="1" ht="17.25" customHeight="1">
      <c r="C39" s="202" t="str">
        <f t="shared" si="2"/>
        <v>Planete</v>
      </c>
      <c r="D39" s="202" t="str">
        <f t="shared" si="2"/>
        <v>Venus</v>
      </c>
      <c r="E39" s="1033" t="str">
        <f>IF(B31=$AC$27,IF(ISNA(VLOOKUP(C31,$I$43:$I$44,1,FALSE)),0,VLOOKUP(C31,$I$43:$J$44,2,FALSE)),0)</f>
        <v>0,1'</v>
      </c>
      <c r="F39" s="1030">
        <f t="shared" si="3"/>
        <v>1.6666666666666668E-3</v>
      </c>
      <c r="G39" s="1030">
        <f>ASIN(SIN(F39*Outils!$F$4)*COS(J31*Outils!$F$4))*Outils!$F$5</f>
        <v>1.3924803414247103E-3</v>
      </c>
      <c r="H39" s="1035"/>
      <c r="I39" s="1032">
        <f>(1/TAN(Outils!$F$4*(J31+7.31/(J31+4.4))))/60</f>
        <v>2.5154803757695122E-2</v>
      </c>
      <c r="J39" s="1032">
        <f>I39*$H$35</f>
        <v>2.5137026511223255E-2</v>
      </c>
      <c r="K39" s="271" t="str">
        <f>angleDecimal2Txt(G39-$K$19-J39,0)</f>
        <v>-00°10.72</v>
      </c>
      <c r="L39" s="274" t="str">
        <f>angleDecimal2Txt(AI48,0)</f>
        <v>+00°00.30</v>
      </c>
      <c r="M39" s="275">
        <f t="shared" si="4"/>
        <v>33.312881093668487</v>
      </c>
      <c r="N39" s="276" t="str">
        <f t="shared" si="5"/>
        <v>+33°18.77</v>
      </c>
      <c r="O39" s="245">
        <f>INT(G31)</f>
        <v>6</v>
      </c>
      <c r="P39" s="245">
        <f t="shared" si="6"/>
        <v>99.48</v>
      </c>
      <c r="Q39" s="245">
        <f t="shared" si="7"/>
        <v>114.52166666666666</v>
      </c>
      <c r="R39" s="249">
        <f>P39+(Q39-P39)*(G31-O39)</f>
        <v>100.96327546296295</v>
      </c>
      <c r="S39" s="1001">
        <f>angleConvert2Decimal($S$31)+angleConvert2Decimal($T$31)*(G31-$R$31)</f>
        <v>183.45818939814816</v>
      </c>
      <c r="T39" s="250">
        <f>R39</f>
        <v>100.96327546296295</v>
      </c>
      <c r="U39" s="220">
        <f>$F$16+R39</f>
        <v>88.11327546296296</v>
      </c>
      <c r="V39" s="246">
        <f t="shared" si="8"/>
        <v>68.816608796296293</v>
      </c>
      <c r="W39" s="246">
        <f>IF(U39+M31&gt;360,U39+M31-360,U39+M31)</f>
        <v>55.966608796296327</v>
      </c>
      <c r="X39" s="220">
        <f>AH39</f>
        <v>33.125447160393762</v>
      </c>
      <c r="Y39" s="229" t="str">
        <f t="shared" si="9"/>
        <v>+33°07.52</v>
      </c>
      <c r="Z39" s="247">
        <f>60*(M39-X39)</f>
        <v>11.246035996483528</v>
      </c>
      <c r="AA39" s="240" t="str">
        <f>IF(Z39&gt;0,"Vers Pg", "Oppose de Pg")</f>
        <v>Vers Pg</v>
      </c>
      <c r="AB39" s="241" t="str" cm="1">
        <f t="array" ref="AB39">CONCATENATE(TEXT(O31,"#,00")," / ",TEXT(longitudeHoraire2longitude(V39),"#,00"))</f>
        <v>24 / -69</v>
      </c>
      <c r="AC39" s="248">
        <f>AN39</f>
        <v>294.56935862256734</v>
      </c>
      <c r="AD39" s="193">
        <f>Outils!$F$4 * O31</f>
        <v>0.41154863762026289</v>
      </c>
      <c r="AE39" s="193">
        <f>Outils!$F$4 * $F$12</f>
        <v>8.9011791851710806E-2</v>
      </c>
      <c r="AF39" s="193">
        <f>Outils!$F$4 * W39</f>
        <v>0.97680159467099137</v>
      </c>
      <c r="AG39" s="225">
        <f t="shared" si="10"/>
        <v>0.54647396879580057</v>
      </c>
      <c r="AH39" s="224">
        <f>ASIN(AG39)*Outils!$F$5</f>
        <v>33.125447160393762</v>
      </c>
      <c r="AI39" s="61">
        <f>SIGN(O31*$F$16)</f>
        <v>-1</v>
      </c>
      <c r="AJ39" s="16">
        <f t="shared" si="11"/>
        <v>0.41579447971775407</v>
      </c>
      <c r="AK39" s="229">
        <f>ACOS(AJ39)*Outils!$F$5</f>
        <v>65.430641377432664</v>
      </c>
      <c r="AL39" s="859"/>
      <c r="AM39" s="239" t="b">
        <f t="shared" si="12"/>
        <v>0</v>
      </c>
      <c r="AN39" s="239">
        <f>IF($AL$35,IF(AM39,AK39,360-AK39),IF(AL39,180-AK39,180+AK39))</f>
        <v>294.56935862256734</v>
      </c>
      <c r="AS39" s="16"/>
      <c r="AZ39" s="14"/>
      <c r="BA39" s="14"/>
      <c r="BB39" s="14"/>
      <c r="BC39" s="14"/>
      <c r="BD39" s="14"/>
    </row>
    <row r="40" spans="1:67" customFormat="1" ht="17.25" customHeight="1">
      <c r="A40" s="16"/>
      <c r="B40" s="16"/>
      <c r="C40" s="61"/>
      <c r="D40" s="61"/>
      <c r="E40" s="300"/>
      <c r="F40" s="205"/>
      <c r="G40" s="61"/>
      <c r="H40" s="16"/>
      <c r="I40" s="16"/>
      <c r="J40" s="16"/>
      <c r="K40" s="16"/>
      <c r="L40" s="16"/>
      <c r="M40" s="207"/>
      <c r="N40" s="16"/>
      <c r="O40" s="16"/>
      <c r="P40" s="16"/>
      <c r="Q40" s="16"/>
      <c r="R40" s="16"/>
      <c r="S40" s="16"/>
      <c r="T40" s="16"/>
      <c r="U40" s="16"/>
      <c r="V40" s="16"/>
      <c r="W40" s="195"/>
      <c r="X40" s="214"/>
      <c r="Y40" s="195"/>
      <c r="Z40" s="195"/>
      <c r="AA40" s="207"/>
      <c r="AB40" s="251"/>
      <c r="AQ40" s="16"/>
      <c r="AX40" s="14"/>
      <c r="AY40" s="14"/>
      <c r="AZ40" s="14"/>
      <c r="BA40" s="14"/>
      <c r="BB40" s="14"/>
      <c r="BN40" s="24"/>
      <c r="BO40" s="16"/>
    </row>
    <row r="41" spans="1:67" customFormat="1" ht="17.25" customHeight="1">
      <c r="A41" s="16"/>
      <c r="B41" s="16"/>
      <c r="C41" s="61"/>
      <c r="D41" s="61"/>
      <c r="E41" s="300"/>
      <c r="F41" s="205"/>
      <c r="G41" s="61"/>
      <c r="H41" s="16"/>
      <c r="I41" s="16"/>
      <c r="J41" s="16"/>
      <c r="K41" s="16"/>
      <c r="L41" s="16"/>
      <c r="M41" s="398" t="s">
        <v>426</v>
      </c>
      <c r="N41" s="398"/>
      <c r="O41" s="398"/>
      <c r="P41" s="398"/>
      <c r="Q41" s="398"/>
      <c r="R41" s="398"/>
      <c r="S41" s="398"/>
      <c r="T41" s="398"/>
      <c r="U41" s="398"/>
      <c r="V41" s="398"/>
      <c r="W41" s="398"/>
      <c r="X41" s="398"/>
      <c r="Y41" s="398"/>
      <c r="Z41" s="195"/>
      <c r="AA41" s="207"/>
      <c r="AB41" s="251"/>
      <c r="AC41" s="16" t="s">
        <v>428</v>
      </c>
      <c r="AD41" s="16"/>
      <c r="AE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N41" s="24"/>
      <c r="BO41" s="16"/>
    </row>
    <row r="42" spans="1:67" customFormat="1" ht="17.25" customHeight="1">
      <c r="A42" s="16"/>
      <c r="B42" s="16"/>
      <c r="C42" s="61"/>
      <c r="D42" s="61"/>
      <c r="E42" s="300"/>
      <c r="F42" s="205"/>
      <c r="G42" s="61"/>
      <c r="H42" s="16"/>
      <c r="I42" s="207"/>
      <c r="J42" s="208" t="s">
        <v>401</v>
      </c>
      <c r="K42" s="208" t="s">
        <v>402</v>
      </c>
      <c r="L42" s="16"/>
      <c r="M42" s="209" t="s">
        <v>109</v>
      </c>
      <c r="N42" s="255">
        <v>1</v>
      </c>
      <c r="O42" s="255">
        <f>N42+1</f>
        <v>2</v>
      </c>
      <c r="P42" s="255">
        <f t="shared" ref="P42:V42" si="13">O42+1</f>
        <v>3</v>
      </c>
      <c r="Q42" s="255">
        <f t="shared" si="13"/>
        <v>4</v>
      </c>
      <c r="R42" s="255">
        <f t="shared" si="13"/>
        <v>5</v>
      </c>
      <c r="S42" s="255">
        <f t="shared" si="13"/>
        <v>6</v>
      </c>
      <c r="T42" s="255">
        <f t="shared" si="13"/>
        <v>7</v>
      </c>
      <c r="U42" s="255">
        <f t="shared" si="13"/>
        <v>8</v>
      </c>
      <c r="V42" s="255">
        <f t="shared" si="13"/>
        <v>9</v>
      </c>
      <c r="W42" s="255">
        <f>V42+1</f>
        <v>10</v>
      </c>
      <c r="X42" s="255">
        <f>W42+1</f>
        <v>11</v>
      </c>
      <c r="Y42" s="255">
        <f>X42+1</f>
        <v>12</v>
      </c>
      <c r="Z42" s="195"/>
      <c r="AA42" s="207"/>
      <c r="AB42" s="251"/>
      <c r="AD42" s="196" t="s">
        <v>109</v>
      </c>
      <c r="AE42" s="254">
        <f>AA6</f>
        <v>9</v>
      </c>
      <c r="BB42" s="16"/>
      <c r="BN42" s="24"/>
      <c r="BO42" s="16"/>
    </row>
    <row r="43" spans="1:67" customFormat="1" ht="17.25" customHeight="1">
      <c r="A43" s="16"/>
      <c r="B43" s="16"/>
      <c r="C43" s="61"/>
      <c r="D43" s="61"/>
      <c r="E43" s="300"/>
      <c r="F43" s="205"/>
      <c r="G43" s="61"/>
      <c r="H43" s="16"/>
      <c r="I43" s="265" t="s">
        <v>397</v>
      </c>
      <c r="J43" s="266" t="s">
        <v>399</v>
      </c>
      <c r="K43" s="267">
        <f>angleConvert2Decimal(J43)</f>
        <v>5.0000000000000001E-3</v>
      </c>
      <c r="L43" s="862" t="str">
        <f>I43</f>
        <v>Mars</v>
      </c>
      <c r="M43" s="272">
        <v>40</v>
      </c>
      <c r="N43" s="257" t="s">
        <v>422</v>
      </c>
      <c r="O43" s="257" t="s">
        <v>422</v>
      </c>
      <c r="P43" s="257" t="s">
        <v>422</v>
      </c>
      <c r="Q43" s="257" t="s">
        <v>422</v>
      </c>
      <c r="R43" s="257" t="s">
        <v>422</v>
      </c>
      <c r="S43" s="257" t="s">
        <v>422</v>
      </c>
      <c r="T43" s="257" t="s">
        <v>422</v>
      </c>
      <c r="U43" s="257" t="s">
        <v>422</v>
      </c>
      <c r="V43" s="257" t="s">
        <v>422</v>
      </c>
      <c r="W43" s="257" t="s">
        <v>423</v>
      </c>
      <c r="X43" s="257" t="s">
        <v>423</v>
      </c>
      <c r="Y43" s="257" t="s">
        <v>423</v>
      </c>
      <c r="Z43" s="195"/>
      <c r="AA43" s="207"/>
      <c r="AB43" s="251"/>
      <c r="AC43" s="856" t="str">
        <f>I43</f>
        <v>Mars</v>
      </c>
      <c r="AD43" s="256">
        <v>0</v>
      </c>
      <c r="AE43" s="257" t="str">
        <f>AE44</f>
        <v>0°0,1'</v>
      </c>
      <c r="AF43" s="203" t="s">
        <v>392</v>
      </c>
      <c r="AG43" s="203" t="s">
        <v>397</v>
      </c>
      <c r="AH43" s="203" t="s">
        <v>398</v>
      </c>
      <c r="AI43" s="203" t="s">
        <v>429</v>
      </c>
      <c r="BB43" s="16"/>
      <c r="BN43" s="24"/>
      <c r="BO43" s="16"/>
    </row>
    <row r="44" spans="1:67" customFormat="1" ht="17.25" customHeight="1">
      <c r="A44" s="16"/>
      <c r="B44" s="16"/>
      <c r="C44" s="61"/>
      <c r="D44" s="61"/>
      <c r="E44" s="300"/>
      <c r="F44" s="205"/>
      <c r="G44" s="61"/>
      <c r="H44" s="16"/>
      <c r="I44" s="262" t="s">
        <v>398</v>
      </c>
      <c r="J44" s="263" t="s">
        <v>400</v>
      </c>
      <c r="K44" s="264">
        <f>angleConvert2Decimal(J44)</f>
        <v>1.6666666666666668E-3</v>
      </c>
      <c r="L44" s="862"/>
      <c r="M44" s="272">
        <v>60</v>
      </c>
      <c r="N44" s="257" t="s">
        <v>422</v>
      </c>
      <c r="O44" s="257" t="s">
        <v>422</v>
      </c>
      <c r="P44" s="257" t="s">
        <v>422</v>
      </c>
      <c r="Q44" s="257" t="s">
        <v>422</v>
      </c>
      <c r="R44" s="257" t="s">
        <v>422</v>
      </c>
      <c r="S44" s="257" t="s">
        <v>422</v>
      </c>
      <c r="T44" s="257" t="s">
        <v>422</v>
      </c>
      <c r="U44" s="257" t="s">
        <v>422</v>
      </c>
      <c r="V44" s="257" t="s">
        <v>422</v>
      </c>
      <c r="W44" s="257" t="s">
        <v>422</v>
      </c>
      <c r="X44" s="257" t="s">
        <v>422</v>
      </c>
      <c r="Y44" s="257" t="s">
        <v>422</v>
      </c>
      <c r="Z44" s="195"/>
      <c r="AA44" s="207"/>
      <c r="AB44" s="251"/>
      <c r="AC44" s="856"/>
      <c r="AD44" s="256">
        <v>40</v>
      </c>
      <c r="AE44" s="257" t="str">
        <f>HLOOKUP($AE$42,$N$42:$Y$48,2,FALSE)</f>
        <v>0°0,1'</v>
      </c>
      <c r="AF44" s="268">
        <f>J27</f>
        <v>62.181625639838281</v>
      </c>
      <c r="AG44" s="203">
        <f>IF(D35=$AC$43,VLOOKUP($AF44,$AD$43:$AE$46,2,TRUE),0)</f>
        <v>0</v>
      </c>
      <c r="AH44" s="203">
        <f>IF(D35=$AC$47,VLOOKUP($AF44,$AD$47:$AE$50,2,TRUE),0)</f>
        <v>0</v>
      </c>
      <c r="AI44" s="203">
        <f>angleConvert2Decimal(AG44)+angleConvert2Decimal(AH44)</f>
        <v>0</v>
      </c>
      <c r="BN44" s="24"/>
      <c r="BO44" s="16"/>
    </row>
    <row r="45" spans="1:67" customFormat="1" ht="17.25" customHeight="1">
      <c r="A45" s="16"/>
      <c r="B45" s="16"/>
      <c r="C45" s="61"/>
      <c r="D45" s="61"/>
      <c r="E45" s="300"/>
      <c r="F45" s="205"/>
      <c r="G45" s="61"/>
      <c r="H45" s="16"/>
      <c r="L45" s="862"/>
      <c r="M45" s="272">
        <v>90</v>
      </c>
      <c r="N45" s="257" t="s">
        <v>422</v>
      </c>
      <c r="O45" s="257" t="s">
        <v>422</v>
      </c>
      <c r="P45" s="257" t="s">
        <v>422</v>
      </c>
      <c r="Q45" s="257" t="s">
        <v>422</v>
      </c>
      <c r="R45" s="257" t="s">
        <v>422</v>
      </c>
      <c r="S45" s="257" t="s">
        <v>422</v>
      </c>
      <c r="T45" s="257" t="s">
        <v>422</v>
      </c>
      <c r="U45" s="257" t="s">
        <v>422</v>
      </c>
      <c r="V45" s="257" t="s">
        <v>422</v>
      </c>
      <c r="W45" s="257" t="s">
        <v>422</v>
      </c>
      <c r="X45" s="257" t="s">
        <v>422</v>
      </c>
      <c r="Y45" s="257" t="s">
        <v>422</v>
      </c>
      <c r="Z45" s="195"/>
      <c r="AA45" s="207"/>
      <c r="AB45" s="251"/>
      <c r="AC45" s="856"/>
      <c r="AD45" s="256">
        <v>60</v>
      </c>
      <c r="AE45" s="257" t="str">
        <f>HLOOKUP($AE$42,$N$42:$Y$48,3,FALSE)</f>
        <v>0°0,1'</v>
      </c>
      <c r="AF45" s="268">
        <f>J28</f>
        <v>60.323292306504946</v>
      </c>
      <c r="AG45" s="203">
        <f>IF(D36=$AC$43,VLOOKUP($AF45,$AD$43:$AE$46,2,TRUE),0)</f>
        <v>0</v>
      </c>
      <c r="AH45" s="203">
        <f>IF(D36=$AC$47,VLOOKUP($AF45,$AD$47:$AE$50,2,TRUE),0)</f>
        <v>0</v>
      </c>
      <c r="AI45" s="203">
        <f>angleConvert2Decimal(AG45)+angleConvert2Decimal(AH45)</f>
        <v>0</v>
      </c>
      <c r="BN45" s="24"/>
      <c r="BO45" s="16"/>
    </row>
    <row r="46" spans="1:67" customFormat="1" ht="17.25" customHeight="1">
      <c r="A46" s="16"/>
      <c r="B46" s="16"/>
      <c r="C46" s="61"/>
      <c r="D46" s="61"/>
      <c r="E46" s="300"/>
      <c r="F46" s="205"/>
      <c r="G46" s="61"/>
      <c r="H46" s="16"/>
      <c r="I46" s="16"/>
      <c r="J46" s="16"/>
      <c r="K46" s="16"/>
      <c r="L46" s="857" t="str">
        <f>I44</f>
        <v>Venus</v>
      </c>
      <c r="M46" s="262">
        <v>40</v>
      </c>
      <c r="N46" s="259" t="s">
        <v>422</v>
      </c>
      <c r="O46" s="259" t="s">
        <v>422</v>
      </c>
      <c r="P46" s="259" t="s">
        <v>422</v>
      </c>
      <c r="Q46" s="259" t="s">
        <v>422</v>
      </c>
      <c r="R46" s="259" t="s">
        <v>423</v>
      </c>
      <c r="S46" s="259" t="s">
        <v>423</v>
      </c>
      <c r="T46" s="259" t="s">
        <v>424</v>
      </c>
      <c r="U46" s="259" t="s">
        <v>425</v>
      </c>
      <c r="V46" s="259" t="s">
        <v>424</v>
      </c>
      <c r="W46" s="259" t="s">
        <v>423</v>
      </c>
      <c r="X46" s="259" t="s">
        <v>423</v>
      </c>
      <c r="Y46" s="259" t="s">
        <v>422</v>
      </c>
      <c r="Z46" s="195"/>
      <c r="AA46" s="207"/>
      <c r="AB46" s="251"/>
      <c r="AC46" s="856"/>
      <c r="AD46" s="256">
        <v>90</v>
      </c>
      <c r="AE46" s="257" t="str">
        <f>HLOOKUP($AE$42,$N$42:$Y$48,4,FALSE)</f>
        <v>0°0,1'</v>
      </c>
      <c r="AF46" s="268">
        <f>J29</f>
        <v>31.429958973171615</v>
      </c>
      <c r="AG46" s="203">
        <f>IF(D37=$AC$43,VLOOKUP($AF46,$AD$43:$AE$46,2,TRUE),0)</f>
        <v>0</v>
      </c>
      <c r="AH46" s="203">
        <f>IF(D37=$AC$47,VLOOKUP($AF46,$AD$47:$AE$50,2,TRUE),0)</f>
        <v>0</v>
      </c>
      <c r="AI46" s="203">
        <f>angleConvert2Decimal(AG46)+angleConvert2Decimal(AH46)</f>
        <v>0</v>
      </c>
      <c r="BN46" s="24"/>
      <c r="BO46" s="16"/>
    </row>
    <row r="47" spans="1:67" customFormat="1" ht="17.25" customHeight="1">
      <c r="A47" s="16"/>
      <c r="B47" s="16"/>
      <c r="C47" s="61"/>
      <c r="D47" s="61"/>
      <c r="E47" s="300"/>
      <c r="F47" s="205"/>
      <c r="G47" s="61"/>
      <c r="H47" s="16"/>
      <c r="I47" s="16"/>
      <c r="J47" s="16"/>
      <c r="K47" s="16"/>
      <c r="L47" s="857"/>
      <c r="M47" s="262">
        <v>60</v>
      </c>
      <c r="N47" s="259" t="s">
        <v>422</v>
      </c>
      <c r="O47" s="259" t="s">
        <v>422</v>
      </c>
      <c r="P47" s="259" t="s">
        <v>422</v>
      </c>
      <c r="Q47" s="259" t="s">
        <v>422</v>
      </c>
      <c r="R47" s="259" t="s">
        <v>422</v>
      </c>
      <c r="S47" s="259" t="s">
        <v>422</v>
      </c>
      <c r="T47" s="259" t="s">
        <v>423</v>
      </c>
      <c r="U47" s="259" t="s">
        <v>424</v>
      </c>
      <c r="V47" s="259" t="s">
        <v>423</v>
      </c>
      <c r="W47" s="259" t="s">
        <v>422</v>
      </c>
      <c r="X47" s="259" t="s">
        <v>422</v>
      </c>
      <c r="Y47" s="259" t="s">
        <v>422</v>
      </c>
      <c r="Z47" s="195"/>
      <c r="AA47" s="207"/>
      <c r="AB47" s="251"/>
      <c r="AC47" s="857" t="str">
        <f>I44</f>
        <v>Venus</v>
      </c>
      <c r="AD47" s="258">
        <v>0</v>
      </c>
      <c r="AE47" s="261" t="str">
        <f>AE48</f>
        <v>0°0,3'</v>
      </c>
      <c r="AF47" s="268">
        <f>J30</f>
        <v>48.768292306504947</v>
      </c>
      <c r="AG47" s="203">
        <f>IF(D38=$AC$43,VLOOKUP($AF47,$AD$43:$AE$46,2,TRUE),0)</f>
        <v>0</v>
      </c>
      <c r="AH47" s="203">
        <f>IF(D38=$AC$47,VLOOKUP($AF47,$AD$47:$AE$50,2,TRUE),0)</f>
        <v>0</v>
      </c>
      <c r="AI47" s="203">
        <f>angleConvert2Decimal(AG47)+angleConvert2Decimal(AH47)</f>
        <v>0</v>
      </c>
      <c r="BN47" s="24"/>
      <c r="BO47" s="16"/>
    </row>
    <row r="48" spans="1:67" customFormat="1" ht="17.25" customHeight="1">
      <c r="A48" s="16"/>
      <c r="B48" s="16"/>
      <c r="C48" s="61"/>
      <c r="D48" s="61"/>
      <c r="E48" s="300"/>
      <c r="F48" s="205"/>
      <c r="G48" s="61"/>
      <c r="H48" s="16"/>
      <c r="I48" s="16"/>
      <c r="J48" s="16"/>
      <c r="K48" s="16"/>
      <c r="L48" s="857"/>
      <c r="M48" s="262">
        <v>90</v>
      </c>
      <c r="N48" s="259" t="s">
        <v>422</v>
      </c>
      <c r="O48" s="259" t="s">
        <v>422</v>
      </c>
      <c r="P48" s="259" t="s">
        <v>422</v>
      </c>
      <c r="Q48" s="259" t="s">
        <v>422</v>
      </c>
      <c r="R48" s="259" t="s">
        <v>422</v>
      </c>
      <c r="S48" s="259" t="s">
        <v>422</v>
      </c>
      <c r="T48" s="259" t="s">
        <v>422</v>
      </c>
      <c r="U48" s="259" t="s">
        <v>423</v>
      </c>
      <c r="V48" s="259" t="s">
        <v>422</v>
      </c>
      <c r="W48" s="259" t="s">
        <v>422</v>
      </c>
      <c r="X48" s="259" t="s">
        <v>422</v>
      </c>
      <c r="Y48" s="259" t="s">
        <v>422</v>
      </c>
      <c r="Z48" s="195"/>
      <c r="AA48" s="207"/>
      <c r="AB48" s="251"/>
      <c r="AC48" s="857"/>
      <c r="AD48" s="258">
        <v>40</v>
      </c>
      <c r="AE48" s="259" t="str">
        <f>HLOOKUP($AE$42,$N$42:$Y$48,5,FALSE)</f>
        <v>0°0,3'</v>
      </c>
      <c r="AF48" s="268">
        <f>J31</f>
        <v>33.333292306504951</v>
      </c>
      <c r="AG48" s="203">
        <f>IF(D39=$AC$43,VLOOKUP($AF48,$AD$43:$AE$46,2,TRUE),0)</f>
        <v>0</v>
      </c>
      <c r="AH48" s="203" t="str">
        <f>IF(D39=$AC$47,VLOOKUP($AF48,$AD$47:$AE$50,2,TRUE),0)</f>
        <v>0°0,3'</v>
      </c>
      <c r="AI48" s="203">
        <f>angleConvert2Decimal(AG48)+angleConvert2Decimal(AH48)</f>
        <v>5.0000000000000001E-3</v>
      </c>
      <c r="BN48" s="24"/>
      <c r="BO48" s="16"/>
    </row>
    <row r="49" spans="1:67" customFormat="1" ht="17.25" customHeight="1">
      <c r="A49" s="16"/>
      <c r="B49" s="16"/>
      <c r="C49" s="61"/>
      <c r="D49" s="61"/>
      <c r="E49" s="300"/>
      <c r="F49" s="205"/>
      <c r="G49" s="61"/>
      <c r="H49" s="16"/>
      <c r="I49" s="16"/>
      <c r="J49" s="16"/>
      <c r="K49" s="16"/>
      <c r="L49" s="16"/>
      <c r="M49" s="207"/>
      <c r="N49" s="16"/>
      <c r="O49" s="16"/>
      <c r="P49" s="16"/>
      <c r="Q49" s="16"/>
      <c r="R49" s="16"/>
      <c r="S49" s="16"/>
      <c r="T49" s="16"/>
      <c r="U49" s="16"/>
      <c r="V49" s="16"/>
      <c r="W49" s="195"/>
      <c r="X49" s="195"/>
      <c r="Y49" s="195"/>
      <c r="Z49" s="195"/>
      <c r="AA49" s="207"/>
      <c r="AB49" s="251"/>
      <c r="AC49" s="857"/>
      <c r="AD49" s="258">
        <v>60</v>
      </c>
      <c r="AE49" s="259" t="str">
        <f>HLOOKUP($AE$42,$N$42:$Y$48,6,FALSE)</f>
        <v>0°0,2'</v>
      </c>
      <c r="BN49" s="24"/>
      <c r="BO49" s="16"/>
    </row>
    <row r="50" spans="1:67" customFormat="1" ht="17.25" customHeight="1">
      <c r="E50" s="304"/>
      <c r="L50" s="16"/>
      <c r="M50" s="207"/>
      <c r="N50" s="16"/>
      <c r="O50" s="16"/>
      <c r="P50" s="16"/>
      <c r="Q50" s="16"/>
      <c r="R50" s="16"/>
      <c r="S50" s="16"/>
      <c r="T50" s="16"/>
      <c r="U50" s="16"/>
      <c r="V50" s="16"/>
      <c r="W50" s="195"/>
      <c r="X50" s="195"/>
      <c r="Y50" s="195"/>
      <c r="Z50" s="195"/>
      <c r="AB50" s="166"/>
      <c r="AC50" s="857"/>
      <c r="AD50" s="258">
        <v>90</v>
      </c>
      <c r="AE50" s="259" t="str">
        <f>HLOOKUP($AE$42,$N$42:$Y$48,7,FALSE)</f>
        <v>0°0,1'</v>
      </c>
    </row>
    <row r="51" spans="1:67" ht="17.25" customHeight="1" thickBot="1">
      <c r="C51" s="316"/>
      <c r="D51" s="16"/>
      <c r="E51" s="16"/>
      <c r="F51" s="16"/>
      <c r="G51" s="16"/>
      <c r="H51" s="319"/>
      <c r="I51" s="319"/>
      <c r="J51" s="319"/>
      <c r="K51" s="319"/>
      <c r="L51" s="319"/>
      <c r="M51" s="319"/>
      <c r="N51" s="319"/>
      <c r="O51" s="319"/>
      <c r="P51" s="319"/>
      <c r="Q51" s="319"/>
      <c r="R51" s="319"/>
      <c r="S51" s="319"/>
      <c r="T51" s="319"/>
      <c r="U51" s="319"/>
      <c r="V51" s="319"/>
      <c r="W51" s="319"/>
      <c r="X51" s="319"/>
      <c r="Y51" s="319"/>
      <c r="Z51" s="319"/>
      <c r="AA51" s="318"/>
      <c r="AB51" s="95"/>
      <c r="AC51" s="318"/>
      <c r="AD51" s="318"/>
      <c r="AE51" s="318"/>
      <c r="AF51" s="318"/>
      <c r="AG51" s="16"/>
      <c r="AH51" s="16"/>
      <c r="AI51" s="16"/>
      <c r="AJ51" s="16"/>
      <c r="AK51" s="16"/>
      <c r="AL51" s="83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</row>
    <row r="52" spans="1:67" s="318" customFormat="1" ht="15.75" thickBot="1">
      <c r="B52" s="122" t="s">
        <v>500</v>
      </c>
      <c r="C52" s="123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4"/>
    </row>
    <row r="53" spans="1:67" s="936" customFormat="1" ht="15">
      <c r="K53" s="939"/>
      <c r="L53" s="939"/>
    </row>
    <row r="54" spans="1:67" s="936" customFormat="1" ht="15">
      <c r="B54" s="960" t="s">
        <v>1</v>
      </c>
      <c r="C54" s="960"/>
      <c r="D54" s="960" t="str">
        <f>E6</f>
        <v>2024/09/30</v>
      </c>
      <c r="E54" s="960"/>
      <c r="F54" s="960"/>
      <c r="G54" s="960"/>
      <c r="H54" s="960"/>
      <c r="I54" s="960"/>
      <c r="J54"/>
      <c r="K54"/>
      <c r="L54"/>
    </row>
    <row r="55" spans="1:67" s="936" customFormat="1" ht="15">
      <c r="B55" s="995" t="s">
        <v>30</v>
      </c>
      <c r="C55" s="995"/>
      <c r="D55" s="1004" t="s">
        <v>576</v>
      </c>
      <c r="E55" s="1004"/>
      <c r="F55" s="1004"/>
      <c r="G55" s="1004"/>
      <c r="H55" s="1004"/>
      <c r="I55" s="1004"/>
      <c r="J55" s="946"/>
      <c r="K55" s="946"/>
      <c r="L55" s="946"/>
      <c r="AA55" s="937"/>
    </row>
    <row r="56" spans="1:67" s="936" customFormat="1" ht="15">
      <c r="B56"/>
      <c r="C56"/>
      <c r="D56"/>
      <c r="E56"/>
      <c r="F56"/>
      <c r="G56"/>
      <c r="H56" s="946"/>
      <c r="I56" s="946"/>
      <c r="J56" s="946"/>
      <c r="K56" s="946"/>
      <c r="L56" s="946"/>
      <c r="AA56" s="937"/>
    </row>
    <row r="57" spans="1:67" s="936" customFormat="1" ht="15">
      <c r="B57" s="959" t="s">
        <v>503</v>
      </c>
      <c r="C57" s="959"/>
      <c r="D57" s="962" t="str" cm="1">
        <f t="array" ref="D57">angleDecimal2Txt(angleConvert2Decimal(M20))</f>
        <v>+00°01.00 (+00.0166) [+00°01'00.00]</v>
      </c>
      <c r="E57" s="962"/>
      <c r="F57" s="962"/>
      <c r="G57" s="962"/>
      <c r="H57" s="962"/>
      <c r="I57" s="962"/>
      <c r="J57" s="946"/>
      <c r="K57" s="946"/>
      <c r="L57" s="946"/>
      <c r="AA57" s="937"/>
    </row>
    <row r="58" spans="1:67" s="936" customFormat="1" ht="15">
      <c r="B58" s="960" t="s">
        <v>504</v>
      </c>
      <c r="C58" s="960"/>
      <c r="D58" s="962" t="str">
        <f>CONCATENATE(M19, " m")</f>
        <v>28 m</v>
      </c>
      <c r="E58" s="962"/>
      <c r="F58" s="962"/>
      <c r="G58" s="962"/>
      <c r="H58" s="962"/>
      <c r="I58" s="962"/>
      <c r="J58" s="946"/>
      <c r="K58" s="946"/>
      <c r="L58" s="946"/>
      <c r="AA58" s="937"/>
    </row>
    <row r="59" spans="1:67" s="936" customFormat="1" ht="15">
      <c r="B59"/>
      <c r="C59"/>
      <c r="D59"/>
      <c r="E59"/>
      <c r="F59"/>
      <c r="G59"/>
      <c r="H59"/>
      <c r="I59"/>
      <c r="J59" s="946"/>
      <c r="K59" s="946"/>
      <c r="L59" s="946"/>
      <c r="AA59" s="937"/>
    </row>
    <row r="60" spans="1:67" s="936" customFormat="1" ht="15">
      <c r="B60" s="942" t="s">
        <v>514</v>
      </c>
      <c r="C60" s="942"/>
      <c r="D60" s="942" t="str" cm="1">
        <f t="array" ref="D60">latitudeDecimal2Txt(F12)</f>
        <v>N 05°06.00 (N 05.0999) [N 05°06'00.00]</v>
      </c>
      <c r="E60" s="942"/>
      <c r="F60" s="942"/>
      <c r="G60" s="942"/>
      <c r="H60" s="942"/>
      <c r="I60" s="942"/>
      <c r="J60" s="946"/>
      <c r="K60" s="946"/>
      <c r="L60" s="946"/>
      <c r="AA60" s="937"/>
    </row>
    <row r="61" spans="1:67" s="936" customFormat="1" ht="15">
      <c r="B61" s="942" t="s">
        <v>515</v>
      </c>
      <c r="C61" s="942"/>
      <c r="D61" s="942" t="str" cm="1">
        <f t="array" ref="D61">longitudeDecimal2Txt(F16)</f>
        <v>W 12°51.00 (W 12.8499) [W 12°51'00.00]</v>
      </c>
      <c r="E61" s="942"/>
      <c r="F61" s="942"/>
      <c r="G61" s="942"/>
      <c r="H61" s="942"/>
      <c r="I61" s="942"/>
      <c r="J61" s="946"/>
      <c r="K61" s="946"/>
      <c r="L61" s="946"/>
      <c r="AA61" s="937"/>
    </row>
    <row r="62" spans="1:67" s="936" customFormat="1" ht="15">
      <c r="B62" s="943"/>
      <c r="C62" s="943"/>
      <c r="D62" s="944"/>
      <c r="E62" s="943"/>
      <c r="AA62" s="937"/>
    </row>
    <row r="63" spans="1:67" s="939" customFormat="1" ht="17.25" customHeight="1" thickBot="1">
      <c r="B63" s="953" t="s">
        <v>501</v>
      </c>
      <c r="C63" s="953"/>
      <c r="D63" s="953"/>
      <c r="E63" s="957"/>
      <c r="F63" s="949"/>
      <c r="G63" s="949"/>
      <c r="H63" s="950"/>
      <c r="I63" s="950"/>
      <c r="J63" s="950"/>
      <c r="K63" s="950"/>
      <c r="L63" s="950"/>
      <c r="M63" s="950"/>
      <c r="N63" s="950"/>
      <c r="O63" s="950"/>
      <c r="P63" s="950"/>
      <c r="Q63" s="950"/>
      <c r="AB63" s="938"/>
      <c r="AC63" s="936"/>
      <c r="AD63" s="936"/>
      <c r="AE63" s="936"/>
      <c r="AF63" s="936"/>
      <c r="AG63" s="936"/>
      <c r="AH63" s="936"/>
      <c r="AI63" s="936"/>
      <c r="AJ63" s="936"/>
      <c r="AK63" s="936"/>
      <c r="AL63" s="936"/>
      <c r="AM63" s="936"/>
      <c r="AN63" s="936"/>
      <c r="AO63" s="936"/>
      <c r="AP63" s="936"/>
      <c r="AQ63" s="936"/>
      <c r="AR63" s="936"/>
      <c r="AS63" s="936"/>
      <c r="AT63" s="936"/>
      <c r="AU63" s="936"/>
      <c r="AV63" s="936"/>
      <c r="AW63" s="936"/>
      <c r="AX63" s="936"/>
      <c r="AY63" s="936"/>
      <c r="AZ63" s="936"/>
      <c r="BA63" s="936"/>
      <c r="BB63" s="936"/>
      <c r="BC63" s="936"/>
      <c r="BD63" s="936"/>
      <c r="BE63" s="936"/>
      <c r="BF63" s="936"/>
      <c r="BG63" s="936"/>
      <c r="BH63" s="936"/>
      <c r="BI63" s="936"/>
      <c r="BJ63" s="936"/>
      <c r="BK63" s="936"/>
      <c r="BL63" s="936"/>
      <c r="BM63" s="936"/>
    </row>
    <row r="64" spans="1:67" s="939" customFormat="1" ht="17.25" customHeight="1" thickTop="1" thickBot="1">
      <c r="D64" s="957"/>
      <c r="E64" s="1057" t="s">
        <v>582</v>
      </c>
      <c r="F64" s="1058"/>
      <c r="G64" s="1059" t="str">
        <f>C27</f>
        <v>Sirius</v>
      </c>
      <c r="H64" s="1060"/>
      <c r="I64" s="1060"/>
      <c r="J64" s="1061"/>
      <c r="K64" s="1059" t="str">
        <f>C28</f>
        <v>Procyon</v>
      </c>
      <c r="L64" s="1060"/>
      <c r="M64" s="1060"/>
      <c r="N64" s="1061"/>
      <c r="O64" s="1059" t="str">
        <f>C29</f>
        <v>Canopus</v>
      </c>
      <c r="P64" s="1060"/>
      <c r="Q64" s="1060"/>
      <c r="R64" s="1061"/>
      <c r="S64" s="1059" t="str">
        <f>C30</f>
        <v>Capella</v>
      </c>
      <c r="T64" s="1060"/>
      <c r="U64" s="1060"/>
      <c r="V64" s="1061"/>
      <c r="W64" s="1059" t="str">
        <f>C31</f>
        <v>Venus</v>
      </c>
      <c r="X64" s="1060"/>
      <c r="Y64" s="1060"/>
      <c r="Z64" s="1061"/>
      <c r="AB64" s="938"/>
      <c r="AC64" s="936"/>
      <c r="AD64" s="936"/>
      <c r="AE64" s="936"/>
      <c r="AF64" s="936"/>
      <c r="AG64" s="936"/>
      <c r="AH64" s="936"/>
      <c r="AI64" s="936"/>
      <c r="AJ64" s="936"/>
      <c r="AK64" s="936"/>
      <c r="AL64" s="936"/>
      <c r="AM64" s="936"/>
      <c r="AN64" s="936"/>
      <c r="AO64" s="936"/>
      <c r="AP64" s="936"/>
      <c r="AQ64" s="936"/>
      <c r="AR64" s="936"/>
      <c r="AS64" s="936"/>
      <c r="AT64" s="936"/>
      <c r="AU64" s="936"/>
      <c r="AV64" s="936"/>
      <c r="AW64" s="936"/>
      <c r="AX64" s="936"/>
      <c r="AY64" s="936"/>
      <c r="AZ64" s="936"/>
      <c r="BA64" s="936"/>
      <c r="BB64" s="936"/>
      <c r="BC64" s="936"/>
      <c r="BD64" s="936"/>
      <c r="BE64" s="936"/>
      <c r="BF64" s="936"/>
      <c r="BG64" s="936"/>
      <c r="BH64" s="936"/>
      <c r="BI64" s="936"/>
      <c r="BJ64" s="936"/>
      <c r="BK64" s="936"/>
      <c r="BL64" s="936"/>
      <c r="BM64" s="936"/>
    </row>
    <row r="65" spans="2:65" s="939" customFormat="1" ht="17.25" customHeight="1">
      <c r="E65" s="958" t="s">
        <v>502</v>
      </c>
      <c r="F65" s="1048"/>
      <c r="G65" s="1051" t="str" cm="1">
        <f t="array" ref="G65">angleDecimal2Txt(angleConvert2Decimal(H27))</f>
        <v>+62°21.19 (+62.3533) [+62°21'12.00]</v>
      </c>
      <c r="H65" s="1049"/>
      <c r="I65" s="1049"/>
      <c r="J65" s="1052"/>
      <c r="K65" s="1051" t="str" cm="1">
        <f t="array" ref="K65">angleDecimal2Txt(angleConvert2Decimal(H28))</f>
        <v>+60°29.69 (+60.4949) [+60°29'42.00]</v>
      </c>
      <c r="L65" s="1049"/>
      <c r="M65" s="1049"/>
      <c r="N65" s="1052"/>
      <c r="O65" s="1051" t="str" cm="1">
        <f t="array" ref="O65">angleDecimal2Txt(angleConvert2Decimal(H29))</f>
        <v>+31°36.10 (+31.6016) [+31°36'06.00]</v>
      </c>
      <c r="P65" s="1049"/>
      <c r="Q65" s="1049"/>
      <c r="R65" s="1052"/>
      <c r="S65" s="1051" t="str" cm="1">
        <f t="array" ref="S65">angleDecimal2Txt(angleConvert2Decimal(H30))</f>
        <v>+48°56.39 (+48.9399) [+48°56'24.00]</v>
      </c>
      <c r="T65" s="1049"/>
      <c r="U65" s="1049"/>
      <c r="V65" s="1052"/>
      <c r="W65" s="1051" t="str" cm="1">
        <f t="array" ref="W65">angleDecimal2Txt(angleConvert2Decimal(H31))</f>
        <v>+33°30.30 (+33.5050) [+33°30'18.00]</v>
      </c>
      <c r="X65" s="1049"/>
      <c r="Y65" s="1049"/>
      <c r="Z65" s="1052"/>
      <c r="AB65" s="938"/>
      <c r="AC65" s="936"/>
      <c r="AD65" s="936"/>
      <c r="AE65" s="936"/>
      <c r="AF65" s="936"/>
      <c r="AG65" s="936"/>
      <c r="AH65" s="936"/>
      <c r="AI65" s="936"/>
      <c r="AJ65" s="936"/>
      <c r="AK65" s="936"/>
      <c r="AL65" s="936"/>
      <c r="AM65" s="936"/>
      <c r="AN65" s="936"/>
      <c r="AO65" s="936"/>
      <c r="AP65" s="936"/>
      <c r="AQ65" s="936"/>
      <c r="AR65" s="936"/>
      <c r="AS65" s="936"/>
      <c r="AT65" s="936"/>
      <c r="AU65" s="936"/>
      <c r="AV65" s="936"/>
      <c r="AW65" s="936"/>
      <c r="AX65" s="936"/>
      <c r="AY65" s="936"/>
      <c r="AZ65" s="936"/>
      <c r="BA65" s="936"/>
      <c r="BB65" s="936"/>
      <c r="BC65" s="936"/>
      <c r="BD65" s="936"/>
      <c r="BE65" s="936"/>
      <c r="BF65" s="936"/>
      <c r="BG65" s="936"/>
      <c r="BH65" s="936"/>
      <c r="BI65" s="936"/>
      <c r="BJ65" s="936"/>
      <c r="BK65" s="936"/>
      <c r="BL65" s="936"/>
      <c r="BM65" s="936"/>
    </row>
    <row r="66" spans="2:65" s="939" customFormat="1" ht="17.25" customHeight="1">
      <c r="E66" s="954" t="s">
        <v>506</v>
      </c>
      <c r="F66" s="1020"/>
      <c r="G66" s="1046" t="str" cm="1">
        <f t="array" ref="G66">angleDecimal2Txt(J27)</f>
        <v>+62°10.89 (+62.1816) [+62°10'53.85]</v>
      </c>
      <c r="H66" s="1020"/>
      <c r="I66" s="1020"/>
      <c r="J66" s="1047"/>
      <c r="K66" s="1046" t="str" cm="1">
        <f t="array" ref="K66">angleDecimal2Txt(J28)</f>
        <v>+60°19.39 (+60.3232) [+60°19'23.85]</v>
      </c>
      <c r="L66" s="1020"/>
      <c r="M66" s="1020"/>
      <c r="N66" s="1047"/>
      <c r="O66" s="1046" t="str" cm="1">
        <f t="array" ref="O66">angleDecimal2Txt(J29)</f>
        <v>+31°25.79 (+31.4299) [+31°25'47.85]</v>
      </c>
      <c r="P66" s="1020"/>
      <c r="Q66" s="1020"/>
      <c r="R66" s="1047"/>
      <c r="S66" s="1046" t="str" cm="1">
        <f t="array" ref="S66">angleDecimal2Txt(J30)</f>
        <v>+48°46.09 (+48.7682) [+48°46'05.85]</v>
      </c>
      <c r="T66" s="1020"/>
      <c r="U66" s="1020"/>
      <c r="V66" s="1047"/>
      <c r="W66" s="1046" t="str" cm="1">
        <f t="array" ref="W66">angleDecimal2Txt(J31)</f>
        <v>+33°19.99 (+33.3332) [+33°19'59.85]</v>
      </c>
      <c r="X66" s="1020"/>
      <c r="Y66" s="1020"/>
      <c r="Z66" s="1047"/>
      <c r="AB66" s="938"/>
      <c r="AC66" s="936"/>
      <c r="AD66" s="936"/>
      <c r="AE66" s="936"/>
      <c r="AF66" s="936"/>
      <c r="AG66" s="936"/>
      <c r="AH66" s="936"/>
      <c r="AI66" s="936"/>
      <c r="AJ66" s="936"/>
      <c r="AK66" s="936"/>
      <c r="AL66" s="936"/>
      <c r="AM66" s="936"/>
      <c r="AN66" s="936"/>
      <c r="AO66" s="936"/>
      <c r="AP66" s="936"/>
      <c r="AQ66" s="936"/>
      <c r="AR66" s="936"/>
      <c r="AS66" s="936"/>
      <c r="AT66" s="936"/>
      <c r="AU66" s="936"/>
      <c r="AV66" s="936"/>
      <c r="AW66" s="936"/>
      <c r="AX66" s="936"/>
      <c r="AY66" s="936"/>
      <c r="AZ66" s="936"/>
      <c r="BA66" s="936"/>
      <c r="BB66" s="936"/>
      <c r="BC66" s="936"/>
      <c r="BD66" s="936"/>
      <c r="BE66" s="936"/>
      <c r="BF66" s="936"/>
      <c r="BG66" s="936"/>
      <c r="BH66" s="936"/>
      <c r="BI66" s="936"/>
      <c r="BJ66" s="936"/>
      <c r="BK66" s="936"/>
      <c r="BL66" s="936"/>
      <c r="BM66" s="936"/>
    </row>
    <row r="67" spans="2:65" s="939" customFormat="1" ht="17.25" customHeight="1">
      <c r="E67" s="971" t="s">
        <v>504</v>
      </c>
      <c r="F67" s="1005"/>
      <c r="G67" s="1053" t="str" cm="1">
        <f t="array" ref="G67">angleDecimal2Txt($K$19)</f>
        <v>+00°09.30 (+00.1550) [+00°09'18.14]</v>
      </c>
      <c r="H67" s="1010"/>
      <c r="I67" s="1010"/>
      <c r="J67" s="1010"/>
      <c r="K67" s="1010"/>
      <c r="L67" s="1010"/>
      <c r="M67" s="1010"/>
      <c r="N67" s="1010"/>
      <c r="O67" s="1010"/>
      <c r="P67" s="1010"/>
      <c r="Q67" s="1010"/>
      <c r="R67" s="1010"/>
      <c r="S67" s="1010"/>
      <c r="T67" s="1010"/>
      <c r="U67" s="1010"/>
      <c r="V67" s="1010"/>
      <c r="W67" s="1010"/>
      <c r="X67" s="1010"/>
      <c r="Y67" s="1010"/>
      <c r="Z67" s="1054"/>
      <c r="AB67" s="938"/>
      <c r="AC67" s="936"/>
      <c r="AD67" s="936"/>
      <c r="AE67" s="936"/>
      <c r="AF67" s="936"/>
      <c r="AG67" s="936"/>
      <c r="AH67" s="936"/>
      <c r="AI67" s="936"/>
      <c r="AJ67" s="936"/>
      <c r="AK67" s="936"/>
      <c r="AL67" s="936"/>
      <c r="AM67" s="936"/>
      <c r="AN67" s="936"/>
      <c r="AO67" s="936"/>
      <c r="AP67" s="936"/>
      <c r="AQ67" s="936"/>
      <c r="AR67" s="936"/>
      <c r="AS67" s="936"/>
      <c r="AT67" s="936"/>
      <c r="AU67" s="936"/>
      <c r="AV67" s="936"/>
      <c r="AW67" s="936"/>
      <c r="AX67" s="936"/>
      <c r="AY67" s="936"/>
      <c r="AZ67" s="936"/>
      <c r="BA67" s="936"/>
      <c r="BB67" s="936"/>
      <c r="BC67" s="936"/>
      <c r="BD67" s="936"/>
      <c r="BE67" s="936"/>
      <c r="BF67" s="936"/>
      <c r="BG67" s="936"/>
      <c r="BH67" s="936"/>
      <c r="BI67" s="936"/>
      <c r="BJ67" s="936"/>
      <c r="BK67" s="936"/>
      <c r="BL67" s="936"/>
      <c r="BM67" s="936"/>
    </row>
    <row r="68" spans="2:65" s="939" customFormat="1" ht="17.25" customHeight="1">
      <c r="E68" s="971" t="s">
        <v>511</v>
      </c>
      <c r="F68" s="1005"/>
      <c r="G68" s="1053" t="str" cm="1">
        <f t="array" ref="G68">angleDecimal2Txt(J35)</f>
        <v>+00°00.52 (+00.0087) [+00°00'31.48]</v>
      </c>
      <c r="H68" s="1010"/>
      <c r="I68" s="1010"/>
      <c r="J68" s="1054"/>
      <c r="K68" s="1053" t="str" cm="1">
        <f t="array" ref="K68">angleDecimal2Txt(J36)</f>
        <v>+00°00.56 (+00.0094) [+00°00'34.01]</v>
      </c>
      <c r="L68" s="1010"/>
      <c r="M68" s="1010"/>
      <c r="N68" s="1054"/>
      <c r="O68" s="1053" t="str" cm="1">
        <f t="array" ref="O68">angleDecimal2Txt(J37)</f>
        <v>+00°01.62 (+00.0270) [+00°01'37.33]</v>
      </c>
      <c r="P68" s="1010"/>
      <c r="Q68" s="1010"/>
      <c r="R68" s="1054"/>
      <c r="S68" s="1053" t="str" cm="1">
        <f t="array" ref="S68">angleDecimal2Txt(J38)</f>
        <v>+00°00.87 (+00.0145) [+00°00'52.29]</v>
      </c>
      <c r="T68" s="1010"/>
      <c r="U68" s="1010"/>
      <c r="V68" s="1054"/>
      <c r="W68" s="1053" t="str" cm="1">
        <f t="array" ref="W68">angleDecimal2Txt(J39)</f>
        <v>+00°01.50 (+00.0251) [+00°01'30.49]</v>
      </c>
      <c r="X68" s="1010"/>
      <c r="Y68" s="1010"/>
      <c r="Z68" s="1054"/>
      <c r="AB68" s="938"/>
      <c r="AC68" s="936"/>
      <c r="AD68" s="936"/>
      <c r="AE68" s="936"/>
      <c r="AF68" s="936"/>
      <c r="AG68" s="936"/>
      <c r="AH68" s="936"/>
      <c r="AI68" s="936"/>
      <c r="AJ68" s="936"/>
      <c r="AK68" s="936"/>
      <c r="AL68" s="936"/>
      <c r="AM68" s="936"/>
      <c r="AN68" s="936"/>
      <c r="AO68" s="936"/>
      <c r="AP68" s="936"/>
      <c r="AQ68" s="936"/>
      <c r="AR68" s="936"/>
      <c r="AS68" s="936"/>
      <c r="AT68" s="936"/>
      <c r="AU68" s="936"/>
      <c r="AV68" s="936"/>
      <c r="AW68" s="936"/>
      <c r="AX68" s="936"/>
      <c r="AY68" s="936"/>
      <c r="AZ68" s="936"/>
      <c r="BA68" s="936"/>
      <c r="BB68" s="936"/>
      <c r="BC68" s="936"/>
      <c r="BD68" s="936"/>
      <c r="BE68" s="936"/>
      <c r="BF68" s="936"/>
      <c r="BG68" s="936"/>
      <c r="BH68" s="936"/>
      <c r="BI68" s="936"/>
      <c r="BJ68" s="936"/>
      <c r="BK68" s="936"/>
      <c r="BL68" s="936"/>
      <c r="BM68" s="936"/>
    </row>
    <row r="69" spans="2:65" s="939" customFormat="1" ht="17.25" customHeight="1">
      <c r="E69" s="954" t="s">
        <v>505</v>
      </c>
      <c r="F69" s="1020"/>
      <c r="G69" s="1046" t="str" cm="1">
        <f t="array" ref="G69">angleDecimal2Txt(M35)</f>
        <v>+62°10.37 (+62.1728) [+62°10'22.36]</v>
      </c>
      <c r="H69" s="1020"/>
      <c r="I69" s="1020"/>
      <c r="J69" s="1047"/>
      <c r="K69" s="1046" t="str" cm="1">
        <f t="array" ref="K69">angleDecimal2Txt(M36)</f>
        <v>+60°18.83 (+60.3138) [+60°18'49.84]</v>
      </c>
      <c r="L69" s="1020"/>
      <c r="M69" s="1020"/>
      <c r="N69" s="1047"/>
      <c r="O69" s="1046" t="str" cm="1">
        <f t="array" ref="O69">angleDecimal2Txt(M37)</f>
        <v>+31°24.17 (+31.4029) [+31°24'10.52]</v>
      </c>
      <c r="P69" s="1020"/>
      <c r="Q69" s="1020"/>
      <c r="R69" s="1047"/>
      <c r="S69" s="1046" t="str" cm="1">
        <f t="array" ref="S69">angleDecimal2Txt(M38)</f>
        <v>+48°45.22 (+48.7537) [+48°45'13.55]</v>
      </c>
      <c r="T69" s="1020"/>
      <c r="U69" s="1020"/>
      <c r="V69" s="1047"/>
      <c r="W69" s="1046" t="str" cm="1">
        <f t="array" ref="W69">angleDecimal2Txt(M39)</f>
        <v>+33°18.77 (+33.3128) [+33°18'46.37]</v>
      </c>
      <c r="X69" s="1020"/>
      <c r="Y69" s="1020"/>
      <c r="Z69" s="1047"/>
      <c r="AB69" s="938"/>
      <c r="AC69" s="936"/>
      <c r="AD69" s="936"/>
      <c r="AE69" s="936"/>
      <c r="AF69" s="936"/>
      <c r="AG69" s="936"/>
      <c r="AH69" s="936"/>
      <c r="AI69" s="936"/>
      <c r="AJ69" s="936"/>
      <c r="AK69" s="936"/>
      <c r="AL69" s="936"/>
      <c r="AM69" s="936"/>
      <c r="AN69" s="936"/>
      <c r="AO69" s="936"/>
      <c r="AP69" s="936"/>
      <c r="AQ69" s="936"/>
      <c r="AR69" s="936"/>
      <c r="AS69" s="936"/>
      <c r="AT69" s="936"/>
      <c r="AU69" s="936"/>
      <c r="AV69" s="936"/>
      <c r="AW69" s="936"/>
      <c r="AX69" s="936"/>
      <c r="AY69" s="936"/>
      <c r="AZ69" s="936"/>
      <c r="BA69" s="936"/>
      <c r="BB69" s="936"/>
      <c r="BC69" s="936"/>
      <c r="BD69" s="936"/>
      <c r="BE69" s="936"/>
      <c r="BF69" s="936"/>
      <c r="BG69" s="936"/>
      <c r="BH69" s="936"/>
      <c r="BI69" s="936"/>
      <c r="BJ69" s="936"/>
      <c r="BK69" s="936"/>
      <c r="BL69" s="936"/>
      <c r="BM69" s="936"/>
    </row>
    <row r="70" spans="2:65" s="939" customFormat="1" ht="17.25" customHeight="1">
      <c r="C70" s="1022" t="s">
        <v>529</v>
      </c>
      <c r="D70" s="1023"/>
      <c r="E70" s="1021" t="s">
        <v>513</v>
      </c>
      <c r="F70" s="1050"/>
      <c r="G70" s="1044" t="str" cm="1">
        <f t="array" ref="G70">angleDecimal2Txt(G35-J35-$K$19)</f>
        <v>-00°09.82 (-00.1637) [-00°09'49.63]</v>
      </c>
      <c r="H70" s="1005"/>
      <c r="I70" s="1005"/>
      <c r="J70" s="1045"/>
      <c r="K70" s="1044" t="str" cm="1">
        <f t="array" ref="K70">angleDecimal2Txt(G36-J36-$K$19)</f>
        <v>-00°09.86 (-00.1644) [-00°09'52.15]</v>
      </c>
      <c r="L70" s="1005"/>
      <c r="M70" s="1005"/>
      <c r="N70" s="1045"/>
      <c r="O70" s="1044" t="str" cm="1">
        <f t="array" ref="O70">angleDecimal2Txt(G37-J37-$K$19)</f>
        <v>-00°10.92 (-00.1820) [-00°10'55.47]</v>
      </c>
      <c r="P70" s="1005"/>
      <c r="Q70" s="1005"/>
      <c r="R70" s="1045"/>
      <c r="S70" s="1044" t="str" cm="1">
        <f t="array" ref="S70">angleDecimal2Txt(G38-J38-$K$19)</f>
        <v>-00°10.17 (-00.1695) [-00°10'10.44]</v>
      </c>
      <c r="T70" s="1005"/>
      <c r="U70" s="1005"/>
      <c r="V70" s="1045"/>
      <c r="W70" s="1044" t="str" cm="1">
        <f t="array" ref="W70">angleDecimal2Txt(G39-J39-$K$19)</f>
        <v>-00°10.72 (-00.1787) [-00°10'43.62]</v>
      </c>
      <c r="X70" s="1005"/>
      <c r="Y70" s="1005"/>
      <c r="Z70" s="1045"/>
      <c r="AB70" s="938"/>
      <c r="AC70" s="936"/>
      <c r="AD70" s="936"/>
      <c r="AE70" s="936"/>
      <c r="AF70" s="936"/>
      <c r="AG70" s="936"/>
      <c r="AH70" s="936"/>
      <c r="AI70" s="936"/>
      <c r="AJ70" s="936"/>
      <c r="AK70" s="936"/>
      <c r="AL70" s="936"/>
      <c r="AM70" s="936"/>
      <c r="AN70" s="936"/>
      <c r="AO70" s="936"/>
      <c r="AP70" s="936"/>
      <c r="AQ70" s="936"/>
      <c r="AR70" s="936"/>
      <c r="AS70" s="936"/>
      <c r="AT70" s="936"/>
      <c r="AU70" s="936"/>
      <c r="AV70" s="936"/>
      <c r="AW70" s="936"/>
      <c r="AX70" s="936"/>
      <c r="AY70" s="936"/>
      <c r="AZ70" s="936"/>
      <c r="BA70" s="936"/>
      <c r="BB70" s="936"/>
      <c r="BC70" s="936"/>
      <c r="BD70" s="936"/>
      <c r="BE70" s="936"/>
      <c r="BF70" s="936"/>
      <c r="BG70" s="936"/>
      <c r="BH70" s="936"/>
      <c r="BI70" s="936"/>
      <c r="BJ70" s="936"/>
      <c r="BK70" s="936"/>
      <c r="BL70" s="936"/>
      <c r="BM70" s="936"/>
    </row>
    <row r="71" spans="2:65" s="939" customFormat="1" ht="17.25" customHeight="1">
      <c r="C71" s="975"/>
      <c r="D71" s="1024"/>
      <c r="E71" s="1021" t="s">
        <v>509</v>
      </c>
      <c r="F71" s="1050"/>
      <c r="G71" s="1044" t="str" cm="1">
        <f t="array" ref="G71">angleDecimal2Txt(G35-J35-$K$19+angleConvert2Decimal(L35))</f>
        <v>-00°09.82 (-00.1637) [-00°09'49.63]</v>
      </c>
      <c r="H71" s="1005"/>
      <c r="I71" s="1005"/>
      <c r="J71" s="1045"/>
      <c r="K71" s="1044" t="str" cm="1">
        <f t="array" ref="K71">angleDecimal2Txt(G36-J36-$K$19+angleConvert2Decimal(L36))</f>
        <v>-00°09.86 (-00.1644) [-00°09'52.15]</v>
      </c>
      <c r="L71" s="1005"/>
      <c r="M71" s="1005"/>
      <c r="N71" s="1045"/>
      <c r="O71" s="1044" t="str" cm="1">
        <f t="array" ref="O71">angleDecimal2Txt(G37-J37-$K$19+angleConvert2Decimal(L37))</f>
        <v>-00°10.92 (-00.1820) [-00°10'55.47]</v>
      </c>
      <c r="P71" s="1005"/>
      <c r="Q71" s="1005"/>
      <c r="R71" s="1045"/>
      <c r="S71" s="1044" t="str" cm="1">
        <f t="array" ref="S71">angleDecimal2Txt(G38-J38-$K$19+angleConvert2Decimal(L38))</f>
        <v>-00°10.17 (-00.1695) [-00°10'10.44]</v>
      </c>
      <c r="T71" s="1005"/>
      <c r="U71" s="1005"/>
      <c r="V71" s="1045"/>
      <c r="W71" s="1044" t="str" cm="1">
        <f t="array" ref="W71">angleDecimal2Txt(G39-J39-$K$19+angleConvert2Decimal(L39))</f>
        <v>-00°10.42 (-00.1737) [-00°10'25.62]</v>
      </c>
      <c r="X71" s="1005"/>
      <c r="Y71" s="1005"/>
      <c r="Z71" s="1045"/>
      <c r="AB71" s="938"/>
      <c r="AC71" s="936"/>
      <c r="AD71" s="936"/>
      <c r="AE71" s="936"/>
      <c r="AF71" s="936"/>
      <c r="AG71" s="936"/>
      <c r="AH71" s="936"/>
      <c r="AI71" s="936"/>
      <c r="AJ71" s="936"/>
      <c r="AK71" s="936"/>
      <c r="AL71" s="936"/>
      <c r="AM71" s="936"/>
      <c r="AN71" s="936"/>
      <c r="AO71" s="936"/>
      <c r="AP71" s="936"/>
      <c r="AQ71" s="936"/>
      <c r="AR71" s="936"/>
      <c r="AS71" s="936"/>
      <c r="AT71" s="936"/>
      <c r="AU71" s="936"/>
      <c r="AV71" s="936"/>
      <c r="AW71" s="936"/>
      <c r="AX71" s="936"/>
      <c r="AY71" s="936"/>
      <c r="AZ71" s="936"/>
      <c r="BA71" s="936"/>
      <c r="BB71" s="936"/>
      <c r="BC71" s="936"/>
      <c r="BD71" s="936"/>
      <c r="BE71" s="936"/>
      <c r="BF71" s="936"/>
      <c r="BG71" s="936"/>
      <c r="BH71" s="936"/>
      <c r="BI71" s="936"/>
      <c r="BJ71" s="936"/>
      <c r="BK71" s="936"/>
      <c r="BL71" s="936"/>
      <c r="BM71" s="936"/>
    </row>
    <row r="72" spans="2:65" s="939" customFormat="1" ht="17.25" customHeight="1">
      <c r="C72" s="1025"/>
      <c r="D72" s="1026"/>
      <c r="E72" s="1021" t="s">
        <v>510</v>
      </c>
      <c r="F72" s="1050"/>
      <c r="G72" s="1044" t="str" cm="1">
        <f t="array" ref="G72">angleDecimal2Txt(G35-J35+angleConvert2Decimal(L35))</f>
        <v>-00°00.52 (-00.0087) [-00°00'31.48]</v>
      </c>
      <c r="H72" s="1005"/>
      <c r="I72" s="1005"/>
      <c r="J72" s="1045"/>
      <c r="K72" s="1044" t="str" cm="1">
        <f t="array" ref="K72">angleDecimal2Txt(G36-J36+angleConvert2Decimal(L36))</f>
        <v>-00°00.56 (-00.0094) [-00°00'34.01]</v>
      </c>
      <c r="L72" s="1005"/>
      <c r="M72" s="1005"/>
      <c r="N72" s="1045"/>
      <c r="O72" s="1044" t="str" cm="1">
        <f t="array" ref="O72">angleDecimal2Txt(G37-J37+angleConvert2Decimal(L37))</f>
        <v>-00°01.62 (-00.0270) [-00°01'37.33]</v>
      </c>
      <c r="P72" s="1005"/>
      <c r="Q72" s="1005"/>
      <c r="R72" s="1045"/>
      <c r="S72" s="1044" t="str" cm="1">
        <f t="array" ref="S72">angleDecimal2Txt(G38-J38-angleConvert2Decimal(L38))</f>
        <v>-00°00.87 (-00.0145) [-00°00'52.29]</v>
      </c>
      <c r="T72" s="1005"/>
      <c r="U72" s="1005"/>
      <c r="V72" s="1045"/>
      <c r="W72" s="1044" t="str" cm="1">
        <f t="array" ref="W72">angleDecimal2Txt(G39-J39+angleConvert2Decimal(L39))</f>
        <v>-00°01.12 (-00.0187) [-00°01'07.48]</v>
      </c>
      <c r="X72" s="1005"/>
      <c r="Y72" s="1005"/>
      <c r="Z72" s="1045"/>
      <c r="AB72" s="938"/>
      <c r="AC72" s="936"/>
      <c r="AD72" s="936"/>
      <c r="AE72" s="936"/>
      <c r="AF72" s="936"/>
      <c r="AG72" s="936"/>
      <c r="AH72" s="936"/>
      <c r="AI72" s="936"/>
      <c r="AJ72" s="936"/>
      <c r="AK72" s="936"/>
      <c r="AL72" s="936"/>
      <c r="AM72" s="936"/>
      <c r="AN72" s="936"/>
      <c r="AO72" s="936"/>
      <c r="AP72" s="936"/>
      <c r="AQ72" s="936"/>
      <c r="AR72" s="936"/>
      <c r="AS72" s="936"/>
      <c r="AT72" s="936"/>
      <c r="AU72" s="936"/>
      <c r="AV72" s="936"/>
      <c r="AW72" s="936"/>
      <c r="AX72" s="936"/>
      <c r="AY72" s="936"/>
      <c r="AZ72" s="936"/>
      <c r="BA72" s="936"/>
      <c r="BB72" s="936"/>
      <c r="BC72" s="936"/>
      <c r="BD72" s="936"/>
      <c r="BE72" s="936"/>
      <c r="BF72" s="936"/>
      <c r="BG72" s="936"/>
      <c r="BH72" s="936"/>
      <c r="BI72" s="936"/>
      <c r="BJ72" s="936"/>
      <c r="BK72" s="936"/>
      <c r="BL72" s="936"/>
      <c r="BM72" s="936"/>
    </row>
    <row r="73" spans="2:65" s="939" customFormat="1" ht="17.25" customHeight="1">
      <c r="D73" s="941"/>
      <c r="AB73" s="938"/>
      <c r="AC73" s="936"/>
      <c r="AD73" s="936"/>
      <c r="AE73" s="936"/>
      <c r="AF73" s="936"/>
      <c r="AG73" s="936"/>
      <c r="AH73" s="936"/>
      <c r="AI73" s="936"/>
      <c r="AJ73" s="936"/>
      <c r="AK73" s="936"/>
      <c r="AL73" s="936"/>
      <c r="AM73" s="936"/>
      <c r="AN73" s="936"/>
      <c r="AO73" s="936"/>
      <c r="AP73" s="936"/>
      <c r="AQ73" s="936"/>
      <c r="AR73" s="936"/>
      <c r="AS73" s="936"/>
      <c r="AT73" s="936"/>
      <c r="AU73" s="936"/>
      <c r="AV73" s="936"/>
      <c r="AW73" s="936"/>
      <c r="AX73" s="936"/>
      <c r="AY73" s="936"/>
      <c r="AZ73" s="936"/>
      <c r="BA73" s="936"/>
      <c r="BB73" s="936"/>
      <c r="BC73" s="936"/>
      <c r="BD73" s="936"/>
      <c r="BE73" s="936"/>
      <c r="BF73" s="936"/>
      <c r="BG73" s="936"/>
      <c r="BH73" s="936"/>
      <c r="BI73" s="936"/>
      <c r="BJ73" s="936"/>
      <c r="BK73" s="936"/>
      <c r="BL73" s="936"/>
      <c r="BM73" s="936"/>
    </row>
    <row r="74" spans="2:65" s="939" customFormat="1" ht="17.25" customHeight="1">
      <c r="C74" s="941"/>
      <c r="AB74" s="938"/>
      <c r="AC74" s="936"/>
      <c r="AD74" s="936"/>
      <c r="AE74" s="936"/>
      <c r="AF74" s="936"/>
      <c r="AG74" s="936"/>
      <c r="AH74" s="936"/>
      <c r="AI74" s="936"/>
      <c r="AJ74" s="936"/>
      <c r="AK74" s="936"/>
      <c r="AL74" s="936"/>
      <c r="AM74" s="936"/>
      <c r="AN74" s="936"/>
      <c r="AO74" s="936"/>
      <c r="AP74" s="936"/>
      <c r="AQ74" s="936"/>
      <c r="AR74" s="936"/>
      <c r="AS74" s="936"/>
      <c r="AT74" s="936"/>
      <c r="AU74" s="936"/>
      <c r="AV74" s="936"/>
      <c r="AW74" s="936"/>
      <c r="AX74" s="936"/>
      <c r="AY74" s="936"/>
      <c r="AZ74" s="936"/>
      <c r="BA74" s="936"/>
      <c r="BB74" s="936"/>
      <c r="BC74" s="936"/>
      <c r="BD74" s="936"/>
      <c r="BE74" s="936"/>
      <c r="BF74" s="936"/>
      <c r="BG74" s="936"/>
      <c r="BH74" s="936"/>
      <c r="BI74" s="936"/>
      <c r="BJ74" s="936"/>
      <c r="BK74" s="936"/>
      <c r="BL74" s="936"/>
      <c r="BM74" s="936"/>
    </row>
    <row r="75" spans="2:65" s="939" customFormat="1" ht="17.25" customHeight="1" thickBot="1">
      <c r="B75" s="951" t="s">
        <v>62</v>
      </c>
      <c r="C75" s="952"/>
      <c r="D75" s="952"/>
      <c r="E75" s="952"/>
      <c r="F75" s="952"/>
      <c r="G75" s="952"/>
      <c r="H75" s="951"/>
      <c r="I75" s="951"/>
      <c r="J75" s="951"/>
      <c r="K75" s="951"/>
      <c r="L75" s="951"/>
      <c r="M75" s="951"/>
      <c r="N75" s="951"/>
      <c r="O75" s="951"/>
      <c r="P75" s="951"/>
      <c r="Q75" s="951"/>
      <c r="AB75" s="938"/>
      <c r="AC75" s="936"/>
      <c r="AD75" s="936"/>
      <c r="AE75" s="936"/>
      <c r="AF75" s="936"/>
      <c r="AG75" s="936"/>
      <c r="AH75" s="936"/>
      <c r="AI75" s="936"/>
      <c r="AJ75" s="936"/>
      <c r="AK75" s="936"/>
      <c r="AL75" s="936"/>
      <c r="AM75" s="936"/>
      <c r="AN75" s="936"/>
      <c r="AO75" s="936"/>
      <c r="AP75" s="936"/>
      <c r="AQ75" s="936"/>
      <c r="AR75" s="936"/>
      <c r="AS75" s="936"/>
      <c r="AT75" s="936"/>
      <c r="AU75" s="936"/>
      <c r="AV75" s="936"/>
      <c r="AW75" s="936"/>
      <c r="AX75" s="936"/>
      <c r="AY75" s="936"/>
      <c r="AZ75" s="936"/>
      <c r="BA75" s="936"/>
      <c r="BB75" s="936"/>
      <c r="BC75" s="936"/>
      <c r="BD75" s="936"/>
      <c r="BE75" s="936"/>
      <c r="BF75" s="936"/>
      <c r="BG75" s="936"/>
      <c r="BH75" s="936"/>
      <c r="BI75" s="936"/>
      <c r="BJ75" s="936"/>
      <c r="BK75" s="936"/>
      <c r="BL75" s="936"/>
      <c r="BM75" s="936"/>
    </row>
    <row r="76" spans="2:65" s="939" customFormat="1" ht="17.25" customHeight="1" thickTop="1">
      <c r="AB76" s="938"/>
      <c r="AC76" s="936"/>
      <c r="AD76" s="936"/>
      <c r="AE76" s="936"/>
      <c r="AF76" s="936"/>
      <c r="AG76" s="936"/>
      <c r="AH76" s="936"/>
      <c r="AI76" s="936"/>
      <c r="AJ76" s="936"/>
      <c r="AK76" s="936"/>
      <c r="AL76" s="936"/>
      <c r="AM76" s="936"/>
      <c r="AN76" s="936"/>
      <c r="AO76" s="936"/>
      <c r="AP76" s="936"/>
      <c r="AQ76" s="936"/>
      <c r="AR76" s="936"/>
      <c r="AS76" s="936"/>
      <c r="AT76" s="936"/>
      <c r="AU76" s="936"/>
      <c r="AV76" s="936"/>
      <c r="AW76" s="936"/>
      <c r="AX76" s="936"/>
      <c r="AY76" s="936"/>
      <c r="AZ76" s="936"/>
      <c r="BA76" s="936"/>
      <c r="BB76" s="936"/>
      <c r="BC76" s="936"/>
      <c r="BD76" s="936"/>
      <c r="BE76" s="936"/>
      <c r="BF76" s="936"/>
      <c r="BG76" s="936"/>
      <c r="BH76" s="936"/>
      <c r="BI76" s="936"/>
      <c r="BJ76" s="936"/>
      <c r="BK76" s="936"/>
      <c r="BL76" s="936"/>
      <c r="BM76" s="936"/>
    </row>
    <row r="77" spans="2:65" s="939" customFormat="1" ht="17.25" customHeight="1">
      <c r="E77" s="1067" t="s">
        <v>541</v>
      </c>
      <c r="F77" s="1068" t="str">
        <f>CONCATENATE(" -", "Interval")</f>
        <v xml:space="preserve"> -Interval</v>
      </c>
      <c r="G77" s="1069">
        <f>O35</f>
        <v>5</v>
      </c>
      <c r="H77" s="1070"/>
      <c r="I77" s="1070" t="str" cm="1">
        <f t="array" ref="I77">angleDecimal2Txt(VLOOKUP(G77,$R$27:$T$29,3),0)</f>
        <v>+84°26.30</v>
      </c>
      <c r="J77" s="1071"/>
      <c r="K77" s="1072">
        <f>O36</f>
        <v>5</v>
      </c>
      <c r="L77" s="1070"/>
      <c r="M77" s="1070" t="str" cm="1">
        <f t="array" ref="M77">angleDecimal2Txt(VLOOKUP(K77,$R$27:$T$29,3),0)</f>
        <v>+84°26.30</v>
      </c>
      <c r="N77" s="1073"/>
      <c r="O77" s="1069">
        <f>O37</f>
        <v>5</v>
      </c>
      <c r="P77" s="1070"/>
      <c r="Q77" s="1070" t="str" cm="1">
        <f t="array" ref="Q77">angleDecimal2Txt(VLOOKUP(O77,$R$27:$T$29,3),0)</f>
        <v>+84°26.30</v>
      </c>
      <c r="R77" s="1071"/>
      <c r="S77" s="1072">
        <f>O38</f>
        <v>6</v>
      </c>
      <c r="T77" s="1070"/>
      <c r="U77" s="1070" t="str" cm="1">
        <f t="array" ref="U77">angleDecimal2Txt(VLOOKUP(S77,$R$27:$T$29,3),0)</f>
        <v>+99°28.80</v>
      </c>
      <c r="V77" s="1073"/>
      <c r="W77" s="1069">
        <f>O39</f>
        <v>6</v>
      </c>
      <c r="X77" s="1070"/>
      <c r="Y77" s="1070" t="str" cm="1">
        <f t="array" ref="Y77">angleDecimal2Txt(VLOOKUP(W77,$R$27:$T$29,3),0)</f>
        <v>+99°28.80</v>
      </c>
      <c r="Z77" s="1071"/>
      <c r="AB77" s="938"/>
      <c r="AC77" s="936"/>
      <c r="AD77" s="936"/>
      <c r="AE77" s="936"/>
      <c r="AF77" s="936"/>
      <c r="AG77" s="936"/>
      <c r="AH77" s="936"/>
      <c r="AI77" s="936"/>
      <c r="AJ77" s="936"/>
      <c r="AK77" s="936"/>
      <c r="AL77" s="936"/>
      <c r="AM77" s="936"/>
      <c r="AN77" s="936"/>
      <c r="AO77" s="936"/>
      <c r="AP77" s="936"/>
      <c r="AQ77" s="936"/>
      <c r="AR77" s="936"/>
      <c r="AS77" s="936"/>
      <c r="AT77" s="936"/>
      <c r="AU77" s="936"/>
      <c r="AV77" s="936"/>
      <c r="AW77" s="936"/>
      <c r="AX77" s="936"/>
      <c r="AY77" s="936"/>
      <c r="AZ77" s="936"/>
      <c r="BA77" s="936"/>
      <c r="BB77" s="936"/>
      <c r="BC77" s="936"/>
      <c r="BD77" s="936"/>
      <c r="BE77" s="936"/>
      <c r="BF77" s="936"/>
      <c r="BG77" s="936"/>
      <c r="BH77" s="936"/>
      <c r="BI77" s="936"/>
      <c r="BJ77" s="936"/>
      <c r="BK77" s="936"/>
      <c r="BL77" s="936"/>
      <c r="BM77" s="936"/>
    </row>
    <row r="78" spans="2:65" s="939" customFormat="1" ht="17.25" customHeight="1">
      <c r="E78" s="1067"/>
      <c r="F78" s="1068"/>
      <c r="G78" s="1069">
        <f>G77+1</f>
        <v>6</v>
      </c>
      <c r="H78" s="1070"/>
      <c r="I78" s="1070" t="str" cm="1">
        <f t="array" ref="I78">angleDecimal2Txt(VLOOKUP(G78,$R$27:$T$29,3),0)</f>
        <v>+99°28.80</v>
      </c>
      <c r="J78" s="1071"/>
      <c r="K78" s="1072">
        <f>K77+1</f>
        <v>6</v>
      </c>
      <c r="L78" s="1070"/>
      <c r="M78" s="1070" t="str" cm="1">
        <f t="array" ref="M78">angleDecimal2Txt(VLOOKUP(K78,$R$27:$T$29,3),0)</f>
        <v>+99°28.80</v>
      </c>
      <c r="N78" s="1073"/>
      <c r="O78" s="1069">
        <f>O77+1</f>
        <v>6</v>
      </c>
      <c r="P78" s="1070"/>
      <c r="Q78" s="1070" t="str" cm="1">
        <f t="array" ref="Q78">angleDecimal2Txt(VLOOKUP(O78,$R$27:$T$29,3),0)</f>
        <v>+99°28.80</v>
      </c>
      <c r="R78" s="1071"/>
      <c r="S78" s="1072">
        <f>S77+1</f>
        <v>7</v>
      </c>
      <c r="T78" s="1070"/>
      <c r="U78" s="1070" t="str" cm="1">
        <f t="array" ref="U78">angleDecimal2Txt(VLOOKUP(S78,$R$27:$T$29,3),0)</f>
        <v>+114°31.30</v>
      </c>
      <c r="V78" s="1073"/>
      <c r="W78" s="1069">
        <f>W77+1</f>
        <v>7</v>
      </c>
      <c r="X78" s="1070"/>
      <c r="Y78" s="1070" t="str" cm="1">
        <f t="array" ref="Y78">angleDecimal2Txt(VLOOKUP(W78,$R$27:$T$29,3),0)</f>
        <v>+114°31.30</v>
      </c>
      <c r="Z78" s="1071"/>
      <c r="AB78" s="938"/>
      <c r="AC78" s="1013"/>
      <c r="AD78" s="936"/>
      <c r="AE78" s="936"/>
      <c r="AF78" s="936"/>
      <c r="AG78" s="936"/>
      <c r="AH78" s="936"/>
      <c r="AI78" s="936"/>
      <c r="AJ78" s="936"/>
      <c r="AK78" s="936"/>
      <c r="AL78" s="936"/>
      <c r="AM78" s="936"/>
      <c r="AN78" s="936"/>
      <c r="AO78" s="936"/>
      <c r="AP78" s="936"/>
      <c r="AQ78" s="936"/>
      <c r="AR78" s="936"/>
      <c r="AS78" s="936"/>
      <c r="AT78" s="936"/>
      <c r="AU78" s="936"/>
      <c r="AV78" s="936"/>
      <c r="AW78" s="936"/>
      <c r="AX78" s="936"/>
      <c r="AY78" s="936"/>
      <c r="AZ78" s="936"/>
      <c r="BA78" s="936"/>
      <c r="BB78" s="936"/>
      <c r="BC78" s="936"/>
      <c r="BD78" s="936"/>
      <c r="BE78" s="936"/>
      <c r="BF78" s="936"/>
      <c r="BG78" s="936"/>
      <c r="BH78" s="936"/>
      <c r="BI78" s="936"/>
      <c r="BJ78" s="936"/>
      <c r="BK78" s="936"/>
      <c r="BL78" s="936"/>
      <c r="BM78" s="936"/>
    </row>
    <row r="79" spans="2:65" s="939" customFormat="1" ht="17.25" customHeight="1">
      <c r="E79" s="1074" t="s">
        <v>542</v>
      </c>
      <c r="F79" s="1075"/>
      <c r="G79" s="1076" t="str" cm="1">
        <f t="array" ref="G79">angleDecimal2Txt(T35,0)</f>
        <v>+97°14.92</v>
      </c>
      <c r="H79" s="1074"/>
      <c r="I79" s="1074"/>
      <c r="J79" s="1077"/>
      <c r="K79" s="1078" t="str" cm="1">
        <f t="array" ref="K79">angleDecimal2Txt(T36,0)</f>
        <v>+98°18.85</v>
      </c>
      <c r="L79" s="1074"/>
      <c r="M79" s="1074"/>
      <c r="N79" s="1075"/>
      <c r="O79" s="1076" t="str" cm="1">
        <f t="array" ref="O79">angleDecimal2Txt(T37,0)</f>
        <v>+98°59.71</v>
      </c>
      <c r="P79" s="1074"/>
      <c r="Q79" s="1074"/>
      <c r="R79" s="1077"/>
      <c r="S79" s="1078" t="str" cm="1">
        <f t="array" ref="S79">angleDecimal2Txt(T38,0)</f>
        <v>+99°41.33</v>
      </c>
      <c r="T79" s="1074"/>
      <c r="U79" s="1074"/>
      <c r="V79" s="1075"/>
      <c r="W79" s="1076" t="str" cm="1">
        <f t="array" ref="W79">angleDecimal2Txt(T39,0)</f>
        <v>+100°57.79</v>
      </c>
      <c r="X79" s="1074"/>
      <c r="Y79" s="1074"/>
      <c r="Z79" s="1077"/>
      <c r="AB79" s="938"/>
      <c r="AC79" s="936"/>
      <c r="AD79" s="936"/>
      <c r="AE79" s="936"/>
      <c r="AF79" s="936"/>
      <c r="AG79" s="936"/>
      <c r="AH79" s="936"/>
      <c r="AI79" s="936"/>
      <c r="AJ79" s="936"/>
      <c r="AK79" s="936"/>
      <c r="AL79" s="936"/>
      <c r="AM79" s="936"/>
      <c r="AN79" s="936"/>
      <c r="AO79" s="936"/>
      <c r="AP79" s="936"/>
      <c r="AQ79" s="936"/>
      <c r="AR79" s="936"/>
      <c r="AS79" s="936"/>
      <c r="AT79" s="936"/>
      <c r="AU79" s="936"/>
      <c r="AV79" s="936"/>
      <c r="AW79" s="936"/>
      <c r="AX79" s="936"/>
      <c r="AY79" s="936"/>
      <c r="AZ79" s="936"/>
      <c r="BA79" s="936"/>
      <c r="BB79" s="936"/>
      <c r="BC79" s="936"/>
      <c r="BD79" s="936"/>
      <c r="BE79" s="936"/>
      <c r="BF79" s="936"/>
      <c r="BG79" s="936"/>
      <c r="BH79" s="936"/>
      <c r="BI79" s="936"/>
      <c r="BJ79" s="936"/>
      <c r="BK79" s="936"/>
      <c r="BL79" s="936"/>
      <c r="BM79" s="936"/>
    </row>
    <row r="80" spans="2:65" s="939" customFormat="1" ht="17.25" customHeight="1">
      <c r="E80" s="1074" t="s">
        <v>580</v>
      </c>
      <c r="F80" s="1075"/>
      <c r="G80" s="1076" t="str" cm="1">
        <f t="array" ref="G80">angleDecimal2Txt(U35,0)</f>
        <v>+84°23.92</v>
      </c>
      <c r="H80" s="1074"/>
      <c r="I80" s="1074"/>
      <c r="J80" s="1077"/>
      <c r="K80" s="1078" t="str" cm="1">
        <f t="array" ref="K80">angleDecimal2Txt(U36,0)</f>
        <v>+85°27.85</v>
      </c>
      <c r="L80" s="1074"/>
      <c r="M80" s="1074"/>
      <c r="N80" s="1075"/>
      <c r="O80" s="1076" t="str" cm="1">
        <f t="array" ref="O80">angleDecimal2Txt(U37,0)</f>
        <v>+86°08.71</v>
      </c>
      <c r="P80" s="1074"/>
      <c r="Q80" s="1074"/>
      <c r="R80" s="1077"/>
      <c r="S80" s="1078" t="str" cm="1">
        <f t="array" ref="S80">angleDecimal2Txt(U38,0)</f>
        <v>+86°50.33</v>
      </c>
      <c r="T80" s="1074"/>
      <c r="U80" s="1074"/>
      <c r="V80" s="1075"/>
      <c r="W80" s="1076" t="str" cm="1">
        <f t="array" ref="W80">angleDecimal2Txt(U39,0)</f>
        <v>+88°06.79</v>
      </c>
      <c r="X80" s="1074"/>
      <c r="Y80" s="1074"/>
      <c r="Z80" s="1077"/>
      <c r="AB80" s="938"/>
      <c r="AC80" s="936"/>
      <c r="AD80" s="936"/>
      <c r="AE80" s="936"/>
      <c r="AF80" s="936"/>
      <c r="AG80" s="936"/>
      <c r="AH80" s="936"/>
      <c r="AI80" s="936"/>
      <c r="AJ80" s="936"/>
      <c r="AK80" s="936"/>
      <c r="AL80" s="936"/>
      <c r="AM80" s="936"/>
      <c r="AN80" s="936"/>
      <c r="AO80" s="936"/>
      <c r="AP80" s="936"/>
      <c r="AQ80" s="936"/>
      <c r="AR80" s="936"/>
      <c r="AS80" s="936"/>
      <c r="AT80" s="936"/>
      <c r="AU80" s="936"/>
      <c r="AV80" s="936"/>
      <c r="AW80" s="936"/>
      <c r="AX80" s="936"/>
      <c r="AY80" s="936"/>
      <c r="AZ80" s="936"/>
      <c r="BA80" s="936"/>
      <c r="BB80" s="936"/>
      <c r="BC80" s="936"/>
      <c r="BD80" s="936"/>
      <c r="BE80" s="936"/>
      <c r="BF80" s="936"/>
      <c r="BG80" s="936"/>
      <c r="BH80" s="936"/>
      <c r="BI80" s="936"/>
      <c r="BJ80" s="936"/>
      <c r="BK80" s="936"/>
      <c r="BL80" s="936"/>
      <c r="BM80" s="936"/>
    </row>
    <row r="81" spans="5:65" s="939" customFormat="1" ht="17.25" customHeight="1">
      <c r="E81" s="1074" t="s">
        <v>577</v>
      </c>
      <c r="F81" s="1075"/>
      <c r="G81" s="1076" t="str" cm="1">
        <f t="array" ref="G81">angleDecimal2Txt(M27,0)</f>
        <v>+258°26.50</v>
      </c>
      <c r="H81" s="1074"/>
      <c r="I81" s="1074"/>
      <c r="J81" s="1077"/>
      <c r="K81" s="1078" t="str" cm="1">
        <f t="array" ref="K81">angleDecimal2Txt(M28,0)</f>
        <v>+244°51.20</v>
      </c>
      <c r="L81" s="1074"/>
      <c r="M81" s="1074"/>
      <c r="N81" s="1075"/>
      <c r="O81" s="1076" t="str" cm="1">
        <f t="array" ref="O81">angleDecimal2Txt(M29,0)</f>
        <v>+263°52.50</v>
      </c>
      <c r="P81" s="1074"/>
      <c r="Q81" s="1074"/>
      <c r="R81" s="1077"/>
      <c r="S81" s="1078" t="str" cm="1">
        <f t="array" ref="S81">angleDecimal2Txt(M30,0)</f>
        <v>+280°22.10</v>
      </c>
      <c r="T81" s="1074"/>
      <c r="U81" s="1074"/>
      <c r="V81" s="1075"/>
      <c r="W81" s="1076" t="str" cm="1">
        <f t="array" ref="W81">angleDecimal2Txt(M31,0)</f>
        <v>+327°51.20</v>
      </c>
      <c r="X81" s="1074"/>
      <c r="Y81" s="1074"/>
      <c r="Z81" s="1077"/>
      <c r="AD81" s="936"/>
      <c r="AE81" s="936"/>
      <c r="AF81" s="936"/>
      <c r="AG81" s="936"/>
      <c r="AH81" s="936"/>
      <c r="AI81" s="936"/>
      <c r="AJ81" s="936"/>
      <c r="AK81" s="936"/>
      <c r="AL81" s="936"/>
      <c r="AM81" s="936"/>
      <c r="AN81" s="936"/>
      <c r="AO81" s="936"/>
      <c r="AP81" s="936"/>
      <c r="AQ81" s="936"/>
      <c r="AR81" s="936"/>
      <c r="AS81" s="936"/>
      <c r="AT81" s="936"/>
      <c r="AU81" s="936"/>
      <c r="AV81" s="936"/>
      <c r="AW81" s="936"/>
      <c r="AX81" s="936"/>
      <c r="AY81" s="936"/>
      <c r="AZ81" s="936"/>
      <c r="BA81" s="936"/>
      <c r="BB81" s="936"/>
      <c r="BC81" s="936"/>
      <c r="BD81" s="936"/>
      <c r="BE81" s="936"/>
      <c r="BF81" s="936"/>
      <c r="BG81" s="936"/>
      <c r="BH81" s="936"/>
      <c r="BI81" s="936"/>
      <c r="BJ81" s="936"/>
      <c r="BK81" s="936"/>
      <c r="BL81" s="936"/>
      <c r="BM81" s="936"/>
    </row>
    <row r="82" spans="5:65" s="939" customFormat="1" ht="17.25" customHeight="1">
      <c r="E82" s="1074" t="s">
        <v>578</v>
      </c>
      <c r="F82" s="1075"/>
      <c r="G82" s="1076" t="str" cm="1">
        <f t="array" ref="G82">angleDecimal2Txt(V35,0)</f>
        <v>+355°41.42</v>
      </c>
      <c r="H82" s="1074"/>
      <c r="I82" s="1074"/>
      <c r="J82" s="1077"/>
      <c r="K82" s="1078" t="str" cm="1">
        <f t="array" ref="K82">angleDecimal2Txt(V36,0)</f>
        <v>+343°10.05</v>
      </c>
      <c r="L82" s="1074"/>
      <c r="M82" s="1074"/>
      <c r="N82" s="1075"/>
      <c r="O82" s="1076" t="str" cm="1">
        <f t="array" ref="O82">angleDecimal2Txt(V37,0)</f>
        <v>+02°52.21</v>
      </c>
      <c r="P82" s="1074"/>
      <c r="Q82" s="1074"/>
      <c r="R82" s="1077"/>
      <c r="S82" s="1078" t="str" cm="1">
        <f t="array" ref="S82">angleDecimal2Txt(V38,0)</f>
        <v>+20°03.43</v>
      </c>
      <c r="T82" s="1074"/>
      <c r="U82" s="1074"/>
      <c r="V82" s="1075"/>
      <c r="W82" s="1076" t="str" cm="1">
        <f t="array" ref="W82">angleDecimal2Txt(V39,0)</f>
        <v>+68°48.99</v>
      </c>
      <c r="X82" s="1074"/>
      <c r="Y82" s="1074"/>
      <c r="Z82" s="1077"/>
      <c r="AD82" s="936"/>
      <c r="AE82" s="936"/>
      <c r="AF82" s="936"/>
      <c r="AG82" s="936"/>
      <c r="AH82" s="936"/>
      <c r="AI82" s="936"/>
      <c r="AJ82" s="936"/>
      <c r="AK82" s="936"/>
      <c r="AL82" s="936"/>
      <c r="AM82" s="936"/>
      <c r="AN82" s="936"/>
      <c r="AO82" s="936"/>
      <c r="AP82" s="936"/>
      <c r="AQ82" s="936"/>
      <c r="AR82" s="936"/>
      <c r="AS82" s="936"/>
      <c r="AT82" s="936"/>
      <c r="AU82" s="936"/>
      <c r="AV82" s="936"/>
      <c r="AW82" s="936"/>
      <c r="AX82" s="936"/>
      <c r="AY82" s="936"/>
      <c r="AZ82" s="936"/>
      <c r="BA82" s="936"/>
      <c r="BB82" s="936"/>
      <c r="BC82" s="936"/>
      <c r="BD82" s="936"/>
      <c r="BE82" s="936"/>
      <c r="BF82" s="936"/>
      <c r="BG82" s="936"/>
      <c r="BH82" s="936"/>
      <c r="BI82" s="936"/>
      <c r="BJ82" s="936"/>
      <c r="BK82" s="936"/>
      <c r="BL82" s="936"/>
      <c r="BM82" s="936"/>
    </row>
    <row r="83" spans="5:65" s="939" customFormat="1" ht="17.25" customHeight="1">
      <c r="E83" s="1074" t="s">
        <v>579</v>
      </c>
      <c r="F83" s="1075"/>
      <c r="G83" s="1076" t="str" cm="1">
        <f t="array" ref="G83">angleDecimal2Txt(W35,0)</f>
        <v>+342°50.42</v>
      </c>
      <c r="H83" s="1074"/>
      <c r="I83" s="1074"/>
      <c r="J83" s="1077"/>
      <c r="K83" s="1078" t="str" cm="1">
        <f t="array" ref="K83">angleDecimal2Txt(W36,0)</f>
        <v>+330°19.05</v>
      </c>
      <c r="L83" s="1074"/>
      <c r="M83" s="1074"/>
      <c r="N83" s="1075"/>
      <c r="O83" s="1076" t="str" cm="1">
        <f t="array" ref="O83">angleDecimal2Txt(W37,0)</f>
        <v>+350°01.21</v>
      </c>
      <c r="P83" s="1074"/>
      <c r="Q83" s="1074"/>
      <c r="R83" s="1077"/>
      <c r="S83" s="1078" t="str" cm="1">
        <f t="array" ref="S83">angleDecimal2Txt(W38,0)</f>
        <v>+07°12.43</v>
      </c>
      <c r="T83" s="1074"/>
      <c r="U83" s="1074"/>
      <c r="V83" s="1075"/>
      <c r="W83" s="1076" t="str" cm="1">
        <f t="array" ref="W83">angleDecimal2Txt(W39,0)</f>
        <v>+55°57.99</v>
      </c>
      <c r="X83" s="1074"/>
      <c r="Y83" s="1074"/>
      <c r="Z83" s="1077"/>
      <c r="AD83" s="936"/>
      <c r="AE83" s="936"/>
      <c r="AF83" s="936"/>
      <c r="AG83" s="936"/>
      <c r="AH83" s="936"/>
      <c r="AI83" s="936"/>
      <c r="AJ83" s="936"/>
      <c r="AK83" s="936"/>
      <c r="AL83" s="936"/>
      <c r="AM83" s="936"/>
      <c r="AN83" s="936"/>
      <c r="AO83" s="936"/>
      <c r="AP83" s="936"/>
      <c r="AQ83" s="936"/>
      <c r="AR83" s="936"/>
      <c r="AS83" s="936"/>
      <c r="AT83" s="936"/>
      <c r="AU83" s="936"/>
      <c r="AV83" s="936"/>
      <c r="AW83" s="936"/>
      <c r="AX83" s="936"/>
      <c r="AY83" s="936"/>
      <c r="AZ83" s="936"/>
      <c r="BA83" s="936"/>
      <c r="BB83" s="936"/>
      <c r="BC83" s="936"/>
      <c r="BD83" s="936"/>
      <c r="BE83" s="936"/>
      <c r="BF83" s="936"/>
      <c r="BG83" s="936"/>
      <c r="BH83" s="936"/>
      <c r="BI83" s="936"/>
      <c r="BJ83" s="936"/>
      <c r="BK83" s="936"/>
      <c r="BL83" s="936"/>
      <c r="BM83" s="936"/>
    </row>
    <row r="84" spans="5:65" s="939" customFormat="1" ht="17.25" customHeight="1">
      <c r="E84" s="1074" t="s">
        <v>581</v>
      </c>
      <c r="F84" s="1075"/>
      <c r="G84" s="1076" t="str" cm="1">
        <f t="array" ref="G84">angleDecimal2Txt(O27,0)</f>
        <v>-16°44.70</v>
      </c>
      <c r="H84" s="1074"/>
      <c r="I84" s="1074"/>
      <c r="J84" s="1077"/>
      <c r="K84" s="1078" t="str" cm="1">
        <f t="array" ref="K84">angleDecimal2Txt(O28,0)</f>
        <v>+05°09.80</v>
      </c>
      <c r="L84" s="1074"/>
      <c r="M84" s="1074"/>
      <c r="N84" s="1075"/>
      <c r="O84" s="1076" t="str" cm="1">
        <f t="array" ref="O84">angleDecimal2Txt(O29,0)</f>
        <v>-52°42.10</v>
      </c>
      <c r="P84" s="1074"/>
      <c r="Q84" s="1074"/>
      <c r="R84" s="1077"/>
      <c r="S84" s="1078" t="str" cm="1">
        <f t="array" ref="S84">angleDecimal2Txt(O30,0)</f>
        <v>+46°01.30</v>
      </c>
      <c r="T84" s="1074"/>
      <c r="U84" s="1074"/>
      <c r="V84" s="1075"/>
      <c r="W84" s="1076" t="str" cm="1">
        <f t="array" ref="W84">angleDecimal2Txt(O31,0)</f>
        <v>+23°34.79</v>
      </c>
      <c r="X84" s="1074"/>
      <c r="Y84" s="1074"/>
      <c r="Z84" s="1077"/>
      <c r="AD84" s="936"/>
      <c r="AE84" s="936"/>
      <c r="AF84" s="936"/>
      <c r="AG84" s="936"/>
      <c r="AH84" s="936"/>
      <c r="AI84" s="936"/>
      <c r="AJ84" s="936"/>
      <c r="AK84" s="936"/>
      <c r="AL84" s="936"/>
      <c r="AM84" s="936"/>
      <c r="AN84" s="936"/>
      <c r="AO84" s="936"/>
      <c r="AP84" s="936"/>
      <c r="AQ84" s="936"/>
      <c r="AR84" s="936"/>
      <c r="AS84" s="936"/>
      <c r="AT84" s="936"/>
      <c r="AU84" s="936"/>
      <c r="AV84" s="936"/>
      <c r="AW84" s="936"/>
      <c r="AX84" s="936"/>
      <c r="AY84" s="936"/>
      <c r="AZ84" s="936"/>
      <c r="BA84" s="936"/>
      <c r="BB84" s="936"/>
      <c r="BC84" s="936"/>
      <c r="BD84" s="936"/>
      <c r="BE84" s="936"/>
      <c r="BF84" s="936"/>
      <c r="BG84" s="936"/>
      <c r="BH84" s="936"/>
      <c r="BI84" s="936"/>
      <c r="BJ84" s="936"/>
      <c r="BK84" s="936"/>
      <c r="BL84" s="936"/>
      <c r="BM84" s="936"/>
    </row>
    <row r="85" spans="5:65" s="939" customFormat="1" ht="17.25" customHeight="1">
      <c r="E85" s="1070" t="s">
        <v>518</v>
      </c>
      <c r="F85" s="1073"/>
      <c r="G85" s="1079">
        <f>SIN(O27*Outils!$F$4)</f>
        <v>-0.28811270317148113</v>
      </c>
      <c r="H85" s="1080">
        <f>SIN($F$12*Outils!$F$4)</f>
        <v>8.8894296866441513E-2</v>
      </c>
      <c r="I85" s="1070" t="s">
        <v>519</v>
      </c>
      <c r="J85" s="1071"/>
      <c r="K85" s="1081">
        <f>SIN(O28*Outils!$F$4)</f>
        <v>8.9995241419141142E-2</v>
      </c>
      <c r="L85" s="1080">
        <f>SIN($F$12*Outils!$F$4)</f>
        <v>8.8894296866441513E-2</v>
      </c>
      <c r="M85" s="1070" t="s">
        <v>519</v>
      </c>
      <c r="N85" s="1073"/>
      <c r="O85" s="1079">
        <f>SIN(O29*Outils!$F$4)</f>
        <v>-0.79549110800636724</v>
      </c>
      <c r="P85" s="1080">
        <f>SIN($F$12*Outils!$F$4)</f>
        <v>8.8894296866441513E-2</v>
      </c>
      <c r="Q85" s="1070" t="s">
        <v>519</v>
      </c>
      <c r="R85" s="1071"/>
      <c r="S85" s="1081">
        <f>SIN(O30*Outils!$F$4)</f>
        <v>0.71960243720697437</v>
      </c>
      <c r="T85" s="1080">
        <f>SIN($F$12*Outils!$F$4)</f>
        <v>8.8894296866441513E-2</v>
      </c>
      <c r="U85" s="1070" t="s">
        <v>519</v>
      </c>
      <c r="V85" s="1073"/>
      <c r="W85" s="1079">
        <f>SIN(O31*Outils!$F$4)</f>
        <v>0.40002913723726474</v>
      </c>
      <c r="X85" s="1080">
        <f>SIN($F$12*Outils!$F$4)</f>
        <v>8.8894296866441513E-2</v>
      </c>
      <c r="Y85" s="1070" t="s">
        <v>519</v>
      </c>
      <c r="Z85" s="1071"/>
      <c r="AD85" s="936"/>
      <c r="AE85" s="936"/>
      <c r="AF85" s="936"/>
      <c r="AG85" s="936"/>
      <c r="AH85" s="936"/>
      <c r="AI85" s="936"/>
      <c r="AJ85" s="936"/>
      <c r="AK85" s="936"/>
      <c r="AL85" s="936"/>
      <c r="AM85" s="936"/>
      <c r="AN85" s="936"/>
      <c r="AO85" s="936"/>
      <c r="AP85" s="936"/>
      <c r="AQ85" s="936"/>
      <c r="AR85" s="936"/>
      <c r="AS85" s="936"/>
      <c r="AT85" s="936"/>
      <c r="AU85" s="936"/>
      <c r="AV85" s="936"/>
      <c r="AW85" s="936"/>
      <c r="AX85" s="936"/>
      <c r="AY85" s="936"/>
      <c r="AZ85" s="936"/>
      <c r="BA85" s="936"/>
      <c r="BB85" s="936"/>
      <c r="BC85" s="936"/>
      <c r="BD85" s="936"/>
      <c r="BE85" s="936"/>
      <c r="BF85" s="936"/>
      <c r="BG85" s="936"/>
      <c r="BH85" s="936"/>
      <c r="BI85" s="936"/>
      <c r="BJ85" s="936"/>
      <c r="BK85" s="936"/>
      <c r="BL85" s="936"/>
      <c r="BM85" s="936"/>
    </row>
    <row r="86" spans="5:65" customFormat="1" ht="17.25" customHeight="1">
      <c r="E86" s="1070" t="s">
        <v>517</v>
      </c>
      <c r="F86" s="1073"/>
      <c r="G86" s="1082">
        <f>COS(O27*Outils!$F$4)</f>
        <v>0.95759650702747556</v>
      </c>
      <c r="H86" s="1080">
        <f>COS($F$12*Outils!$F$4)</f>
        <v>0.99604106541076953</v>
      </c>
      <c r="I86" s="1070" t="s">
        <v>520</v>
      </c>
      <c r="J86" s="1071"/>
      <c r="K86" s="1083">
        <f>COS(O28*Outils!$F$4)</f>
        <v>0.99594219537175477</v>
      </c>
      <c r="L86" s="1080">
        <f>COS($F$12*Outils!$F$4)</f>
        <v>0.99604106541076953</v>
      </c>
      <c r="M86" s="1070" t="s">
        <v>520</v>
      </c>
      <c r="N86" s="1073"/>
      <c r="O86" s="1082">
        <f>COS(O29*Outils!$F$4)</f>
        <v>0.60596526062374423</v>
      </c>
      <c r="P86" s="1080">
        <f>COS($F$12*Outils!$F$4)</f>
        <v>0.99604106541076953</v>
      </c>
      <c r="Q86" s="1070" t="s">
        <v>520</v>
      </c>
      <c r="R86" s="1071"/>
      <c r="S86" s="1083">
        <f>COS(O30*Outils!$F$4)</f>
        <v>0.69438629909135052</v>
      </c>
      <c r="T86" s="1080">
        <f>COS($F$12*Outils!$F$4)</f>
        <v>0.99604106541076953</v>
      </c>
      <c r="U86" s="1070" t="s">
        <v>520</v>
      </c>
      <c r="V86" s="1073"/>
      <c r="W86" s="1082">
        <f>COS(O31*Outils!$F$4)</f>
        <v>0.91650242190689801</v>
      </c>
      <c r="X86" s="1080">
        <f>COS($F$12*Outils!$F$4)</f>
        <v>0.99604106541076953</v>
      </c>
      <c r="Y86" s="1070" t="s">
        <v>520</v>
      </c>
      <c r="Z86" s="1071"/>
      <c r="AA86" s="939"/>
      <c r="AB86" s="939"/>
      <c r="AC86" s="939"/>
    </row>
    <row r="87" spans="5:65" customFormat="1" ht="17.25" customHeight="1">
      <c r="E87" s="1070" t="s">
        <v>521</v>
      </c>
      <c r="F87" s="1073"/>
      <c r="G87" s="1069">
        <f>COS(W35*Outils!$F$4)</f>
        <v>0.95548707563862623</v>
      </c>
      <c r="H87" s="1070"/>
      <c r="I87" s="1070"/>
      <c r="J87" s="1071"/>
      <c r="K87" s="1072">
        <f>COS(W36*Outils!$F$4)</f>
        <v>0.86878370344312994</v>
      </c>
      <c r="L87" s="1070"/>
      <c r="M87" s="1070"/>
      <c r="N87" s="1073"/>
      <c r="O87" s="1069">
        <f>COS(W37*Outils!$F$4)</f>
        <v>0.98486928788348449</v>
      </c>
      <c r="P87" s="1070"/>
      <c r="Q87" s="1070"/>
      <c r="R87" s="1071"/>
      <c r="S87" s="1072">
        <f>COS(W38*Outils!$F$4)</f>
        <v>0.99209884429676054</v>
      </c>
      <c r="T87" s="1070"/>
      <c r="U87" s="1070"/>
      <c r="V87" s="1073"/>
      <c r="W87" s="1069">
        <f>COS(W39*Outils!$F$4)</f>
        <v>0.55967596034162093</v>
      </c>
      <c r="X87" s="1070"/>
      <c r="Y87" s="1070"/>
      <c r="Z87" s="1071"/>
      <c r="AA87" s="939"/>
      <c r="AB87" s="939"/>
      <c r="AC87" s="939"/>
    </row>
    <row r="88" spans="5:65" customFormat="1" ht="17.25" customHeight="1">
      <c r="E88" s="1084"/>
      <c r="F88" s="1085"/>
      <c r="G88" s="1085"/>
      <c r="H88" s="1085"/>
      <c r="I88" s="1085"/>
      <c r="J88" s="1062" t="s">
        <v>522</v>
      </c>
      <c r="K88" s="1062"/>
      <c r="L88" s="1062"/>
      <c r="M88" s="1062"/>
      <c r="N88" s="1062"/>
      <c r="O88" s="1062"/>
      <c r="P88" s="1062"/>
      <c r="Q88" s="1062"/>
      <c r="R88" s="1062"/>
      <c r="S88" s="1062"/>
      <c r="T88" s="1062"/>
      <c r="U88" s="1062"/>
      <c r="V88" s="1085"/>
      <c r="W88" s="1085"/>
      <c r="X88" s="1085"/>
      <c r="Y88" s="1085"/>
      <c r="Z88" s="1085"/>
      <c r="AA88" s="939"/>
      <c r="AB88" s="939"/>
      <c r="AC88" s="939"/>
    </row>
    <row r="89" spans="5:65" customFormat="1" ht="17.25" customHeight="1">
      <c r="E89" s="1070" t="s">
        <v>530</v>
      </c>
      <c r="F89" s="1073"/>
      <c r="G89" s="1069">
        <f>G85*H85+G86*H86*G87</f>
        <v>0.88573719929365613</v>
      </c>
      <c r="H89" s="1070"/>
      <c r="I89" s="1070"/>
      <c r="J89" s="1071"/>
      <c r="K89" s="1072">
        <f>K85*L85+K86*L86*K87</f>
        <v>0.86983291141151298</v>
      </c>
      <c r="L89" s="1070"/>
      <c r="M89" s="1070"/>
      <c r="N89" s="1073"/>
      <c r="O89" s="1069">
        <f>O85*P85+O86*P86*O87</f>
        <v>0.52371927340054036</v>
      </c>
      <c r="P89" s="1070"/>
      <c r="Q89" s="1070"/>
      <c r="R89" s="1071"/>
      <c r="S89" s="1072">
        <f>S85*T85+S86*T86*S87</f>
        <v>0.75014108807873581</v>
      </c>
      <c r="T89" s="1070"/>
      <c r="U89" s="1070"/>
      <c r="V89" s="1073"/>
      <c r="W89" s="1069">
        <f>W85*X85+W86*X86*W87</f>
        <v>0.54647396879580057</v>
      </c>
      <c r="X89" s="1070"/>
      <c r="Y89" s="1070"/>
      <c r="Z89" s="1071"/>
      <c r="AA89" s="207"/>
      <c r="AB89" s="251"/>
    </row>
    <row r="90" spans="5:65" customFormat="1" ht="17.25" customHeight="1">
      <c r="E90" s="961" t="s">
        <v>523</v>
      </c>
      <c r="F90" s="1092"/>
      <c r="G90" s="1093" t="str" cm="1">
        <f t="array" ref="G90">angleDecimal2Txt(Outils!$F$5*ASIN(G89),0)</f>
        <v>+62°20.54</v>
      </c>
      <c r="H90" s="961"/>
      <c r="I90" s="961"/>
      <c r="J90" s="1094"/>
      <c r="K90" s="1095" t="str" cm="1">
        <f t="array" ref="K90">angleDecimal2Txt(Outils!$F$5*ASIN(K89),0)</f>
        <v>+60°26.35</v>
      </c>
      <c r="L90" s="961"/>
      <c r="M90" s="961"/>
      <c r="N90" s="1092"/>
      <c r="O90" s="1093" t="str" cm="1">
        <f t="array" ref="O90">angleDecimal2Txt(Outils!$F$5*ASIN(O89),0)</f>
        <v>+31°34.92</v>
      </c>
      <c r="P90" s="961"/>
      <c r="Q90" s="961"/>
      <c r="R90" s="1094"/>
      <c r="S90" s="1095" t="str" cm="1">
        <f t="array" ref="S90">angleDecimal2Txt(Outils!$F$5*ASIN(S89),0)</f>
        <v>+48°36.15</v>
      </c>
      <c r="T90" s="961"/>
      <c r="U90" s="961"/>
      <c r="V90" s="1092"/>
      <c r="W90" s="1093" t="str" cm="1">
        <f t="array" ref="W90">angleDecimal2Txt(Outils!$F$5*ASIN(W89),0)</f>
        <v>+33°07.52</v>
      </c>
      <c r="X90" s="961"/>
      <c r="Y90" s="961"/>
      <c r="Z90" s="1094"/>
      <c r="AA90" s="207"/>
      <c r="AB90" s="251"/>
    </row>
    <row r="91" spans="5:65" customFormat="1" ht="17.25" customHeight="1">
      <c r="E91" s="965" t="s">
        <v>531</v>
      </c>
      <c r="F91" s="1041"/>
      <c r="G91" s="1093" t="str" cm="1">
        <f t="array" ref="G91">angleDecimal2Txt((M35-X35),0)</f>
        <v>-00°10.16</v>
      </c>
      <c r="H91" s="961"/>
      <c r="I91" s="961"/>
      <c r="J91" s="1094"/>
      <c r="K91" s="1095" t="str" cm="1">
        <f t="array" ref="K91">angleDecimal2Txt((M36-X36),0)</f>
        <v>-00°07.52</v>
      </c>
      <c r="L91" s="961"/>
      <c r="M91" s="961"/>
      <c r="N91" s="1092"/>
      <c r="O91" s="1093" t="str" cm="1">
        <f t="array" ref="O91">angleDecimal2Txt((M37-X37),0)</f>
        <v>-00°10.74</v>
      </c>
      <c r="P91" s="961"/>
      <c r="Q91" s="961"/>
      <c r="R91" s="1094"/>
      <c r="S91" s="1095" t="str" cm="1">
        <f t="array" ref="S91">angleDecimal2Txt((M38-X38),0)</f>
        <v>+00°09.06</v>
      </c>
      <c r="T91" s="961"/>
      <c r="U91" s="961"/>
      <c r="V91" s="1092"/>
      <c r="W91" s="1093" t="str" cm="1">
        <f t="array" ref="W91">angleDecimal2Txt((M39-X39),0)</f>
        <v>+00°11.24</v>
      </c>
      <c r="X91" s="961"/>
      <c r="Y91" s="961"/>
      <c r="Z91" s="1094"/>
      <c r="AA91" s="207"/>
      <c r="AB91" s="251"/>
    </row>
    <row r="92" spans="5:65" customFormat="1" ht="17.25" customHeight="1">
      <c r="E92" s="967"/>
      <c r="F92" s="1042"/>
      <c r="G92" s="1090" t="str">
        <f>CONCATENATE(TEXT(Z35,"0.00"),"  Mn")</f>
        <v>-10.17  Mn</v>
      </c>
      <c r="H92" s="945"/>
      <c r="I92" s="945"/>
      <c r="J92" s="1091"/>
      <c r="K92" s="955" t="str">
        <f>CONCATENATE(TEXT(Z36,"0.00"),"  Mn")</f>
        <v>-7.52  Mn</v>
      </c>
      <c r="L92" s="945"/>
      <c r="M92" s="945"/>
      <c r="N92" s="954"/>
      <c r="O92" s="1090" t="str">
        <f>CONCATENATE(TEXT(Z37,"0.00"),"  Mn")</f>
        <v>-10.75  Mn</v>
      </c>
      <c r="P92" s="945"/>
      <c r="Q92" s="945"/>
      <c r="R92" s="1091"/>
      <c r="S92" s="955" t="str">
        <f>CONCATENATE(TEXT(Z38,"0.00"),"  Mn")</f>
        <v>9.07  Mn</v>
      </c>
      <c r="T92" s="945"/>
      <c r="U92" s="945"/>
      <c r="V92" s="954"/>
      <c r="W92" s="1090" t="str">
        <f>CONCATENATE(TEXT(Z39,"0.00"),"  Mn")</f>
        <v>11.25  Mn</v>
      </c>
      <c r="X92" s="945"/>
      <c r="Y92" s="945"/>
      <c r="Z92" s="1091"/>
      <c r="AA92" s="207"/>
      <c r="AB92" s="251"/>
    </row>
    <row r="93" spans="5:65" ht="17.25" customHeight="1">
      <c r="E93" s="969"/>
      <c r="F93" s="1043"/>
      <c r="G93" s="1090" t="str">
        <f>AA35</f>
        <v>Oppose de Pg</v>
      </c>
      <c r="H93" s="945"/>
      <c r="I93" s="945"/>
      <c r="J93" s="1091"/>
      <c r="K93" s="955" t="str">
        <f>AA36</f>
        <v>Oppose de Pg</v>
      </c>
      <c r="L93" s="945"/>
      <c r="M93" s="945"/>
      <c r="N93" s="954"/>
      <c r="O93" s="1090" t="str">
        <f>AA37</f>
        <v>Oppose de Pg</v>
      </c>
      <c r="P93" s="945"/>
      <c r="Q93" s="945"/>
      <c r="R93" s="1091"/>
      <c r="S93" s="955" t="str">
        <f>AA38</f>
        <v>Vers Pg</v>
      </c>
      <c r="T93" s="945"/>
      <c r="U93" s="945"/>
      <c r="V93" s="954"/>
      <c r="W93" s="1090" t="str">
        <f>AA39</f>
        <v>Vers Pg</v>
      </c>
      <c r="X93" s="945"/>
      <c r="Y93" s="945"/>
      <c r="Z93" s="1091"/>
    </row>
    <row r="94" spans="5:65" ht="17.25" customHeight="1">
      <c r="E94" s="1036" t="s">
        <v>416</v>
      </c>
      <c r="F94" s="1037"/>
      <c r="G94" s="1096" t="str" cm="1">
        <f t="array" ref="G94">latitudeDecimal2Txt(O27,0)</f>
        <v>S 16°44.70</v>
      </c>
      <c r="H94" s="1097"/>
      <c r="I94" s="1097"/>
      <c r="J94" s="1098"/>
      <c r="K94" s="1065" t="str" cm="1">
        <f t="array" ref="K94">latitudeDecimal2Txt(O28,0)</f>
        <v>N 05°09.80</v>
      </c>
      <c r="L94" s="1097"/>
      <c r="M94" s="1097"/>
      <c r="N94" s="1036"/>
      <c r="O94" s="1096" t="str" cm="1">
        <f t="array" ref="O94">latitudeDecimal2Txt(O29,0)</f>
        <v>S 52°42.10</v>
      </c>
      <c r="P94" s="1097"/>
      <c r="Q94" s="1097"/>
      <c r="R94" s="1098"/>
      <c r="S94" s="1065" t="str" cm="1">
        <f t="array" ref="S94">latitudeDecimal2Txt(O30,0)</f>
        <v>N 46°01.30</v>
      </c>
      <c r="T94" s="1097"/>
      <c r="U94" s="1097"/>
      <c r="V94" s="1036"/>
      <c r="W94" s="1096" t="str" cm="1">
        <f t="array" ref="W94">latitudeDecimal2Txt(O31,0)</f>
        <v>N 23°34.79</v>
      </c>
      <c r="X94" s="1097"/>
      <c r="Y94" s="1097"/>
      <c r="Z94" s="1098"/>
    </row>
    <row r="95" spans="5:65" ht="17.25" customHeight="1">
      <c r="E95" s="1038"/>
      <c r="F95" s="1039"/>
      <c r="G95" s="1099" t="str" cm="1">
        <f t="array" ref="G95">longitudeDecimal2Txt(longitudeHoraire2longitude(V35),0)</f>
        <v>E 04°18.57</v>
      </c>
      <c r="H95" s="1100"/>
      <c r="I95" s="1100"/>
      <c r="J95" s="1101"/>
      <c r="K95" s="1066" t="str" cm="1">
        <f t="array" ref="K95">longitudeDecimal2Txt(longitudeHoraire2longitude(V36),0)</f>
        <v>E 16°49.94</v>
      </c>
      <c r="L95" s="1100"/>
      <c r="M95" s="1100"/>
      <c r="N95" s="1038"/>
      <c r="O95" s="1099" t="str" cm="1">
        <f t="array" ref="O95">longitudeDecimal2Txt(longitudeHoraire2longitude(V37),0)</f>
        <v>W 02°52.21</v>
      </c>
      <c r="P95" s="1100"/>
      <c r="Q95" s="1100"/>
      <c r="R95" s="1101"/>
      <c r="S95" s="1066" t="str" cm="1">
        <f t="array" ref="S95">longitudeDecimal2Txt(longitudeHoraire2longitude(V38),0)</f>
        <v>W 20°03.43</v>
      </c>
      <c r="T95" s="1100"/>
      <c r="U95" s="1100"/>
      <c r="V95" s="1038"/>
      <c r="W95" s="1099" t="str" cm="1">
        <f t="array" ref="W95">longitudeDecimal2Txt(longitudeHoraire2longitude(V39),0)</f>
        <v>W 68°48.99</v>
      </c>
      <c r="X95" s="1100"/>
      <c r="Y95" s="1100"/>
      <c r="Z95" s="1101"/>
    </row>
    <row r="96" spans="5:65" ht="17.25" customHeight="1">
      <c r="E96" s="1084"/>
      <c r="F96" s="1085"/>
      <c r="G96" s="1085"/>
      <c r="H96" s="1085"/>
      <c r="I96" s="1085"/>
      <c r="J96" s="1063" t="s">
        <v>524</v>
      </c>
      <c r="K96" s="1063"/>
      <c r="L96" s="1063"/>
      <c r="M96" s="1063"/>
      <c r="N96" s="1063"/>
      <c r="O96" s="1063"/>
      <c r="P96" s="1063"/>
      <c r="Q96" s="1063"/>
      <c r="R96" s="1063"/>
      <c r="S96" s="1063"/>
      <c r="T96" s="1063"/>
      <c r="U96" s="1063"/>
      <c r="V96" s="1085"/>
      <c r="W96" s="1085"/>
      <c r="X96" s="1085"/>
      <c r="Y96" s="1085"/>
      <c r="Z96" s="1085"/>
    </row>
    <row r="97" spans="5:29" ht="17.25" customHeight="1">
      <c r="E97" s="1070" t="s">
        <v>525</v>
      </c>
      <c r="F97" s="1073"/>
      <c r="G97" s="1069">
        <f>(G85-H85*SIN(X35*Outils!$F$4))/(H86*COS(X35*Outils!$F$4))</f>
        <v>-0.79344694828945861</v>
      </c>
      <c r="H97" s="1070"/>
      <c r="I97" s="1070"/>
      <c r="J97" s="1071"/>
      <c r="K97" s="1072">
        <f>(K85-L85*SIN(X36*Outils!$F$4))/(L86*COS(X36*Outils!$F$4))</f>
        <v>2.5788011576263231E-2</v>
      </c>
      <c r="L97" s="1070"/>
      <c r="M97" s="1070"/>
      <c r="N97" s="1073"/>
      <c r="O97" s="1069">
        <f>(O85-P85*SIN(X37*Outils!$F$4))/(P86*COS(X37*Outils!$F$4))</f>
        <v>-0.99237309921545735</v>
      </c>
      <c r="P97" s="1070"/>
      <c r="Q97" s="1070"/>
      <c r="R97" s="1071"/>
      <c r="S97" s="1072">
        <f>(S85-T85*SIN(X38*Outils!$F$4))/(T86*COS(X38*Outils!$F$4))</f>
        <v>0.99128429310278188</v>
      </c>
      <c r="T97" s="1070"/>
      <c r="U97" s="1070"/>
      <c r="V97" s="1073"/>
      <c r="W97" s="1069">
        <f>(W85-X85*SIN(X39*Outils!$F$4))/(X86*COS(X39*Outils!$F$4))</f>
        <v>0.421322617868093</v>
      </c>
      <c r="X97" s="1070"/>
      <c r="Y97" s="1070"/>
      <c r="Z97" s="1071"/>
    </row>
    <row r="98" spans="5:29" ht="17.25" customHeight="1">
      <c r="E98" s="1070" t="s">
        <v>96</v>
      </c>
      <c r="F98" s="1073"/>
      <c r="G98" s="1069" t="str" cm="1">
        <f t="array" ref="G98">angleDecimal2Txt(AK35,0)</f>
        <v>+124°29.95</v>
      </c>
      <c r="H98" s="1070"/>
      <c r="I98" s="1070"/>
      <c r="J98" s="1071"/>
      <c r="K98" s="1072" t="str" cm="1">
        <f t="array" ref="K98">angleDecimal2Txt(AK36,0)</f>
        <v>+88°01.92</v>
      </c>
      <c r="L98" s="1070"/>
      <c r="M98" s="1070"/>
      <c r="N98" s="1073"/>
      <c r="O98" s="1069" t="str" cm="1">
        <f t="array" ref="O98">angleDecimal2Txt(AK37,0)</f>
        <v>+166°51.49</v>
      </c>
      <c r="P98" s="1070"/>
      <c r="Q98" s="1070"/>
      <c r="R98" s="1071"/>
      <c r="S98" s="1072" t="str" cm="1">
        <f t="array" ref="S98">angleDecimal2Txt(AK38,0)</f>
        <v>+25°15.81</v>
      </c>
      <c r="T98" s="1070"/>
      <c r="U98" s="1070"/>
      <c r="V98" s="1073"/>
      <c r="W98" s="1069" t="str" cm="1">
        <f t="array" ref="W98">angleDecimal2Txt(AK39,0)</f>
        <v>+65°25.83</v>
      </c>
      <c r="X98" s="1070"/>
      <c r="Y98" s="1070"/>
      <c r="Z98" s="1071"/>
    </row>
    <row r="99" spans="5:29" ht="17.25" customHeight="1">
      <c r="E99" s="1084"/>
      <c r="F99" s="1086"/>
      <c r="G99" s="1087"/>
      <c r="H99" s="1088"/>
      <c r="I99" s="1088"/>
      <c r="J99" s="1064" t="s">
        <v>154</v>
      </c>
      <c r="K99" s="1064"/>
      <c r="L99" s="1064"/>
      <c r="M99" s="1056"/>
      <c r="N99" s="1056"/>
      <c r="O99" s="1056"/>
      <c r="P99" s="1064" t="s">
        <v>155</v>
      </c>
      <c r="Q99" s="1064"/>
      <c r="R99" s="1056"/>
      <c r="S99" s="1056"/>
      <c r="T99" s="1056"/>
      <c r="U99" s="1056"/>
      <c r="V99" s="1088"/>
      <c r="W99" s="1088"/>
      <c r="X99" s="1088"/>
      <c r="Y99" s="1088"/>
      <c r="Z99" s="1088"/>
      <c r="AA99" s="16"/>
      <c r="AB99" s="16"/>
      <c r="AC99" s="16"/>
    </row>
    <row r="100" spans="5:29" ht="17.25" customHeight="1">
      <c r="E100" s="1084"/>
      <c r="F100" s="1086"/>
      <c r="G100" s="1087"/>
      <c r="H100" s="1088"/>
      <c r="I100" s="1088"/>
      <c r="J100" s="1055"/>
      <c r="K100" s="1040" t="s">
        <v>126</v>
      </c>
      <c r="L100" s="1040"/>
      <c r="M100" s="1055"/>
      <c r="N100" s="1040" t="s">
        <v>127</v>
      </c>
      <c r="O100" s="1040"/>
      <c r="P100" s="1055"/>
      <c r="Q100" s="1040" t="s">
        <v>126</v>
      </c>
      <c r="R100" s="1040"/>
      <c r="S100" s="1055"/>
      <c r="T100" s="1040" t="s">
        <v>128</v>
      </c>
      <c r="U100" s="1040"/>
      <c r="V100" s="1088"/>
      <c r="W100" s="1089"/>
      <c r="X100" s="1089"/>
      <c r="Y100" s="1089"/>
      <c r="Z100" s="1089"/>
    </row>
    <row r="101" spans="5:29" ht="17.25" customHeight="1">
      <c r="E101" s="1084"/>
      <c r="F101" s="1086"/>
      <c r="G101" s="1087"/>
      <c r="H101" s="1088"/>
      <c r="I101" s="1088"/>
      <c r="J101" s="1055"/>
      <c r="K101" s="1040" t="s">
        <v>90</v>
      </c>
      <c r="L101" s="1040"/>
      <c r="M101" s="1055"/>
      <c r="N101" s="1040" t="s">
        <v>91</v>
      </c>
      <c r="O101" s="1040"/>
      <c r="P101" s="1055"/>
      <c r="Q101" s="1040" t="s">
        <v>90</v>
      </c>
      <c r="R101" s="1040"/>
      <c r="S101" s="1055"/>
      <c r="T101" s="1040" t="s">
        <v>92</v>
      </c>
      <c r="U101" s="1040"/>
      <c r="V101" s="1088"/>
      <c r="W101" s="1089"/>
      <c r="X101" s="1089"/>
      <c r="Y101" s="1089"/>
      <c r="Z101" s="1089"/>
    </row>
    <row r="102" spans="5:29" ht="17.25" customHeight="1">
      <c r="E102" s="1070" t="s">
        <v>528</v>
      </c>
      <c r="F102" s="1073"/>
      <c r="G102" s="1069" t="str">
        <f>IF(F12&gt;0,"Nord","Sud")</f>
        <v>Nord</v>
      </c>
      <c r="H102" s="1070"/>
      <c r="I102" s="1070"/>
      <c r="J102" s="1071"/>
      <c r="K102" s="1072" t="str">
        <f>IF(J12&gt;0,"Nord","Sud")</f>
        <v>Nord</v>
      </c>
      <c r="L102" s="1070"/>
      <c r="M102" s="1070"/>
      <c r="N102" s="1073"/>
      <c r="O102" s="1069" t="str">
        <f>IF(N12&gt;0,"Nord","Sud")</f>
        <v>Sud</v>
      </c>
      <c r="P102" s="1070"/>
      <c r="Q102" s="1070"/>
      <c r="R102" s="1071"/>
      <c r="S102" s="1072" t="str">
        <f>IF(R12&gt;0,"Nord","Sud")</f>
        <v>Sud</v>
      </c>
      <c r="T102" s="1070"/>
      <c r="U102" s="1070"/>
      <c r="V102" s="1073"/>
      <c r="W102" s="1069" t="str">
        <f>IF(V12&gt;0,"Nord","Sud")</f>
        <v>Sud</v>
      </c>
      <c r="X102" s="1070"/>
      <c r="Y102" s="1070"/>
      <c r="Z102" s="1071"/>
    </row>
    <row r="103" spans="5:29" ht="17.25" customHeight="1">
      <c r="E103" s="1070" t="s">
        <v>527</v>
      </c>
      <c r="F103" s="1073"/>
      <c r="G103" s="1069" t="b">
        <f>(W35&gt;180)</f>
        <v>1</v>
      </c>
      <c r="H103" s="1070"/>
      <c r="I103" s="1070"/>
      <c r="J103" s="1071"/>
      <c r="K103" s="1072" t="b">
        <f>(AA35&gt;180)</f>
        <v>1</v>
      </c>
      <c r="L103" s="1070"/>
      <c r="M103" s="1070"/>
      <c r="N103" s="1073"/>
      <c r="O103" s="1069" t="b">
        <f>(AE35&gt;180)</f>
        <v>0</v>
      </c>
      <c r="P103" s="1070"/>
      <c r="Q103" s="1070"/>
      <c r="R103" s="1071"/>
      <c r="S103" s="1072" t="b">
        <f>(AI35&gt;180)</f>
        <v>0</v>
      </c>
      <c r="T103" s="1070"/>
      <c r="U103" s="1070"/>
      <c r="V103" s="1073"/>
      <c r="W103" s="1069" t="b">
        <f>(AM35&gt;180)</f>
        <v>1</v>
      </c>
      <c r="X103" s="1070"/>
      <c r="Y103" s="1070"/>
      <c r="Z103" s="1071"/>
    </row>
    <row r="104" spans="5:29" ht="17.25" customHeight="1">
      <c r="E104" s="945" t="s">
        <v>526</v>
      </c>
      <c r="F104" s="954"/>
      <c r="G104" s="1090" t="str" cm="1">
        <f t="array" ref="G104">angleDecimal2Txt(AC35,0)</f>
        <v>+124°29.95</v>
      </c>
      <c r="H104" s="945"/>
      <c r="I104" s="945"/>
      <c r="J104" s="1091"/>
      <c r="K104" s="955" t="str" cm="1">
        <f t="array" ref="K104">angleDecimal2Txt(AC36,0)</f>
        <v>+88°01.92</v>
      </c>
      <c r="L104" s="945"/>
      <c r="M104" s="945"/>
      <c r="N104" s="954"/>
      <c r="O104" s="1090" t="str" cm="1">
        <f t="array" ref="O104">angleDecimal2Txt(AC37,0)</f>
        <v>+166°51.49</v>
      </c>
      <c r="P104" s="945"/>
      <c r="Q104" s="945"/>
      <c r="R104" s="1091"/>
      <c r="S104" s="955" t="str" cm="1">
        <f t="array" ref="S104">angleDecimal2Txt(AC38,0)</f>
        <v>+334°44.18</v>
      </c>
      <c r="T104" s="945"/>
      <c r="U104" s="945"/>
      <c r="V104" s="954"/>
      <c r="W104" s="1090" t="str" cm="1">
        <f t="array" ref="W104">angleDecimal2Txt(AC39,0)</f>
        <v>+294°34.16</v>
      </c>
      <c r="X104" s="945"/>
      <c r="Y104" s="945"/>
      <c r="Z104" s="1091"/>
    </row>
  </sheetData>
  <dataConsolidate link="1"/>
  <mergeCells count="277">
    <mergeCell ref="W87:Z87"/>
    <mergeCell ref="S102:V102"/>
    <mergeCell ref="S103:V103"/>
    <mergeCell ref="S104:V104"/>
    <mergeCell ref="W102:Z102"/>
    <mergeCell ref="W103:Z103"/>
    <mergeCell ref="W104:Z104"/>
    <mergeCell ref="K102:N102"/>
    <mergeCell ref="K103:N103"/>
    <mergeCell ref="K104:N104"/>
    <mergeCell ref="O102:R102"/>
    <mergeCell ref="O103:R103"/>
    <mergeCell ref="O104:R104"/>
    <mergeCell ref="W89:Z89"/>
    <mergeCell ref="W90:Z90"/>
    <mergeCell ref="W91:Z91"/>
    <mergeCell ref="W92:Z92"/>
    <mergeCell ref="W93:Z93"/>
    <mergeCell ref="S89:V89"/>
    <mergeCell ref="S90:V90"/>
    <mergeCell ref="S91:V91"/>
    <mergeCell ref="S92:V92"/>
    <mergeCell ref="S93:V93"/>
    <mergeCell ref="O91:R91"/>
    <mergeCell ref="O92:R92"/>
    <mergeCell ref="O93:R93"/>
    <mergeCell ref="O94:R94"/>
    <mergeCell ref="O95:R95"/>
    <mergeCell ref="U85:V85"/>
    <mergeCell ref="U86:V86"/>
    <mergeCell ref="W77:X77"/>
    <mergeCell ref="Y77:Z77"/>
    <mergeCell ref="W78:X78"/>
    <mergeCell ref="Y78:Z78"/>
    <mergeCell ref="W79:Z79"/>
    <mergeCell ref="W80:Z80"/>
    <mergeCell ref="W81:Z81"/>
    <mergeCell ref="W82:Z82"/>
    <mergeCell ref="W83:Z83"/>
    <mergeCell ref="W84:Z84"/>
    <mergeCell ref="Y85:Z85"/>
    <mergeCell ref="Y86:Z86"/>
    <mergeCell ref="S80:V80"/>
    <mergeCell ref="S81:V81"/>
    <mergeCell ref="S82:V82"/>
    <mergeCell ref="S83:V83"/>
    <mergeCell ref="S84:V84"/>
    <mergeCell ref="S77:T77"/>
    <mergeCell ref="U77:V77"/>
    <mergeCell ref="S78:T78"/>
    <mergeCell ref="U78:V78"/>
    <mergeCell ref="S79:V79"/>
    <mergeCell ref="M85:N85"/>
    <mergeCell ref="M86:N86"/>
    <mergeCell ref="O77:P77"/>
    <mergeCell ref="Q77:R77"/>
    <mergeCell ref="O78:P78"/>
    <mergeCell ref="Q78:R78"/>
    <mergeCell ref="O79:R79"/>
    <mergeCell ref="O80:R80"/>
    <mergeCell ref="O81:R81"/>
    <mergeCell ref="O82:R82"/>
    <mergeCell ref="O83:R83"/>
    <mergeCell ref="O84:R84"/>
    <mergeCell ref="Q85:R85"/>
    <mergeCell ref="Q86:R86"/>
    <mergeCell ref="K80:N80"/>
    <mergeCell ref="K81:N81"/>
    <mergeCell ref="K82:N82"/>
    <mergeCell ref="K83:N83"/>
    <mergeCell ref="K84:N84"/>
    <mergeCell ref="W69:Z69"/>
    <mergeCell ref="W70:Z70"/>
    <mergeCell ref="W71:Z71"/>
    <mergeCell ref="W72:Z72"/>
    <mergeCell ref="G67:Z67"/>
    <mergeCell ref="O70:R70"/>
    <mergeCell ref="O71:R71"/>
    <mergeCell ref="O72:R72"/>
    <mergeCell ref="S64:V64"/>
    <mergeCell ref="S65:V65"/>
    <mergeCell ref="S66:V66"/>
    <mergeCell ref="S68:V68"/>
    <mergeCell ref="S69:V69"/>
    <mergeCell ref="S70:V70"/>
    <mergeCell ref="S71:V71"/>
    <mergeCell ref="S72:V72"/>
    <mergeCell ref="G102:J102"/>
    <mergeCell ref="G103:J103"/>
    <mergeCell ref="G104:J104"/>
    <mergeCell ref="K64:N64"/>
    <mergeCell ref="K65:N65"/>
    <mergeCell ref="K66:N66"/>
    <mergeCell ref="K68:N68"/>
    <mergeCell ref="K69:N69"/>
    <mergeCell ref="K70:N70"/>
    <mergeCell ref="K71:N71"/>
    <mergeCell ref="K72:N72"/>
    <mergeCell ref="K77:L77"/>
    <mergeCell ref="M77:N77"/>
    <mergeCell ref="K78:L78"/>
    <mergeCell ref="M78:N78"/>
    <mergeCell ref="G91:J91"/>
    <mergeCell ref="G92:J92"/>
    <mergeCell ref="G93:J93"/>
    <mergeCell ref="G94:J94"/>
    <mergeCell ref="G95:J95"/>
    <mergeCell ref="G82:J82"/>
    <mergeCell ref="G83:J83"/>
    <mergeCell ref="G84:J84"/>
    <mergeCell ref="I85:J85"/>
    <mergeCell ref="I86:J86"/>
    <mergeCell ref="G64:J64"/>
    <mergeCell ref="G65:J65"/>
    <mergeCell ref="G66:J66"/>
    <mergeCell ref="G68:J68"/>
    <mergeCell ref="G69:J69"/>
    <mergeCell ref="G70:J70"/>
    <mergeCell ref="G71:J71"/>
    <mergeCell ref="G72:J72"/>
    <mergeCell ref="O64:R64"/>
    <mergeCell ref="O65:R65"/>
    <mergeCell ref="O66:R66"/>
    <mergeCell ref="W64:Z64"/>
    <mergeCell ref="W65:Z65"/>
    <mergeCell ref="W66:Z66"/>
    <mergeCell ref="W68:Z68"/>
    <mergeCell ref="O68:R68"/>
    <mergeCell ref="O69:R69"/>
    <mergeCell ref="E104:F104"/>
    <mergeCell ref="E94:F95"/>
    <mergeCell ref="E82:F82"/>
    <mergeCell ref="K89:N89"/>
    <mergeCell ref="K90:N90"/>
    <mergeCell ref="K91:N91"/>
    <mergeCell ref="K92:N92"/>
    <mergeCell ref="K93:N93"/>
    <mergeCell ref="K94:N94"/>
    <mergeCell ref="K95:N95"/>
    <mergeCell ref="O89:R89"/>
    <mergeCell ref="O90:R90"/>
    <mergeCell ref="E102:F102"/>
    <mergeCell ref="E103:F103"/>
    <mergeCell ref="T100:U100"/>
    <mergeCell ref="N101:O101"/>
    <mergeCell ref="T101:U101"/>
    <mergeCell ref="K100:L100"/>
    <mergeCell ref="K101:L101"/>
    <mergeCell ref="Q100:R100"/>
    <mergeCell ref="Q101:R101"/>
    <mergeCell ref="N100:O100"/>
    <mergeCell ref="E97:F97"/>
    <mergeCell ref="E98:F98"/>
    <mergeCell ref="G97:J97"/>
    <mergeCell ref="G98:J98"/>
    <mergeCell ref="K97:N97"/>
    <mergeCell ref="K98:N98"/>
    <mergeCell ref="O97:R97"/>
    <mergeCell ref="O98:R98"/>
    <mergeCell ref="J99:L99"/>
    <mergeCell ref="P99:Q99"/>
    <mergeCell ref="S94:V94"/>
    <mergeCell ref="S95:V95"/>
    <mergeCell ref="W94:Z94"/>
    <mergeCell ref="W95:Z95"/>
    <mergeCell ref="S97:V97"/>
    <mergeCell ref="S98:V98"/>
    <mergeCell ref="W97:Z97"/>
    <mergeCell ref="W98:Z98"/>
    <mergeCell ref="J96:U96"/>
    <mergeCell ref="E90:F90"/>
    <mergeCell ref="E91:F93"/>
    <mergeCell ref="E87:F87"/>
    <mergeCell ref="E89:F89"/>
    <mergeCell ref="E85:F85"/>
    <mergeCell ref="E86:F86"/>
    <mergeCell ref="C70:D72"/>
    <mergeCell ref="D57:I57"/>
    <mergeCell ref="D58:I58"/>
    <mergeCell ref="D54:I54"/>
    <mergeCell ref="D55:I55"/>
    <mergeCell ref="E64:F64"/>
    <mergeCell ref="E66:F66"/>
    <mergeCell ref="E69:F69"/>
    <mergeCell ref="E70:F70"/>
    <mergeCell ref="E71:F71"/>
    <mergeCell ref="E72:F72"/>
    <mergeCell ref="G77:H77"/>
    <mergeCell ref="G78:H78"/>
    <mergeCell ref="I77:J77"/>
    <mergeCell ref="I78:J78"/>
    <mergeCell ref="G79:J79"/>
    <mergeCell ref="G80:J80"/>
    <mergeCell ref="G81:J81"/>
    <mergeCell ref="G89:J89"/>
    <mergeCell ref="G90:J90"/>
    <mergeCell ref="J88:U88"/>
    <mergeCell ref="G87:J87"/>
    <mergeCell ref="K87:N87"/>
    <mergeCell ref="O87:R87"/>
    <mergeCell ref="S87:V87"/>
    <mergeCell ref="E84:F84"/>
    <mergeCell ref="E81:F81"/>
    <mergeCell ref="E83:F83"/>
    <mergeCell ref="E80:F80"/>
    <mergeCell ref="E79:F79"/>
    <mergeCell ref="K79:N79"/>
    <mergeCell ref="B60:C60"/>
    <mergeCell ref="D60:I60"/>
    <mergeCell ref="B61:C61"/>
    <mergeCell ref="D61:I61"/>
    <mergeCell ref="E77:E78"/>
    <mergeCell ref="F77:F78"/>
    <mergeCell ref="E67:F67"/>
    <mergeCell ref="E68:F68"/>
    <mergeCell ref="E65:F65"/>
    <mergeCell ref="B57:C57"/>
    <mergeCell ref="B58:C58"/>
    <mergeCell ref="B54:C54"/>
    <mergeCell ref="B55:C55"/>
    <mergeCell ref="H35:H39"/>
    <mergeCell ref="L25:M26"/>
    <mergeCell ref="N25:O26"/>
    <mergeCell ref="J25:K25"/>
    <mergeCell ref="H33:J33"/>
    <mergeCell ref="J12:M12"/>
    <mergeCell ref="J16:M16"/>
    <mergeCell ref="W33:W34"/>
    <mergeCell ref="Z33:Z34"/>
    <mergeCell ref="AA33:AA34"/>
    <mergeCell ref="U33:U34"/>
    <mergeCell ref="Q25:T25"/>
    <mergeCell ref="V25:X26"/>
    <mergeCell ref="V33:V34"/>
    <mergeCell ref="E33:F34"/>
    <mergeCell ref="G33:G34"/>
    <mergeCell ref="P20:X20"/>
    <mergeCell ref="C19:I19"/>
    <mergeCell ref="M19:O19"/>
    <mergeCell ref="C20:I20"/>
    <mergeCell ref="M20:O20"/>
    <mergeCell ref="C25:C26"/>
    <mergeCell ref="D25:D26"/>
    <mergeCell ref="E25:G26"/>
    <mergeCell ref="H25:I26"/>
    <mergeCell ref="E27:F27"/>
    <mergeCell ref="E14:H15"/>
    <mergeCell ref="E10:H11"/>
    <mergeCell ref="A12:C12"/>
    <mergeCell ref="E30:F30"/>
    <mergeCell ref="E31:F31"/>
    <mergeCell ref="B25:B26"/>
    <mergeCell ref="F12:G12"/>
    <mergeCell ref="F16:G16"/>
    <mergeCell ref="L43:L45"/>
    <mergeCell ref="L46:L48"/>
    <mergeCell ref="C1:F4"/>
    <mergeCell ref="G1:Y2"/>
    <mergeCell ref="G3:I4"/>
    <mergeCell ref="J3:L4"/>
    <mergeCell ref="X33:Y34"/>
    <mergeCell ref="T6:V6"/>
    <mergeCell ref="X6:Y6"/>
    <mergeCell ref="C7:D7"/>
    <mergeCell ref="E7:G7"/>
    <mergeCell ref="V27:W27"/>
    <mergeCell ref="Q27:Q29"/>
    <mergeCell ref="E28:F28"/>
    <mergeCell ref="E29:F29"/>
    <mergeCell ref="J26:K26"/>
    <mergeCell ref="AC43:AC46"/>
    <mergeCell ref="AC47:AC50"/>
    <mergeCell ref="M33:N34"/>
    <mergeCell ref="AL35:AL39"/>
    <mergeCell ref="O33:T33"/>
    <mergeCell ref="M41:Y41"/>
    <mergeCell ref="AC33:AC34"/>
  </mergeCells>
  <dataValidations disablePrompts="1" count="3">
    <dataValidation type="list" allowBlank="1" showInputMessage="1" showErrorMessage="1" sqref="H12" xr:uid="{1D0D8A02-4909-4776-B145-BF403D57BABC}">
      <formula1>$A$13:$A$14</formula1>
    </dataValidation>
    <dataValidation type="list" allowBlank="1" showInputMessage="1" showErrorMessage="1" sqref="H16 I17 R17 R19:R20 I19:I20 M17" xr:uid="{0A497DD1-5365-414E-BFC7-C7B51A2427CF}">
      <formula1>$B$13:$B$14</formula1>
    </dataValidation>
    <dataValidation type="list" allowBlank="1" showInputMessage="1" showErrorMessage="1" sqref="B27:B31" xr:uid="{B2879BE4-96C7-4CB3-B750-6ABF567E21CA}">
      <formula1>$AC$27:$AC$28</formula1>
    </dataValidation>
  </dataValidations>
  <printOptions horizontalCentered="1" verticalCentered="1"/>
  <pageMargins left="0.1" right="0.1" top="0.1" bottom="0.1" header="0" footer="0"/>
  <pageSetup paperSize="9" scale="6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50</xdr:row>
                    <xdr:rowOff>95250</xdr:rowOff>
                  </from>
                  <to>
                    <xdr:col>7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2"/>
  <sheetViews>
    <sheetView topLeftCell="A123" zoomScaleNormal="100" workbookViewId="0">
      <selection activeCell="A129" sqref="A129:XFD164"/>
    </sheetView>
  </sheetViews>
  <sheetFormatPr defaultColWidth="5.140625" defaultRowHeight="17.25" customHeight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93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375" t="s">
        <v>143</v>
      </c>
      <c r="D1" s="375"/>
      <c r="E1" s="375"/>
      <c r="F1" s="375"/>
      <c r="G1" s="362" t="s">
        <v>144</v>
      </c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Z1" s="16"/>
      <c r="AA1" s="16"/>
      <c r="AB1" s="63"/>
      <c r="BN1" s="24"/>
    </row>
    <row r="2" spans="2:66" customFormat="1" ht="9" customHeight="1">
      <c r="B2" s="16"/>
      <c r="C2" s="375"/>
      <c r="D2" s="375"/>
      <c r="E2" s="375"/>
      <c r="F2" s="375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16"/>
      <c r="AA2" s="16"/>
      <c r="AB2" s="63"/>
      <c r="BN2" s="24"/>
    </row>
    <row r="3" spans="2:66" customFormat="1" ht="9" customHeight="1">
      <c r="B3" s="16"/>
      <c r="C3" s="375"/>
      <c r="D3" s="375"/>
      <c r="E3" s="375"/>
      <c r="F3" s="375"/>
      <c r="G3" s="371" t="s">
        <v>148</v>
      </c>
      <c r="H3" s="371"/>
      <c r="I3" s="371"/>
      <c r="J3" s="914" t="s">
        <v>147</v>
      </c>
      <c r="K3" s="914"/>
      <c r="L3" s="914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3"/>
      <c r="BN3" s="24"/>
    </row>
    <row r="4" spans="2:66" customFormat="1" ht="9" customHeight="1">
      <c r="B4" s="16"/>
      <c r="C4" s="375"/>
      <c r="D4" s="375"/>
      <c r="E4" s="375"/>
      <c r="F4" s="375"/>
      <c r="G4" s="372"/>
      <c r="H4" s="372"/>
      <c r="I4" s="372"/>
      <c r="J4" s="562"/>
      <c r="K4" s="562"/>
      <c r="L4" s="562"/>
      <c r="M4" s="16"/>
      <c r="N4" s="16"/>
      <c r="O4" s="16" t="s">
        <v>40</v>
      </c>
      <c r="P4" s="16" t="s">
        <v>207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3"/>
      <c r="BN4" s="24"/>
    </row>
    <row r="5" spans="2:66" s="16" customFormat="1" ht="17.25" customHeight="1">
      <c r="C5" s="61"/>
      <c r="D5" s="61"/>
      <c r="E5" s="61"/>
      <c r="F5" s="61"/>
      <c r="G5" s="61"/>
      <c r="AB5" s="63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61"/>
      <c r="D6" s="61"/>
      <c r="E6" s="61"/>
      <c r="F6" s="61"/>
      <c r="G6" s="61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3"/>
      <c r="BN6" s="24"/>
    </row>
    <row r="7" spans="2:66" customFormat="1" ht="17.25" customHeight="1" thickBot="1">
      <c r="B7" s="25" t="s">
        <v>0</v>
      </c>
      <c r="C7" s="26"/>
      <c r="D7" s="26"/>
      <c r="E7" s="60" t="str">
        <f>E8</f>
        <v>20/10/2029</v>
      </c>
      <c r="F7" s="60"/>
      <c r="G7" s="60" t="str" cm="1">
        <f t="array" ref="G7">heureDecimal2Txt(E11)</f>
        <v>18:48:30.00(18.8083)</v>
      </c>
      <c r="H7" s="60"/>
      <c r="I7" s="60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4"/>
      <c r="BN7" s="24"/>
    </row>
    <row r="8" spans="2:66" customFormat="1" ht="17.25" customHeight="1">
      <c r="B8" s="16"/>
      <c r="C8" s="363" t="s">
        <v>1</v>
      </c>
      <c r="D8" s="364"/>
      <c r="E8" s="540" t="s">
        <v>567</v>
      </c>
      <c r="F8" s="541"/>
      <c r="G8" s="541"/>
      <c r="H8" s="61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3"/>
      <c r="AC8" s="3" t="s">
        <v>173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365" t="s">
        <v>11</v>
      </c>
      <c r="D9" s="366"/>
      <c r="E9" s="365" t="s">
        <v>2</v>
      </c>
      <c r="F9" s="381"/>
      <c r="G9" s="381"/>
      <c r="H9" s="366"/>
      <c r="I9" s="490" t="s">
        <v>132</v>
      </c>
      <c r="J9" s="490"/>
      <c r="K9" s="490"/>
      <c r="L9" s="490" t="s">
        <v>133</v>
      </c>
      <c r="M9" s="490"/>
      <c r="N9" s="490"/>
      <c r="O9" s="490"/>
      <c r="P9" s="490"/>
      <c r="Q9" s="490" t="s">
        <v>134</v>
      </c>
      <c r="R9" s="490"/>
      <c r="S9" s="490"/>
      <c r="T9" s="490"/>
      <c r="U9" s="490"/>
      <c r="V9" s="518" t="s">
        <v>131</v>
      </c>
      <c r="W9" s="519"/>
      <c r="X9" s="519"/>
      <c r="Y9" s="520"/>
      <c r="Z9" s="16"/>
      <c r="AA9" s="16"/>
      <c r="AB9" s="65"/>
      <c r="AC9" s="3" t="s">
        <v>174</v>
      </c>
      <c r="AD9" s="69">
        <f>L11</f>
        <v>0</v>
      </c>
      <c r="BN9" s="24"/>
    </row>
    <row r="10" spans="2:66" customFormat="1" ht="17.25" customHeight="1">
      <c r="B10" s="16"/>
      <c r="C10" s="367"/>
      <c r="D10" s="368"/>
      <c r="E10" s="369"/>
      <c r="F10" s="382"/>
      <c r="G10" s="382"/>
      <c r="H10" s="370"/>
      <c r="I10" s="490"/>
      <c r="J10" s="490"/>
      <c r="K10" s="490"/>
      <c r="L10" s="490"/>
      <c r="M10" s="490"/>
      <c r="N10" s="490"/>
      <c r="O10" s="490"/>
      <c r="P10" s="490"/>
      <c r="Q10" s="490"/>
      <c r="R10" s="490"/>
      <c r="S10" s="490"/>
      <c r="T10" s="490"/>
      <c r="U10" s="490"/>
      <c r="V10" s="521"/>
      <c r="W10" s="522"/>
      <c r="X10" s="522"/>
      <c r="Y10" s="523"/>
      <c r="Z10" s="16"/>
      <c r="AA10" s="16"/>
      <c r="AB10" s="63"/>
      <c r="AC10" s="3" t="s">
        <v>175</v>
      </c>
      <c r="AD10" s="3">
        <f>Q11/3600</f>
        <v>0</v>
      </c>
      <c r="BN10" s="24"/>
    </row>
    <row r="11" spans="2:66" customFormat="1" ht="17.25" customHeight="1" thickBot="1">
      <c r="B11" s="16"/>
      <c r="C11" s="369"/>
      <c r="D11" s="370"/>
      <c r="E11" s="332">
        <f>AD8+AD9+AD10+AD11</f>
        <v>18.808333333333334</v>
      </c>
      <c r="F11" s="333"/>
      <c r="G11" s="333"/>
      <c r="H11" s="334"/>
      <c r="I11" s="529" t="s">
        <v>568</v>
      </c>
      <c r="J11" s="529"/>
      <c r="K11" s="529"/>
      <c r="L11" s="567">
        <v>0</v>
      </c>
      <c r="M11" s="567"/>
      <c r="N11" s="567"/>
      <c r="O11" s="567"/>
      <c r="P11" s="567"/>
      <c r="Q11" s="567">
        <v>0</v>
      </c>
      <c r="R11" s="567"/>
      <c r="S11" s="567"/>
      <c r="T11" s="567"/>
      <c r="U11" s="568"/>
      <c r="V11" s="566" t="s">
        <v>130</v>
      </c>
      <c r="W11" s="566"/>
      <c r="X11" s="566"/>
      <c r="Y11" s="566"/>
      <c r="Z11" s="16"/>
      <c r="AA11" s="16"/>
      <c r="AB11" s="63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582" t="str" cm="1">
        <f t="array" ref="E12">heureDecimal2Txt(E11)</f>
        <v>18:48:30.00(18.8083)</v>
      </c>
      <c r="F12" s="583"/>
      <c r="G12" s="583"/>
      <c r="H12" s="584"/>
      <c r="I12" s="11"/>
      <c r="J12" s="11"/>
      <c r="K12" s="11"/>
      <c r="V12" s="11"/>
      <c r="W12" s="11"/>
      <c r="X12" s="11"/>
      <c r="Y12" s="11"/>
      <c r="Z12" s="16"/>
      <c r="AA12" s="16"/>
      <c r="AB12" s="63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3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4"/>
      <c r="BN14" s="24"/>
    </row>
    <row r="15" spans="2:66" customFormat="1" ht="18" customHeight="1" thickBot="1">
      <c r="B15" s="16"/>
      <c r="C15" s="622" t="s">
        <v>19</v>
      </c>
      <c r="D15" s="622"/>
      <c r="E15" s="622"/>
      <c r="F15" s="622"/>
      <c r="G15" s="622"/>
      <c r="H15" s="622"/>
      <c r="I15" s="622"/>
      <c r="J15" s="513">
        <f>M15</f>
        <v>5.28</v>
      </c>
      <c r="K15" s="514"/>
      <c r="L15" s="515"/>
      <c r="M15" s="492">
        <f>16*0.33</f>
        <v>5.28</v>
      </c>
      <c r="N15" s="492"/>
      <c r="O15" s="492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3"/>
      <c r="BN15" s="24"/>
    </row>
    <row r="16" spans="2:66" customFormat="1" ht="18" customHeight="1" thickTop="1" thickBot="1">
      <c r="B16" s="14"/>
      <c r="C16" s="873" t="s">
        <v>20</v>
      </c>
      <c r="D16" s="874"/>
      <c r="E16" s="874"/>
      <c r="F16" s="874"/>
      <c r="G16" s="874"/>
      <c r="H16" s="874"/>
      <c r="I16" s="875"/>
      <c r="J16" s="329" cm="1">
        <f t="array" ref="J16">angleConvert2Decimal(M16)</f>
        <v>0</v>
      </c>
      <c r="K16" s="339"/>
      <c r="L16" s="339"/>
      <c r="M16" s="491" t="s">
        <v>571</v>
      </c>
      <c r="N16" s="492"/>
      <c r="O16" s="492"/>
      <c r="P16" s="327" t="str" cm="1">
        <f t="array" ref="P16">angleDecimal2Txt(J16)</f>
        <v>+00°00.00 (+00.0000) [+00°00'00.00]</v>
      </c>
      <c r="Q16" s="327"/>
      <c r="R16" s="327"/>
      <c r="S16" s="327"/>
      <c r="T16" s="327"/>
      <c r="U16" s="327"/>
      <c r="V16" s="327"/>
      <c r="W16" s="327"/>
      <c r="X16" s="327"/>
      <c r="Y16" s="14"/>
      <c r="Z16" s="16"/>
      <c r="AA16" s="16"/>
      <c r="AB16" s="63"/>
      <c r="BN16" s="24"/>
    </row>
    <row r="17" spans="1:66" customFormat="1" ht="18" customHeight="1" thickTop="1" thickBot="1">
      <c r="B17" s="16"/>
      <c r="C17" s="629" t="s">
        <v>26</v>
      </c>
      <c r="D17" s="629"/>
      <c r="E17" s="629"/>
      <c r="F17" s="629"/>
      <c r="G17" s="629"/>
      <c r="H17" s="629"/>
      <c r="I17" s="629"/>
      <c r="J17" s="909" cm="1">
        <f t="array" ref="J17">angleConvert2Decimal(M17)</f>
        <v>28.916666666666668</v>
      </c>
      <c r="K17" s="910"/>
      <c r="L17" s="910"/>
      <c r="M17" s="911" t="s">
        <v>570</v>
      </c>
      <c r="N17" s="912"/>
      <c r="O17" s="913"/>
      <c r="P17" s="327" t="str" cm="1">
        <f t="array" ref="P17">angleDecimal2Txt(J17)</f>
        <v>+28°55.00 (+28.9166) [+28°55'00.00]</v>
      </c>
      <c r="Q17" s="327"/>
      <c r="R17" s="327"/>
      <c r="S17" s="327"/>
      <c r="T17" s="327"/>
      <c r="U17" s="327"/>
      <c r="V17" s="327"/>
      <c r="W17" s="327"/>
      <c r="X17" s="327"/>
      <c r="Y17" s="14"/>
      <c r="Z17" s="16"/>
      <c r="AA17" s="16"/>
      <c r="AB17" s="63"/>
      <c r="BN17" s="24"/>
    </row>
    <row r="18" spans="1:66" customFormat="1" ht="18" customHeight="1" thickTop="1">
      <c r="B18" s="16"/>
      <c r="C18" s="622" t="s">
        <v>30</v>
      </c>
      <c r="D18" s="622"/>
      <c r="E18" s="622"/>
      <c r="F18" s="622"/>
      <c r="G18" s="622"/>
      <c r="H18" s="622"/>
      <c r="I18" s="622"/>
      <c r="J18" s="623" t="str">
        <f>M18</f>
        <v>Polaire</v>
      </c>
      <c r="K18" s="624"/>
      <c r="L18" s="625"/>
      <c r="M18" s="542" t="s">
        <v>164</v>
      </c>
      <c r="N18" s="543"/>
      <c r="O18" s="54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3"/>
      <c r="AG18" s="16"/>
      <c r="AH18" s="16"/>
      <c r="BN18" s="24"/>
    </row>
    <row r="19" spans="1:66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3"/>
      <c r="AG19" s="16"/>
      <c r="AH19" s="16"/>
      <c r="BN19" s="24"/>
    </row>
    <row r="20" spans="1:66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3"/>
      <c r="BN20" s="24"/>
    </row>
    <row r="21" spans="1:66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4"/>
      <c r="BN21" s="24"/>
    </row>
    <row r="22" spans="1:66" s="16" customFormat="1" ht="17.25" customHeight="1">
      <c r="C22" s="14"/>
      <c r="D22" s="14"/>
      <c r="E22" s="632" t="s">
        <v>7</v>
      </c>
      <c r="F22" s="632"/>
      <c r="G22" s="632"/>
      <c r="H22" s="632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AB22" s="63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16" customFormat="1" ht="17.25" customHeight="1" thickBot="1">
      <c r="C23" s="14"/>
      <c r="D23" s="14"/>
      <c r="E23" s="632"/>
      <c r="F23" s="632"/>
      <c r="G23" s="632"/>
      <c r="H23" s="632"/>
      <c r="I23" s="14"/>
      <c r="J23" s="14" t="s">
        <v>140</v>
      </c>
      <c r="K23" s="14"/>
      <c r="L23" s="14" t="s">
        <v>141</v>
      </c>
      <c r="M23" s="14"/>
      <c r="N23" s="14"/>
      <c r="O23" s="14"/>
      <c r="P23" s="14"/>
      <c r="Q23" s="14"/>
      <c r="R23" s="14"/>
      <c r="S23" s="14"/>
      <c r="T23" s="14"/>
      <c r="U23" s="14"/>
      <c r="V23" s="14"/>
      <c r="AB23" s="6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6" s="16" customFormat="1" ht="17.25" customHeight="1" thickTop="1" thickBot="1">
      <c r="A24" s="626" t="s">
        <v>34</v>
      </c>
      <c r="B24" s="627"/>
      <c r="C24" s="628"/>
      <c r="D24" s="14"/>
      <c r="E24" s="14"/>
      <c r="F24" s="462">
        <f>AD25</f>
        <v>29.083333333333332</v>
      </c>
      <c r="G24" s="525"/>
      <c r="H24" s="525"/>
      <c r="I24" s="387" t="s">
        <v>3</v>
      </c>
      <c r="J24" s="389" t="s">
        <v>211</v>
      </c>
      <c r="K24" s="387"/>
      <c r="L24" s="387"/>
      <c r="M24" s="387"/>
      <c r="N24" s="387"/>
      <c r="O24" s="350" t="str" cm="1">
        <f t="array" ref="O24">angleDecimal2Txt(F24)</f>
        <v>+29°05.00 (+29.0833) [+29°05'00.00]</v>
      </c>
      <c r="P24" s="350"/>
      <c r="Q24" s="350"/>
      <c r="R24" s="350"/>
      <c r="S24" s="350"/>
      <c r="T24" s="350"/>
      <c r="U24" s="350"/>
      <c r="V24" s="350"/>
      <c r="W24" s="350"/>
      <c r="X24" s="350"/>
      <c r="Y24" s="14"/>
      <c r="Z24" s="14"/>
      <c r="AB24" s="63"/>
      <c r="AC24" s="3" t="s">
        <v>179</v>
      </c>
      <c r="AD24" s="3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6" s="16" customFormat="1" ht="17.25" customHeight="1" thickTop="1" thickBot="1">
      <c r="A25" s="17" t="s">
        <v>41</v>
      </c>
      <c r="B25" s="32" t="s">
        <v>42</v>
      </c>
      <c r="C25" s="18"/>
      <c r="D25" s="14"/>
      <c r="E25" s="14"/>
      <c r="F25" s="525"/>
      <c r="G25" s="525"/>
      <c r="H25" s="525"/>
      <c r="I25" s="387"/>
      <c r="J25" s="387"/>
      <c r="K25" s="387"/>
      <c r="L25" s="387"/>
      <c r="M25" s="387"/>
      <c r="N25" s="387"/>
      <c r="O25" s="350"/>
      <c r="P25" s="350"/>
      <c r="Q25" s="350"/>
      <c r="R25" s="350"/>
      <c r="S25" s="350"/>
      <c r="T25" s="350"/>
      <c r="U25" s="350"/>
      <c r="V25" s="350"/>
      <c r="W25" s="350"/>
      <c r="X25" s="350"/>
      <c r="Y25" s="14"/>
      <c r="Z25" s="14"/>
      <c r="AB25" s="63"/>
      <c r="AC25" s="3" t="s">
        <v>180</v>
      </c>
      <c r="AD25" s="3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6" s="16" customFormat="1" ht="17.25" customHeight="1" thickTop="1">
      <c r="A26" s="17" t="s">
        <v>3</v>
      </c>
      <c r="B26" s="32" t="s">
        <v>5</v>
      </c>
      <c r="C26" s="18">
        <v>1</v>
      </c>
      <c r="D26" s="14"/>
      <c r="E26" s="14"/>
      <c r="F26" s="14"/>
      <c r="G26" s="14"/>
      <c r="H26" s="14"/>
      <c r="AB26" s="63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6" s="16" customFormat="1" ht="17.25" customHeight="1" thickBot="1">
      <c r="A27" s="19" t="s">
        <v>4</v>
      </c>
      <c r="B27" s="20" t="s">
        <v>6</v>
      </c>
      <c r="C27" s="21">
        <v>-1</v>
      </c>
      <c r="D27" s="14"/>
      <c r="E27" s="526" t="s">
        <v>8</v>
      </c>
      <c r="F27" s="526"/>
      <c r="G27" s="526"/>
      <c r="H27" s="526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AB27" s="63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31"/>
    </row>
    <row r="28" spans="1:66" s="16" customFormat="1" ht="17.25" customHeight="1" thickBot="1">
      <c r="C28" s="14"/>
      <c r="D28" s="14"/>
      <c r="E28" s="526"/>
      <c r="F28" s="526"/>
      <c r="G28" s="526"/>
      <c r="H28" s="526"/>
      <c r="I28" s="14"/>
      <c r="J28" s="14" t="s">
        <v>140</v>
      </c>
      <c r="K28" s="14"/>
      <c r="L28" s="14" t="s">
        <v>149</v>
      </c>
      <c r="M28" s="14"/>
      <c r="N28" s="14"/>
      <c r="O28" s="14"/>
      <c r="P28" s="14"/>
      <c r="Q28" s="14"/>
      <c r="R28" s="14"/>
      <c r="S28" s="14"/>
      <c r="T28" s="14"/>
      <c r="U28" s="14"/>
      <c r="V28" s="14"/>
      <c r="AB28" s="63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31"/>
    </row>
    <row r="29" spans="1:66" s="16" customFormat="1" ht="17.25" customHeight="1" thickTop="1" thickBot="1">
      <c r="B29" s="14"/>
      <c r="C29" s="14"/>
      <c r="D29" s="14"/>
      <c r="E29" s="14"/>
      <c r="F29" s="462">
        <f>AD30</f>
        <v>-12.5</v>
      </c>
      <c r="G29" s="525"/>
      <c r="H29" s="525"/>
      <c r="I29" s="387" t="s">
        <v>6</v>
      </c>
      <c r="J29" s="389" t="s">
        <v>569</v>
      </c>
      <c r="K29" s="387"/>
      <c r="L29" s="387"/>
      <c r="M29" s="387"/>
      <c r="N29" s="387"/>
      <c r="O29" s="350" t="str" cm="1">
        <f t="array" ref="O29">angleDecimal2Txt(F29)</f>
        <v>-12°30.00 (-12.5000) [-12°30'00.00]</v>
      </c>
      <c r="P29" s="350"/>
      <c r="Q29" s="350"/>
      <c r="R29" s="350"/>
      <c r="S29" s="350"/>
      <c r="T29" s="350"/>
      <c r="U29" s="350"/>
      <c r="V29" s="350"/>
      <c r="W29" s="350"/>
      <c r="X29" s="350"/>
      <c r="Y29" s="14"/>
      <c r="Z29" s="14"/>
      <c r="AB29" s="63"/>
      <c r="AC29" s="3" t="s">
        <v>181</v>
      </c>
      <c r="AD29" s="3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 thickBot="1">
      <c r="C30" s="14"/>
      <c r="D30" s="14"/>
      <c r="E30" s="14"/>
      <c r="F30" s="525"/>
      <c r="G30" s="525"/>
      <c r="H30" s="525"/>
      <c r="I30" s="387"/>
      <c r="J30" s="387"/>
      <c r="K30" s="387"/>
      <c r="L30" s="387"/>
      <c r="M30" s="387"/>
      <c r="N30" s="387"/>
      <c r="O30" s="350"/>
      <c r="P30" s="350"/>
      <c r="Q30" s="350"/>
      <c r="R30" s="350"/>
      <c r="S30" s="350"/>
      <c r="T30" s="350"/>
      <c r="U30" s="350"/>
      <c r="V30" s="350"/>
      <c r="W30" s="350"/>
      <c r="X30" s="350"/>
      <c r="Y30" s="14"/>
      <c r="Z30" s="14"/>
      <c r="AB30" s="63"/>
      <c r="AC30" s="3" t="s">
        <v>182</v>
      </c>
      <c r="AD30" s="3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customHeight="1" thickTop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B31" s="63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customHeight="1" thickBot="1">
      <c r="C32" s="61"/>
      <c r="D32" s="61"/>
      <c r="E32" s="61"/>
      <c r="F32" s="61"/>
      <c r="G32" s="61"/>
      <c r="AB32" s="63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7" s="16" customFormat="1" ht="17.25" customHeight="1" thickBot="1">
      <c r="B33" s="25" t="s">
        <v>210</v>
      </c>
      <c r="C33" s="26"/>
      <c r="D33" s="26"/>
      <c r="E33" s="26"/>
      <c r="F33" s="379">
        <f>N34</f>
        <v>89.385000000000005</v>
      </c>
      <c r="G33" s="379"/>
      <c r="H33" s="379"/>
      <c r="I33" s="79"/>
      <c r="J33" s="930" t="str" cm="1">
        <f t="array" ref="J33">angleDecimal2Txt(F33)</f>
        <v>+89°23.10 (+89.3850) [+89°23'06.00]</v>
      </c>
      <c r="K33" s="930"/>
      <c r="L33" s="930"/>
      <c r="M33" s="930"/>
      <c r="N33" s="930"/>
      <c r="O33" s="930"/>
      <c r="P33" s="930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6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33" customFormat="1" ht="17.25" customHeight="1" thickTop="1">
      <c r="C34" s="597" t="s">
        <v>551</v>
      </c>
      <c r="D34" s="597"/>
      <c r="E34" s="597"/>
      <c r="F34" s="597"/>
      <c r="G34" s="597"/>
      <c r="H34" s="897"/>
      <c r="I34" s="898" t="s">
        <v>3</v>
      </c>
      <c r="J34" s="899" t="s">
        <v>572</v>
      </c>
      <c r="K34" s="899"/>
      <c r="L34" s="899"/>
      <c r="M34" s="899"/>
      <c r="N34" s="900">
        <f>AD35</f>
        <v>89.385000000000005</v>
      </c>
      <c r="O34" s="900"/>
      <c r="P34" s="900"/>
      <c r="Q34" s="902" t="str" cm="1">
        <f t="array" ref="Q34">angleDecimal2Txt(N34)</f>
        <v>+89°23.10 (+89.3850) [+89°23'06.00]</v>
      </c>
      <c r="R34" s="902"/>
      <c r="S34" s="902"/>
      <c r="T34" s="902"/>
      <c r="U34" s="903"/>
      <c r="AB34" s="67"/>
      <c r="AC34" s="3" t="s">
        <v>209</v>
      </c>
      <c r="AD34" s="3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6" customFormat="1" ht="17.25" customHeight="1" thickBot="1">
      <c r="C35" s="14"/>
      <c r="D35" s="14"/>
      <c r="E35" s="14"/>
      <c r="F35" s="14"/>
      <c r="G35" s="14"/>
      <c r="H35" s="14"/>
      <c r="I35" s="898"/>
      <c r="J35" s="899"/>
      <c r="K35" s="899"/>
      <c r="L35" s="899"/>
      <c r="M35" s="899"/>
      <c r="N35" s="900"/>
      <c r="O35" s="900"/>
      <c r="P35" s="900"/>
      <c r="Q35" s="904"/>
      <c r="R35" s="904"/>
      <c r="S35" s="904"/>
      <c r="T35" s="904"/>
      <c r="U35" s="905"/>
      <c r="AB35" s="63"/>
      <c r="AC35" s="3" t="s">
        <v>180</v>
      </c>
      <c r="AD35" s="3" cm="1">
        <f t="array" ref="AD35">angleConvert2Decimal(J34)*AD34</f>
        <v>89.385000000000005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Top="1">
      <c r="A36" s="16"/>
      <c r="B36" s="16"/>
      <c r="C36" s="61"/>
      <c r="D36" s="61"/>
      <c r="E36" s="61"/>
      <c r="F36" s="61"/>
      <c r="G36" s="61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4"/>
      <c r="T36" s="14"/>
      <c r="U36" s="14"/>
      <c r="V36" s="14"/>
      <c r="W36" s="14"/>
      <c r="X36" s="14"/>
      <c r="Y36" s="16"/>
      <c r="Z36" s="16"/>
      <c r="AA36" s="16"/>
      <c r="AB36" s="63"/>
      <c r="BN36" s="24"/>
      <c r="BO36" s="16"/>
    </row>
    <row r="37" spans="1:67" customFormat="1" ht="17.25" customHeight="1" thickBot="1">
      <c r="A37" s="16"/>
      <c r="B37" s="16"/>
      <c r="C37" s="61"/>
      <c r="D37" s="61"/>
      <c r="E37" s="61"/>
      <c r="F37" s="61"/>
      <c r="G37" s="61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4"/>
      <c r="T37" s="14"/>
      <c r="U37" s="14"/>
      <c r="V37" s="14"/>
      <c r="W37" s="14"/>
      <c r="X37" s="14"/>
      <c r="Y37" s="16"/>
      <c r="Z37" s="16"/>
      <c r="AA37" s="16"/>
      <c r="AB37" s="63"/>
      <c r="BN37" s="24"/>
      <c r="BO37" s="16"/>
    </row>
    <row r="38" spans="1:67" s="14" customFormat="1" ht="17.25" customHeight="1" thickBot="1">
      <c r="A38" s="16"/>
      <c r="B38" s="25" t="s">
        <v>549</v>
      </c>
      <c r="C38" s="26"/>
      <c r="D38" s="26"/>
      <c r="E38" s="26"/>
      <c r="F38" s="379">
        <f>N39</f>
        <v>311.43</v>
      </c>
      <c r="G38" s="379"/>
      <c r="H38" s="379"/>
      <c r="I38" s="79"/>
      <c r="J38" s="906" t="s">
        <v>55</v>
      </c>
      <c r="K38" s="906"/>
      <c r="L38" s="906"/>
      <c r="M38" s="907" t="str">
        <f>J18</f>
        <v>Polaire</v>
      </c>
      <c r="N38" s="907"/>
      <c r="O38" s="907"/>
      <c r="P38" s="79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6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31"/>
    </row>
    <row r="39" spans="1:67" s="16" customFormat="1" ht="17.25" customHeight="1" thickTop="1" thickBot="1">
      <c r="C39" s="597" t="s">
        <v>550</v>
      </c>
      <c r="D39" s="597"/>
      <c r="E39" s="597"/>
      <c r="F39" s="597"/>
      <c r="G39" s="597"/>
      <c r="H39" s="897"/>
      <c r="I39" s="899" t="s">
        <v>573</v>
      </c>
      <c r="J39" s="899"/>
      <c r="K39" s="899"/>
      <c r="L39" s="899"/>
      <c r="M39" s="899"/>
      <c r="N39" s="900" cm="1">
        <f t="array" ref="N39">angleConvert2Decimal(I39)</f>
        <v>311.43</v>
      </c>
      <c r="O39" s="900"/>
      <c r="P39" s="900"/>
      <c r="Q39" s="349" t="str" cm="1">
        <f t="array" ref="Q39">angleDecimal2Txt(N39)</f>
        <v>+311°25.80 (+311.4300) [+311°25'48.00]</v>
      </c>
      <c r="R39" s="524"/>
      <c r="S39" s="524"/>
      <c r="T39" s="524"/>
      <c r="U39" s="524"/>
      <c r="AB39" s="63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7" s="16" customFormat="1" ht="17.25" customHeight="1" thickTop="1" thickBot="1">
      <c r="A40" s="14"/>
      <c r="C40" s="14"/>
      <c r="D40" s="14"/>
      <c r="E40" s="14"/>
      <c r="F40" s="14"/>
      <c r="G40" s="14"/>
      <c r="H40" s="14"/>
      <c r="I40" s="899"/>
      <c r="J40" s="899"/>
      <c r="K40" s="899"/>
      <c r="L40" s="899"/>
      <c r="M40" s="899"/>
      <c r="N40" s="900"/>
      <c r="O40" s="900"/>
      <c r="P40" s="900"/>
      <c r="Q40" s="908"/>
      <c r="R40" s="524"/>
      <c r="S40" s="524"/>
      <c r="T40" s="524"/>
      <c r="U40" s="524"/>
      <c r="AB40" s="68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7" s="16" customFormat="1" ht="17.25" customHeight="1" thickTop="1" thickBot="1">
      <c r="A41" s="14"/>
      <c r="C41" s="14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68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7" customFormat="1" ht="17.25" customHeight="1" thickBot="1">
      <c r="A42" s="33"/>
      <c r="B42" s="25" t="s">
        <v>548</v>
      </c>
      <c r="C42" s="26"/>
      <c r="D42" s="26"/>
      <c r="E42" s="26"/>
      <c r="F42" s="379">
        <f>IF(G43=AD43,F47,F55)</f>
        <v>311.64066666666668</v>
      </c>
      <c r="G42" s="379"/>
      <c r="H42" s="379"/>
      <c r="I42" s="26"/>
      <c r="J42" s="26"/>
      <c r="K42" s="26"/>
      <c r="L42" s="376">
        <f>F42+360</f>
        <v>671.64066666666668</v>
      </c>
      <c r="M42" s="376"/>
      <c r="N42" s="26" t="s">
        <v>28</v>
      </c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66"/>
      <c r="BN42" s="24"/>
      <c r="BO42" s="16"/>
    </row>
    <row r="43" spans="1:67" customFormat="1" ht="17.25" customHeight="1">
      <c r="A43" s="16"/>
      <c r="B43" s="33"/>
      <c r="C43" s="377" t="s">
        <v>35</v>
      </c>
      <c r="D43" s="377"/>
      <c r="E43" s="377"/>
      <c r="F43" s="378"/>
      <c r="G43" s="611" t="s">
        <v>10</v>
      </c>
      <c r="H43" s="612"/>
      <c r="I43" s="61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67"/>
      <c r="AC43" s="596" t="s">
        <v>36</v>
      </c>
      <c r="AD43" s="70" t="s">
        <v>10</v>
      </c>
      <c r="BN43" s="24"/>
      <c r="BO43" s="16"/>
    </row>
    <row r="44" spans="1:67" customFormat="1" ht="17.25" customHeight="1">
      <c r="A44" s="16"/>
      <c r="B44" s="16"/>
      <c r="C44" s="34" t="s">
        <v>10</v>
      </c>
      <c r="D44" s="34"/>
      <c r="E44" s="35"/>
      <c r="F44" s="35"/>
      <c r="G44" s="14"/>
      <c r="H44" s="14"/>
      <c r="I44" s="14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63"/>
      <c r="AC44" s="596"/>
      <c r="AD44" s="70" t="s">
        <v>14</v>
      </c>
      <c r="BN44" s="24"/>
      <c r="BO44" s="16"/>
    </row>
    <row r="45" spans="1:67" customFormat="1" ht="17.25" customHeight="1">
      <c r="A45" s="16"/>
      <c r="B45" s="16"/>
      <c r="C45" s="61"/>
      <c r="D45" s="61"/>
      <c r="E45" s="61"/>
      <c r="F45" s="365" t="s">
        <v>9</v>
      </c>
      <c r="G45" s="381"/>
      <c r="H45" s="366"/>
      <c r="I45" s="365" t="s">
        <v>12</v>
      </c>
      <c r="J45" s="381"/>
      <c r="K45" s="381"/>
      <c r="L45" s="366"/>
      <c r="M45" s="507" t="s">
        <v>13</v>
      </c>
      <c r="N45" s="508"/>
      <c r="O45" s="509"/>
      <c r="P45" s="499" t="s">
        <v>15</v>
      </c>
      <c r="Q45" s="500"/>
      <c r="R45" s="500"/>
      <c r="S45" s="500"/>
      <c r="T45" s="501"/>
      <c r="U45" s="14"/>
      <c r="V45" s="16"/>
      <c r="W45" s="16"/>
      <c r="X45" s="16"/>
      <c r="Y45" s="16"/>
      <c r="Z45" s="16"/>
      <c r="AA45" s="16"/>
      <c r="AB45" s="63"/>
      <c r="AD45" s="75" t="s">
        <v>73</v>
      </c>
      <c r="AE45" s="3" t="s">
        <v>191</v>
      </c>
      <c r="BN45" s="24"/>
      <c r="BO45" s="16"/>
    </row>
    <row r="46" spans="1:67" customFormat="1" ht="17.25" customHeight="1" thickBot="1">
      <c r="A46" s="16"/>
      <c r="B46" s="16"/>
      <c r="C46" s="61"/>
      <c r="D46" s="61"/>
      <c r="E46" s="61"/>
      <c r="F46" s="369"/>
      <c r="G46" s="382"/>
      <c r="H46" s="370"/>
      <c r="I46" s="369"/>
      <c r="J46" s="382"/>
      <c r="K46" s="382"/>
      <c r="L46" s="370"/>
      <c r="M46" s="510"/>
      <c r="N46" s="511"/>
      <c r="O46" s="512"/>
      <c r="P46" s="901"/>
      <c r="Q46" s="503"/>
      <c r="R46" s="503"/>
      <c r="S46" s="503"/>
      <c r="T46" s="504"/>
      <c r="U46" s="14"/>
      <c r="V46" s="16"/>
      <c r="W46" s="16"/>
      <c r="X46" s="16"/>
      <c r="Y46" s="16"/>
      <c r="AA46" s="16"/>
      <c r="AB46" s="63"/>
      <c r="AC46" s="3" t="s">
        <v>183</v>
      </c>
      <c r="AD46" s="3">
        <f>VLOOKUP(P47,$B$26:$C$27,2)</f>
        <v>1</v>
      </c>
      <c r="AE46" s="3" cm="1">
        <f t="array" ref="AE46">AD46*angleConvert2Decimal(Q47)</f>
        <v>299.48333333333335</v>
      </c>
      <c r="BN46" s="24"/>
      <c r="BO46" s="16"/>
    </row>
    <row r="47" spans="1:67" customFormat="1" ht="17.25" customHeight="1" thickTop="1" thickBot="1">
      <c r="A47" s="16"/>
      <c r="B47" s="16"/>
      <c r="C47" s="61"/>
      <c r="D47" s="61"/>
      <c r="E47" s="16"/>
      <c r="F47" s="461">
        <f>IF(G43=AD44,"---",AD51)</f>
        <v>311.64066666666668</v>
      </c>
      <c r="G47" s="461"/>
      <c r="H47" s="461"/>
      <c r="I47" s="703">
        <f>E11</f>
        <v>18.808333333333334</v>
      </c>
      <c r="J47" s="703"/>
      <c r="K47" s="703"/>
      <c r="L47" s="703"/>
      <c r="M47" s="457">
        <v>18</v>
      </c>
      <c r="N47" s="458"/>
      <c r="O47" s="915"/>
      <c r="P47" s="916" t="s">
        <v>5</v>
      </c>
      <c r="Q47" s="917" t="s">
        <v>574</v>
      </c>
      <c r="R47" s="600"/>
      <c r="S47" s="600"/>
      <c r="T47" s="918"/>
      <c r="U47" s="350" t="str" cm="1">
        <f t="array" ref="U47">angleDecimal2Txt(AE46)</f>
        <v>+299°29.00 (+299.4833) [+299°29'00.00]</v>
      </c>
      <c r="V47" s="524"/>
      <c r="W47" s="524"/>
      <c r="X47" s="524"/>
      <c r="Y47" s="524"/>
      <c r="AA47" s="16"/>
      <c r="AB47" s="63"/>
      <c r="AC47" s="3" t="s">
        <v>184</v>
      </c>
      <c r="AD47" s="3">
        <f>VLOOKUP(P49,$B$26:$C$27,2)</f>
        <v>1</v>
      </c>
      <c r="AE47" s="3" cm="1">
        <f t="array" ref="AE47">AD47*angleConvert2Decimal(Q49)</f>
        <v>314.52333333333331</v>
      </c>
      <c r="BN47" s="24"/>
      <c r="BO47" s="16"/>
    </row>
    <row r="48" spans="1:67" customFormat="1" ht="17.25" customHeight="1" thickTop="1" thickBot="1">
      <c r="A48" s="16"/>
      <c r="B48" s="16"/>
      <c r="C48" s="61"/>
      <c r="D48" s="61"/>
      <c r="E48" s="61"/>
      <c r="F48" s="462"/>
      <c r="G48" s="462"/>
      <c r="H48" s="462"/>
      <c r="I48" s="703"/>
      <c r="J48" s="703"/>
      <c r="K48" s="703"/>
      <c r="L48" s="703"/>
      <c r="M48" s="459"/>
      <c r="N48" s="460"/>
      <c r="O48" s="599"/>
      <c r="P48" s="386"/>
      <c r="Q48" s="919"/>
      <c r="R48" s="920"/>
      <c r="S48" s="920"/>
      <c r="T48" s="921"/>
      <c r="U48" s="524"/>
      <c r="V48" s="524"/>
      <c r="W48" s="524"/>
      <c r="X48" s="524"/>
      <c r="Y48" s="524"/>
      <c r="AA48" s="16"/>
      <c r="AB48" s="63"/>
      <c r="AC48" s="3" t="s">
        <v>38</v>
      </c>
      <c r="AD48" s="5">
        <f>AE47-AE46</f>
        <v>15.039999999999964</v>
      </c>
      <c r="BN48" s="24"/>
      <c r="BO48" s="16"/>
    </row>
    <row r="49" spans="1:67" customFormat="1" ht="17.25" customHeight="1" thickTop="1" thickBot="1">
      <c r="A49" s="16"/>
      <c r="B49" s="16"/>
      <c r="C49" s="61"/>
      <c r="D49" s="61"/>
      <c r="E49" s="61"/>
      <c r="F49" s="462"/>
      <c r="G49" s="462"/>
      <c r="H49" s="462"/>
      <c r="I49" s="703"/>
      <c r="J49" s="703"/>
      <c r="K49" s="703"/>
      <c r="L49" s="703"/>
      <c r="M49" s="609">
        <v>19</v>
      </c>
      <c r="N49" s="610"/>
      <c r="O49" s="922"/>
      <c r="P49" s="923" t="s">
        <v>5</v>
      </c>
      <c r="Q49" s="753" t="s">
        <v>575</v>
      </c>
      <c r="R49" s="924"/>
      <c r="S49" s="924"/>
      <c r="T49" s="925"/>
      <c r="U49" s="350" t="str" cm="1">
        <f t="array" ref="U49">angleDecimal2Txt((AE47))</f>
        <v>+314°31.39 (+314.5233) [+314°31'24.00]</v>
      </c>
      <c r="V49" s="524"/>
      <c r="W49" s="524"/>
      <c r="X49" s="524"/>
      <c r="Y49" s="524"/>
      <c r="AA49" s="16"/>
      <c r="AB49" s="63"/>
      <c r="AC49" s="3" t="s">
        <v>185</v>
      </c>
      <c r="AD49" s="5">
        <f>M49-M47</f>
        <v>1</v>
      </c>
      <c r="AE49" s="16"/>
      <c r="BN49" s="24"/>
      <c r="BO49" s="16"/>
    </row>
    <row r="50" spans="1:67" customFormat="1" ht="17.25" customHeight="1" thickTop="1" thickBot="1">
      <c r="A50" s="16"/>
      <c r="B50" s="16"/>
      <c r="C50" s="61"/>
      <c r="D50" s="61"/>
      <c r="E50" s="61"/>
      <c r="F50" s="462"/>
      <c r="G50" s="462"/>
      <c r="H50" s="462"/>
      <c r="I50" s="703"/>
      <c r="J50" s="703"/>
      <c r="K50" s="703"/>
      <c r="L50" s="703"/>
      <c r="M50" s="459"/>
      <c r="N50" s="460"/>
      <c r="O50" s="599"/>
      <c r="P50" s="386"/>
      <c r="Q50" s="919"/>
      <c r="R50" s="920"/>
      <c r="S50" s="920"/>
      <c r="T50" s="921"/>
      <c r="U50" s="524"/>
      <c r="V50" s="524"/>
      <c r="W50" s="524"/>
      <c r="X50" s="524"/>
      <c r="Y50" s="524"/>
      <c r="AA50" s="16"/>
      <c r="AB50" s="63"/>
      <c r="AC50" s="3" t="s">
        <v>39</v>
      </c>
      <c r="AD50" s="5">
        <f>I47-M47</f>
        <v>0.80833333333333357</v>
      </c>
      <c r="BN50" s="24"/>
      <c r="BO50" s="16"/>
    </row>
    <row r="51" spans="1:67" customFormat="1" ht="17.25" customHeight="1" thickTop="1" thickBot="1">
      <c r="A51" s="16"/>
      <c r="B51" s="16"/>
      <c r="C51" s="61"/>
      <c r="D51" s="61"/>
      <c r="E51" s="61"/>
      <c r="F51" s="450" t="str" cm="1">
        <f t="array" ref="F51">angleDecimal2Txt(F47)</f>
        <v>+311°38.44 (+311.6406) [+311°38'26.40]</v>
      </c>
      <c r="G51" s="451"/>
      <c r="H51" s="451"/>
      <c r="I51" s="451"/>
      <c r="J51" s="451"/>
      <c r="K51" s="337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AA51" s="14"/>
      <c r="AB51" s="63"/>
      <c r="AC51" s="3" t="s">
        <v>37</v>
      </c>
      <c r="AD51" s="3">
        <f>AE46+(AD48/AD49)*AD50</f>
        <v>311.64066666666668</v>
      </c>
      <c r="BN51" s="24"/>
      <c r="BO51" s="16"/>
    </row>
    <row r="52" spans="1:67" customFormat="1" ht="17.25" customHeight="1" thickTop="1">
      <c r="A52" s="16"/>
      <c r="B52" s="16"/>
      <c r="C52" s="34" t="s">
        <v>14</v>
      </c>
      <c r="D52" s="34"/>
      <c r="E52" s="35"/>
      <c r="F52" s="35"/>
      <c r="G52" s="14"/>
      <c r="H52" s="14"/>
      <c r="I52" s="14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AA52" s="14"/>
      <c r="AB52" s="63"/>
      <c r="BN52" s="24"/>
      <c r="BO52" s="16"/>
    </row>
    <row r="53" spans="1:67" customFormat="1" ht="17.25" customHeight="1">
      <c r="A53" s="16"/>
      <c r="B53" s="16"/>
      <c r="C53" s="14"/>
      <c r="D53" s="14"/>
      <c r="E53" s="14"/>
      <c r="F53" s="365" t="s">
        <v>9</v>
      </c>
      <c r="G53" s="381"/>
      <c r="H53" s="366"/>
      <c r="I53" s="365" t="s">
        <v>12</v>
      </c>
      <c r="J53" s="381"/>
      <c r="K53" s="381"/>
      <c r="L53" s="366"/>
      <c r="M53" s="507" t="s">
        <v>13</v>
      </c>
      <c r="N53" s="508"/>
      <c r="O53" s="509"/>
      <c r="P53" s="499" t="s">
        <v>16</v>
      </c>
      <c r="Q53" s="500"/>
      <c r="R53" s="500"/>
      <c r="S53" s="500"/>
      <c r="T53" s="501"/>
      <c r="U53" s="499" t="s">
        <v>98</v>
      </c>
      <c r="V53" s="500"/>
      <c r="W53" s="500"/>
      <c r="X53" s="500"/>
      <c r="Y53" s="501"/>
      <c r="Z53" s="16"/>
      <c r="AA53" s="14"/>
      <c r="AB53" s="63"/>
      <c r="AC53" s="3" t="s">
        <v>186</v>
      </c>
      <c r="AD53" s="3">
        <f>VLOOKUP(P55,$B$26:$C$27,2)</f>
        <v>1</v>
      </c>
      <c r="BN53" s="24"/>
      <c r="BO53" s="16"/>
    </row>
    <row r="54" spans="1:67" customFormat="1" ht="17.25" customHeight="1" collapsed="1">
      <c r="A54" s="16"/>
      <c r="B54" s="16"/>
      <c r="C54" s="61"/>
      <c r="D54" s="61"/>
      <c r="E54" s="61"/>
      <c r="F54" s="369"/>
      <c r="G54" s="382"/>
      <c r="H54" s="370"/>
      <c r="I54" s="369"/>
      <c r="J54" s="382"/>
      <c r="K54" s="382"/>
      <c r="L54" s="370"/>
      <c r="M54" s="510"/>
      <c r="N54" s="511"/>
      <c r="O54" s="512"/>
      <c r="P54" s="901"/>
      <c r="Q54" s="503"/>
      <c r="R54" s="503"/>
      <c r="S54" s="503"/>
      <c r="T54" s="504"/>
      <c r="U54" s="901"/>
      <c r="V54" s="503"/>
      <c r="W54" s="503"/>
      <c r="X54" s="503"/>
      <c r="Y54" s="504"/>
      <c r="Z54" s="14"/>
      <c r="AA54" s="14"/>
      <c r="AB54" s="63"/>
      <c r="AC54" s="3" t="s">
        <v>187</v>
      </c>
      <c r="AD54" s="3" cm="1">
        <f t="array" ref="AD54">angleConvert2Decimal(Q55)*AD53</f>
        <v>311.63333333333333</v>
      </c>
      <c r="BN54" s="24"/>
      <c r="BO54" s="16"/>
    </row>
    <row r="55" spans="1:67" customFormat="1" ht="17.25" customHeight="1">
      <c r="A55" s="16"/>
      <c r="B55" s="16"/>
      <c r="C55" s="61"/>
      <c r="D55" s="61"/>
      <c r="E55" s="16"/>
      <c r="F55" s="461" t="str">
        <f>IF(G43=AD44,AD57,"---")</f>
        <v>---</v>
      </c>
      <c r="G55" s="461"/>
      <c r="H55" s="461"/>
      <c r="I55" s="703">
        <f>E11</f>
        <v>18.808333333333334</v>
      </c>
      <c r="J55" s="703"/>
      <c r="K55" s="703"/>
      <c r="L55" s="703"/>
      <c r="M55" s="457">
        <v>18.808299999999999</v>
      </c>
      <c r="N55" s="458"/>
      <c r="O55" s="915"/>
      <c r="P55" s="916" t="s">
        <v>5</v>
      </c>
      <c r="Q55" s="917" t="s">
        <v>212</v>
      </c>
      <c r="R55" s="600"/>
      <c r="S55" s="600"/>
      <c r="T55" s="927"/>
      <c r="U55" s="916" t="s">
        <v>5</v>
      </c>
      <c r="V55" s="917" t="s">
        <v>118</v>
      </c>
      <c r="W55" s="600"/>
      <c r="X55" s="600"/>
      <c r="Y55" s="927"/>
      <c r="Z55" s="14"/>
      <c r="AA55" s="16"/>
      <c r="AB55" s="63"/>
      <c r="AC55" s="3" t="s">
        <v>188</v>
      </c>
      <c r="AD55" s="3">
        <f>VLOOKUP(U55,$B$26:$C$27,2)</f>
        <v>1</v>
      </c>
      <c r="BN55" s="24"/>
      <c r="BO55" s="16"/>
    </row>
    <row r="56" spans="1:67" customFormat="1" ht="17.25" customHeight="1" thickBot="1">
      <c r="A56" s="16"/>
      <c r="B56" s="16"/>
      <c r="C56" s="61"/>
      <c r="D56" s="61"/>
      <c r="E56" s="61"/>
      <c r="F56" s="462"/>
      <c r="G56" s="462"/>
      <c r="H56" s="462"/>
      <c r="I56" s="703"/>
      <c r="J56" s="703"/>
      <c r="K56" s="703"/>
      <c r="L56" s="703"/>
      <c r="M56" s="459"/>
      <c r="N56" s="460"/>
      <c r="O56" s="599"/>
      <c r="P56" s="926"/>
      <c r="Q56" s="928"/>
      <c r="R56" s="601"/>
      <c r="S56" s="601"/>
      <c r="T56" s="929"/>
      <c r="U56" s="926"/>
      <c r="V56" s="928"/>
      <c r="W56" s="601"/>
      <c r="X56" s="601"/>
      <c r="Y56" s="929"/>
      <c r="Z56" s="14"/>
      <c r="AA56" s="16"/>
      <c r="AB56" s="63"/>
      <c r="AC56" s="3" t="s">
        <v>189</v>
      </c>
      <c r="AD56" s="3" cm="1">
        <f t="array" ref="AD56">angleConvert2Decimal(V55)*AD55</f>
        <v>15.002000000000001</v>
      </c>
      <c r="BN56" s="24"/>
      <c r="BO56" s="16"/>
    </row>
    <row r="57" spans="1:67" customFormat="1" ht="17.25" customHeight="1" thickTop="1" thickBot="1">
      <c r="A57" s="16"/>
      <c r="B57" s="16"/>
      <c r="C57" s="61"/>
      <c r="D57" s="61"/>
      <c r="E57" s="61"/>
      <c r="F57" s="327" t="e" cm="1">
        <f t="array" ref="F57">angleDecimal2Txt(F55)</f>
        <v>#VALUE!</v>
      </c>
      <c r="G57" s="327"/>
      <c r="H57" s="327"/>
      <c r="I57" s="327"/>
      <c r="J57" s="327"/>
      <c r="K57" s="327"/>
      <c r="L57" s="16"/>
      <c r="M57" s="16"/>
      <c r="N57" s="16"/>
      <c r="O57" s="16"/>
      <c r="P57" s="327" t="str" cm="1">
        <f t="array" ref="P57">angleDecimal2Txt(AD54)</f>
        <v>+311°38.00 (+311.6333) [+311°38'00.00]</v>
      </c>
      <c r="Q57" s="327"/>
      <c r="R57" s="327"/>
      <c r="S57" s="327"/>
      <c r="T57" s="327"/>
      <c r="U57" s="327" t="str" cm="1">
        <f t="array" ref="U57">angleDecimal2Txt(AD56)</f>
        <v>+15°00.12 (+15.0020) [+15°00'07.20]</v>
      </c>
      <c r="V57" s="538"/>
      <c r="W57" s="538"/>
      <c r="X57" s="538"/>
      <c r="Y57" s="538"/>
      <c r="Z57" s="16"/>
      <c r="AA57" s="16"/>
      <c r="AB57" s="63"/>
      <c r="AC57" s="3" t="s">
        <v>190</v>
      </c>
      <c r="AD57" s="3">
        <f>AD54+AD56*(I55-M55)</f>
        <v>311.63383340000001</v>
      </c>
      <c r="BN57" s="24"/>
      <c r="BO57" s="16"/>
    </row>
    <row r="58" spans="1:67" customFormat="1" ht="17.25" customHeight="1" thickTop="1" thickBot="1">
      <c r="A58" s="16"/>
      <c r="B58" s="16"/>
      <c r="C58" s="61"/>
      <c r="D58" s="61"/>
      <c r="E58" s="61"/>
      <c r="F58" s="61"/>
      <c r="G58" s="61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4"/>
      <c r="T58" s="14"/>
      <c r="U58" s="14"/>
      <c r="V58" s="14"/>
      <c r="W58" s="14"/>
      <c r="X58" s="14"/>
      <c r="Y58" s="16"/>
      <c r="Z58" s="16"/>
      <c r="AA58" s="16"/>
      <c r="AB58" s="63"/>
      <c r="BN58" s="24"/>
      <c r="BO58" s="16"/>
    </row>
    <row r="59" spans="1:67" s="315" customFormat="1" ht="17.25" customHeight="1" thickBot="1">
      <c r="A59" s="16"/>
      <c r="B59" s="25" t="s">
        <v>556</v>
      </c>
      <c r="C59" s="26"/>
      <c r="D59" s="26"/>
      <c r="E59" s="26"/>
      <c r="F59" s="379">
        <f>I60</f>
        <v>263.07066666666674</v>
      </c>
      <c r="G59" s="379"/>
      <c r="H59" s="379"/>
      <c r="I59" s="26"/>
      <c r="J59" s="536" t="s">
        <v>55</v>
      </c>
      <c r="K59" s="536"/>
      <c r="L59" s="536"/>
      <c r="M59" s="464">
        <f>J13</f>
        <v>0</v>
      </c>
      <c r="N59" s="464"/>
      <c r="O59" s="464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6"/>
      <c r="AC59" s="318"/>
      <c r="AD59" s="318"/>
      <c r="AE59" s="318"/>
      <c r="AF59" s="318"/>
      <c r="AG59" s="318"/>
      <c r="AH59" s="318"/>
      <c r="AI59" s="318"/>
      <c r="AJ59" s="318"/>
      <c r="AK59" s="318"/>
      <c r="AL59" s="318"/>
      <c r="AM59" s="318"/>
      <c r="AN59" s="318"/>
      <c r="AO59" s="318"/>
      <c r="AP59" s="318"/>
      <c r="AQ59" s="318"/>
      <c r="AR59" s="318"/>
      <c r="AS59" s="318"/>
      <c r="AT59" s="318"/>
      <c r="AU59" s="318"/>
      <c r="AV59" s="318"/>
      <c r="AW59" s="318"/>
      <c r="AX59" s="318"/>
      <c r="AY59" s="318"/>
      <c r="AZ59" s="318"/>
      <c r="BA59" s="318"/>
      <c r="BB59" s="318"/>
      <c r="BC59" s="318"/>
      <c r="BD59" s="318"/>
      <c r="BE59" s="318"/>
      <c r="BF59" s="318"/>
      <c r="BG59" s="318"/>
      <c r="BH59" s="318"/>
      <c r="BI59" s="318"/>
      <c r="BJ59" s="318"/>
      <c r="BK59" s="318"/>
      <c r="BL59" s="318"/>
      <c r="BM59" s="318"/>
      <c r="BN59" s="31"/>
    </row>
    <row r="60" spans="1:67" s="16" customFormat="1" ht="17.25" customHeight="1" thickBot="1">
      <c r="C60" s="597" t="s">
        <v>553</v>
      </c>
      <c r="D60" s="597"/>
      <c r="E60" s="597"/>
      <c r="F60" s="597"/>
      <c r="G60" s="597"/>
      <c r="H60" s="598"/>
      <c r="I60" s="633">
        <f>AD61</f>
        <v>263.07066666666674</v>
      </c>
      <c r="J60" s="634"/>
      <c r="K60" s="634"/>
      <c r="L60" s="635"/>
      <c r="M60" s="36" t="s">
        <v>45</v>
      </c>
      <c r="N60" s="435">
        <f>AD60</f>
        <v>623.07066666666674</v>
      </c>
      <c r="O60" s="435"/>
      <c r="P60" s="435"/>
      <c r="Q60" s="435"/>
      <c r="AB60" s="63"/>
      <c r="AC60" s="3" t="s">
        <v>557</v>
      </c>
      <c r="AD60" s="5">
        <f>F38+F42</f>
        <v>623.07066666666674</v>
      </c>
      <c r="AE60" s="318"/>
      <c r="AF60" s="318"/>
      <c r="AG60" s="318"/>
      <c r="AH60" s="318"/>
      <c r="AI60" s="318"/>
      <c r="AJ60" s="318"/>
      <c r="AK60" s="318"/>
      <c r="AL60" s="318"/>
      <c r="AM60" s="318"/>
      <c r="AN60" s="318"/>
      <c r="AO60" s="318"/>
      <c r="AP60" s="318"/>
      <c r="AQ60" s="318"/>
      <c r="AR60" s="318"/>
      <c r="AS60" s="318"/>
      <c r="AT60" s="318"/>
      <c r="AU60" s="318"/>
      <c r="AV60" s="318"/>
      <c r="AW60" s="318"/>
      <c r="AX60" s="318"/>
      <c r="AY60" s="318"/>
      <c r="AZ60" s="318"/>
      <c r="BA60" s="318"/>
      <c r="BB60" s="318"/>
      <c r="BC60" s="318"/>
      <c r="BD60" s="318"/>
      <c r="BE60" s="318"/>
      <c r="BF60" s="318"/>
      <c r="BG60" s="318"/>
      <c r="BH60" s="318"/>
      <c r="BI60" s="318"/>
      <c r="BJ60" s="318"/>
      <c r="BK60" s="318"/>
      <c r="BL60" s="318"/>
      <c r="BM60" s="318"/>
      <c r="BN60" s="24"/>
    </row>
    <row r="61" spans="1:67" s="16" customFormat="1" ht="17.25" customHeight="1" thickTop="1" thickBot="1">
      <c r="A61" s="315"/>
      <c r="C61" s="315"/>
      <c r="D61" s="315"/>
      <c r="E61" s="315"/>
      <c r="F61" s="315"/>
      <c r="G61" s="315"/>
      <c r="H61" s="315"/>
      <c r="I61" s="538" t="str" cm="1">
        <f t="array" ref="I61">angleDecimal2Txt(I60)</f>
        <v>+263°04.24 (+263.0706) [+263°04'14.40]</v>
      </c>
      <c r="J61" s="538"/>
      <c r="K61" s="538"/>
      <c r="L61" s="538"/>
      <c r="M61" s="538"/>
      <c r="N61" s="538"/>
      <c r="AB61" s="68"/>
      <c r="AC61" s="3" t="s">
        <v>193</v>
      </c>
      <c r="AD61" s="5">
        <f>IF(AD60&gt;360,AD60-360,IF(AD60&lt;0,360+AD60,AD60))</f>
        <v>263.07066666666674</v>
      </c>
      <c r="AE61" s="318"/>
      <c r="AF61" s="318"/>
      <c r="AG61" s="318"/>
      <c r="AH61" s="318"/>
      <c r="AI61" s="318"/>
      <c r="AJ61" s="318"/>
      <c r="AK61" s="318"/>
      <c r="AL61" s="318"/>
      <c r="AM61" s="318"/>
      <c r="AN61" s="318"/>
      <c r="AO61" s="318"/>
      <c r="AP61" s="318"/>
      <c r="AQ61" s="318"/>
      <c r="AR61" s="318"/>
      <c r="AS61" s="318"/>
      <c r="AT61" s="318"/>
      <c r="AU61" s="318"/>
      <c r="AV61" s="318"/>
      <c r="AW61" s="318"/>
      <c r="AX61" s="318"/>
      <c r="AY61" s="318"/>
      <c r="AZ61" s="318"/>
      <c r="BA61" s="318"/>
      <c r="BB61" s="318"/>
      <c r="BC61" s="318"/>
      <c r="BD61" s="318"/>
      <c r="BE61" s="318"/>
      <c r="BF61" s="318"/>
      <c r="BG61" s="318"/>
      <c r="BH61" s="318"/>
      <c r="BI61" s="318"/>
      <c r="BJ61" s="318"/>
      <c r="BK61" s="318"/>
      <c r="BL61" s="318"/>
      <c r="BM61" s="318"/>
      <c r="BN61" s="24"/>
    </row>
    <row r="62" spans="1:67" customFormat="1" ht="17.25" customHeight="1" thickTop="1">
      <c r="A62" s="16"/>
      <c r="B62" s="16"/>
      <c r="C62" s="61"/>
      <c r="D62" s="61"/>
      <c r="E62" s="61"/>
      <c r="F62" s="61"/>
      <c r="G62" s="61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4"/>
      <c r="T62" s="14"/>
      <c r="U62" s="14"/>
      <c r="V62" s="14"/>
      <c r="W62" s="14"/>
      <c r="X62" s="16"/>
      <c r="Y62" s="16"/>
      <c r="Z62" s="16"/>
      <c r="AA62" s="16"/>
      <c r="AB62" s="63"/>
      <c r="BN62" s="24"/>
      <c r="BO62" s="16"/>
    </row>
    <row r="63" spans="1:67" customFormat="1" ht="17.25" customHeight="1" thickBot="1">
      <c r="A63" s="16"/>
      <c r="B63" s="16"/>
      <c r="C63" s="61"/>
      <c r="D63" s="61"/>
      <c r="E63" s="61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6"/>
      <c r="AB63" s="63"/>
      <c r="AI63" s="11"/>
      <c r="BN63" s="24"/>
      <c r="BO63" s="16"/>
    </row>
    <row r="64" spans="1:67" s="14" customFormat="1" ht="17.25" customHeight="1" thickBot="1">
      <c r="A64" s="16"/>
      <c r="B64" s="25" t="s">
        <v>552</v>
      </c>
      <c r="C64" s="26"/>
      <c r="D64" s="26"/>
      <c r="E64" s="26"/>
      <c r="F64" s="379">
        <f>I65</f>
        <v>250.57066666666674</v>
      </c>
      <c r="G64" s="379"/>
      <c r="H64" s="379"/>
      <c r="I64" s="26"/>
      <c r="J64" s="536" t="s">
        <v>55</v>
      </c>
      <c r="K64" s="536"/>
      <c r="L64" s="536"/>
      <c r="M64" s="464" t="str">
        <f>J18</f>
        <v>Polaire</v>
      </c>
      <c r="N64" s="464"/>
      <c r="O64" s="464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6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1:67" s="16" customFormat="1" ht="17.25" customHeight="1" thickBot="1">
      <c r="C65" s="597" t="s">
        <v>553</v>
      </c>
      <c r="D65" s="597"/>
      <c r="E65" s="597"/>
      <c r="F65" s="597"/>
      <c r="G65" s="597"/>
      <c r="H65" s="598"/>
      <c r="I65" s="633">
        <f>AD66</f>
        <v>250.57066666666674</v>
      </c>
      <c r="J65" s="634"/>
      <c r="K65" s="634"/>
      <c r="L65" s="635"/>
      <c r="M65" s="36" t="s">
        <v>45</v>
      </c>
      <c r="N65" s="435">
        <f>AD65</f>
        <v>250.57066666666674</v>
      </c>
      <c r="O65" s="435"/>
      <c r="P65" s="435"/>
      <c r="Q65" s="435"/>
      <c r="AB65" s="63"/>
      <c r="AC65" s="3" t="s">
        <v>558</v>
      </c>
      <c r="AD65" s="5">
        <f>F59+F29</f>
        <v>250.57066666666674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thickTop="1" thickBot="1">
      <c r="A66" s="14"/>
      <c r="C66" s="14"/>
      <c r="D66" s="14"/>
      <c r="E66" s="14"/>
      <c r="F66" s="14"/>
      <c r="G66" s="14"/>
      <c r="H66" s="14"/>
      <c r="I66" s="538" t="str" cm="1">
        <f t="array" ref="I66">angleDecimal2Txt(I65)</f>
        <v>+250°34.24 (+250.5706) [+250°34'14.40]</v>
      </c>
      <c r="J66" s="538"/>
      <c r="K66" s="538"/>
      <c r="L66" s="538"/>
      <c r="M66" s="538"/>
      <c r="N66" s="538"/>
      <c r="AB66" s="68"/>
      <c r="AC66" s="3" t="s">
        <v>193</v>
      </c>
      <c r="AD66" s="5">
        <f>IF(AD65&gt;360,AD65-360,IF(AD65&lt;0,360+AD65,AD65))</f>
        <v>250.57066666666674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thickTop="1" thickBot="1">
      <c r="B67" s="14"/>
      <c r="AA67" s="14"/>
      <c r="AB67" s="6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thickTop="1" thickBot="1">
      <c r="B68" s="25" t="s">
        <v>23</v>
      </c>
      <c r="C68" s="26"/>
      <c r="D68" s="569" t="s">
        <v>72</v>
      </c>
      <c r="E68" s="573"/>
      <c r="F68" s="379">
        <f>IF(G69=AD69,O106,O98)</f>
        <v>28.819379568060796</v>
      </c>
      <c r="G68" s="379"/>
      <c r="H68" s="379"/>
      <c r="I68" s="26"/>
      <c r="J68" s="643" t="str" cm="1">
        <f t="array" ref="J68">angleDecimal2Txt(F68)</f>
        <v>+28°49.16 (+28.8193) [+28°49'09.76]</v>
      </c>
      <c r="K68" s="644"/>
      <c r="L68" s="644"/>
      <c r="M68" s="644"/>
      <c r="N68" s="645"/>
      <c r="O68" s="26"/>
      <c r="P68" s="569"/>
      <c r="Q68" s="569"/>
      <c r="R68" s="26"/>
      <c r="S68" s="62"/>
      <c r="T68" s="26" t="s">
        <v>99</v>
      </c>
      <c r="U68" s="26"/>
      <c r="V68" s="605">
        <f>-O85+O80+O89</f>
        <v>-2.9960824388447736E-2</v>
      </c>
      <c r="W68" s="606"/>
      <c r="X68" s="607"/>
      <c r="Y68" s="94" t="str" cm="1">
        <f t="array" ref="Y68">angleDecimal2Txt(V68)</f>
        <v>-00°01.79 (-00.0299) [-00°01'47.85]</v>
      </c>
      <c r="Z68" s="94"/>
      <c r="AA68" s="94"/>
      <c r="AB68" s="95"/>
      <c r="AC68"/>
      <c r="AD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>
      <c r="C69" s="377" t="s">
        <v>35</v>
      </c>
      <c r="D69" s="377"/>
      <c r="E69" s="377"/>
      <c r="F69" s="377"/>
      <c r="G69" s="537" t="s">
        <v>51</v>
      </c>
      <c r="H69" s="537"/>
      <c r="I69" s="537"/>
      <c r="P69" s="16" t="s">
        <v>69</v>
      </c>
      <c r="V69" s="14"/>
      <c r="W69" s="14"/>
      <c r="X69" s="14"/>
      <c r="Y69" s="14"/>
      <c r="Z69" s="14"/>
      <c r="AB69" s="63"/>
      <c r="AC69" s="596" t="s">
        <v>36</v>
      </c>
      <c r="AD69" s="70" t="s">
        <v>50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thickBot="1">
      <c r="C70" s="33"/>
      <c r="D70" s="33"/>
      <c r="E70" s="33"/>
      <c r="F70" s="440" t="s">
        <v>62</v>
      </c>
      <c r="G70" s="440"/>
      <c r="H70" s="539"/>
      <c r="I70" s="539"/>
      <c r="J70" s="604">
        <f>IF(G69=AD69,"---",O98)</f>
        <v>28.819379568060796</v>
      </c>
      <c r="K70" s="604"/>
      <c r="L70" s="604"/>
      <c r="V70" s="14"/>
      <c r="W70" s="14"/>
      <c r="X70" s="14"/>
      <c r="Y70" s="14"/>
      <c r="Z70" s="14"/>
      <c r="AB70" s="63"/>
      <c r="AC70" s="596"/>
      <c r="AD70" s="70" t="s">
        <v>51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thickTop="1" thickBot="1">
      <c r="H71" s="480" t="s">
        <v>47</v>
      </c>
      <c r="I71" s="480"/>
      <c r="J71" s="480"/>
      <c r="K71" s="480"/>
      <c r="L71" s="480"/>
      <c r="M71" s="480"/>
      <c r="N71" s="480"/>
      <c r="O71" s="397">
        <f>J17</f>
        <v>28.916666666666668</v>
      </c>
      <c r="P71" s="397"/>
      <c r="Q71" s="397"/>
      <c r="R71" s="397"/>
      <c r="S71" s="16" t="s">
        <v>54</v>
      </c>
      <c r="U71" s="327" t="str" cm="1">
        <f t="array" ref="U71">angleDecimal2Txt(O71)</f>
        <v>+28°55.00 (+28.9166) [+28°55'00.00]</v>
      </c>
      <c r="V71" s="327"/>
      <c r="W71" s="327"/>
      <c r="X71" s="327"/>
      <c r="Y71" s="327"/>
      <c r="Z71" s="327"/>
      <c r="AB71" s="63"/>
      <c r="AC71" s="3" t="s">
        <v>59</v>
      </c>
      <c r="AD71" s="5">
        <f>O72</f>
        <v>0</v>
      </c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thickTop="1" thickBot="1">
      <c r="H72" s="480" t="s">
        <v>24</v>
      </c>
      <c r="I72" s="480"/>
      <c r="J72" s="480"/>
      <c r="K72" s="480"/>
      <c r="L72" s="480"/>
      <c r="M72" s="480"/>
      <c r="N72" s="480"/>
      <c r="O72" s="397">
        <f>J16</f>
        <v>0</v>
      </c>
      <c r="P72" s="397"/>
      <c r="Q72" s="397"/>
      <c r="R72" s="397"/>
      <c r="S72" s="16" t="s">
        <v>54</v>
      </c>
      <c r="U72" s="327" t="str" cm="1">
        <f t="array" ref="U72">angleDecimal2Txt(O72)</f>
        <v>+00°00.00 (+00.0000) [+00°00'00.00]</v>
      </c>
      <c r="V72" s="327"/>
      <c r="W72" s="327"/>
      <c r="X72" s="327"/>
      <c r="Y72" s="327"/>
      <c r="Z72" s="327"/>
      <c r="AB72" s="63"/>
      <c r="AC72" s="3" t="s">
        <v>46</v>
      </c>
      <c r="AD72" s="3">
        <f>J15</f>
        <v>5.28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thickTop="1" thickBot="1">
      <c r="C73" s="61"/>
      <c r="D73" s="61"/>
      <c r="E73" s="61"/>
      <c r="F73" s="61"/>
      <c r="H73" s="496" t="s">
        <v>68</v>
      </c>
      <c r="I73" s="496"/>
      <c r="J73" s="496"/>
      <c r="K73" s="496"/>
      <c r="L73" s="496"/>
      <c r="M73" s="496"/>
      <c r="N73" s="496"/>
      <c r="O73" s="330">
        <f>AD73</f>
        <v>6.7326274217425694E-2</v>
      </c>
      <c r="P73" s="330"/>
      <c r="Q73" s="330"/>
      <c r="R73" s="330"/>
      <c r="S73" s="16" t="s">
        <v>54</v>
      </c>
      <c r="U73" s="327" t="str" cm="1">
        <f t="array" ref="U73">angleDecimal2Txt(O73)</f>
        <v>+00°04.03 (+00.0673) [+00°04'02.37]</v>
      </c>
      <c r="V73" s="327"/>
      <c r="W73" s="327"/>
      <c r="X73" s="327"/>
      <c r="Y73" s="327"/>
      <c r="Z73" s="327"/>
      <c r="AB73" s="63"/>
      <c r="AC73" s="76" t="s">
        <v>67</v>
      </c>
      <c r="AD73" s="3">
        <f>0.0293 * SQRT(AD72)</f>
        <v>6.7326274217425694E-2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thickTop="1" thickBot="1">
      <c r="C74" s="61"/>
      <c r="D74" s="61"/>
      <c r="E74" s="61"/>
      <c r="F74" s="61"/>
      <c r="G74" s="61"/>
      <c r="K74" s="14"/>
      <c r="L74" s="14"/>
      <c r="M74" s="579" t="s">
        <v>122</v>
      </c>
      <c r="N74" s="579"/>
      <c r="O74" s="579"/>
      <c r="P74" s="579"/>
      <c r="Q74" s="14"/>
      <c r="R74" s="14"/>
      <c r="U74" s="14"/>
      <c r="V74" s="14"/>
      <c r="W74" s="14"/>
      <c r="X74" s="14"/>
      <c r="Y74" s="14"/>
      <c r="Z74" s="14"/>
      <c r="AB74" s="63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s="16" customFormat="1" ht="17.25" customHeight="1" thickTop="1" thickBot="1">
      <c r="C75" s="61"/>
      <c r="D75" s="61"/>
      <c r="E75" s="61"/>
      <c r="F75" s="61"/>
      <c r="H75" s="328" t="s">
        <v>540</v>
      </c>
      <c r="I75" s="328"/>
      <c r="J75" s="328"/>
      <c r="K75" s="328"/>
      <c r="L75" s="328"/>
      <c r="M75" s="328"/>
      <c r="N75" s="328"/>
      <c r="O75" s="463">
        <f>O71-O72-O73</f>
        <v>28.849340392449243</v>
      </c>
      <c r="P75" s="439"/>
      <c r="Q75" s="16" t="s">
        <v>54</v>
      </c>
      <c r="R75" s="469">
        <f>O75*D126</f>
        <v>0.50351597687683236</v>
      </c>
      <c r="S75" s="469"/>
      <c r="T75" s="37" t="s">
        <v>64</v>
      </c>
      <c r="U75" s="327" t="str" cm="1">
        <f t="array" ref="U75">angleDecimal2Txt(O75)</f>
        <v>+28°50.96 (+28.8493) [+28°50'57.62]</v>
      </c>
      <c r="V75" s="327"/>
      <c r="W75" s="327"/>
      <c r="X75" s="327"/>
      <c r="Y75" s="327"/>
      <c r="Z75" s="327"/>
      <c r="AB75" s="6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1:67" s="16" customFormat="1" ht="17.25" customHeight="1" thickTop="1"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U76" s="14"/>
      <c r="V76" s="14"/>
      <c r="W76" s="14"/>
      <c r="X76" s="14"/>
      <c r="Y76" s="14"/>
      <c r="Z76" s="14"/>
      <c r="AB76" s="6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1:67" s="16" customFormat="1" ht="17.25" customHeight="1">
      <c r="C77" s="61"/>
      <c r="D77" s="61"/>
      <c r="E77" s="61"/>
      <c r="F77" s="61"/>
      <c r="H77" s="14"/>
      <c r="I77" s="14"/>
      <c r="J77" s="14"/>
      <c r="K77" s="14"/>
      <c r="L77" s="14"/>
      <c r="M77" s="465" t="s">
        <v>61</v>
      </c>
      <c r="N77" s="465"/>
      <c r="O77" s="465"/>
      <c r="P77" s="465"/>
      <c r="Q77" s="14"/>
      <c r="R77" s="14"/>
      <c r="U77" s="14"/>
      <c r="V77" s="14"/>
      <c r="W77" s="14"/>
      <c r="X77" s="14"/>
      <c r="Y77" s="14"/>
      <c r="Z77" s="14"/>
      <c r="AB77" s="6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1:67" s="16" customFormat="1" ht="17.25" customHeight="1" thickBot="1">
      <c r="M78" s="466" t="s">
        <v>150</v>
      </c>
      <c r="N78" s="466"/>
      <c r="O78" s="465"/>
      <c r="P78" s="465"/>
      <c r="AB78" s="6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1:67" s="16" customFormat="1" ht="17.25" customHeight="1" thickTop="1" thickBot="1">
      <c r="A79" s="14"/>
      <c r="B79" s="14"/>
      <c r="C79" s="14"/>
      <c r="D79" s="14"/>
      <c r="E79" s="14"/>
      <c r="H79" s="330" t="s">
        <v>52</v>
      </c>
      <c r="I79" s="330"/>
      <c r="J79" s="330"/>
      <c r="K79" s="330"/>
      <c r="L79" s="330"/>
      <c r="M79" s="330"/>
      <c r="N79" s="330"/>
      <c r="O79" s="467">
        <v>0</v>
      </c>
      <c r="P79" s="468"/>
      <c r="Q79" s="468"/>
      <c r="R79" s="468"/>
      <c r="S79" s="16" t="s">
        <v>54</v>
      </c>
      <c r="U79" s="327" t="str" cm="1">
        <f t="array" ref="U79">angleDecimal2Txt(O79)</f>
        <v>+00°00.00 (+00.0000) [+00°00'00.00]</v>
      </c>
      <c r="V79" s="327"/>
      <c r="W79" s="327"/>
      <c r="X79" s="327"/>
      <c r="Y79" s="327"/>
      <c r="Z79" s="327"/>
      <c r="AB79" s="63"/>
      <c r="AC79" s="3" t="s">
        <v>194</v>
      </c>
      <c r="AD79" s="3">
        <f>O79*COS(R75)</f>
        <v>0</v>
      </c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1:67" customFormat="1" ht="17.25" customHeight="1" thickTop="1" thickBot="1">
      <c r="A80" s="14"/>
      <c r="B80" s="14"/>
      <c r="C80" s="14"/>
      <c r="D80" s="14"/>
      <c r="E80" s="14"/>
      <c r="F80" s="16"/>
      <c r="G80" s="16"/>
      <c r="H80" s="427" t="s">
        <v>151</v>
      </c>
      <c r="I80" s="428"/>
      <c r="J80" s="428"/>
      <c r="K80" s="428"/>
      <c r="L80" s="428"/>
      <c r="M80" s="428"/>
      <c r="N80" s="429"/>
      <c r="O80" s="329">
        <f>AD79</f>
        <v>0</v>
      </c>
      <c r="P80" s="329"/>
      <c r="Q80" s="329"/>
      <c r="R80" s="329"/>
      <c r="S80" s="16" t="s">
        <v>54</v>
      </c>
      <c r="T80" s="16"/>
      <c r="U80" s="327" t="str" cm="1">
        <f t="array" ref="U80">angleDecimal2Txt(O80)</f>
        <v>+00°00.00 (+00.0000) [+00°00'00.00]</v>
      </c>
      <c r="V80" s="327"/>
      <c r="W80" s="327"/>
      <c r="X80" s="327"/>
      <c r="Y80" s="327"/>
      <c r="Z80" s="327"/>
      <c r="AA80" s="16"/>
      <c r="AB80" s="63"/>
      <c r="BN80" s="24"/>
      <c r="BO80" s="16"/>
    </row>
    <row r="81" spans="1:67" customFormat="1" ht="17.25" customHeight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6"/>
      <c r="AB81" s="63"/>
      <c r="BN81" s="24"/>
      <c r="BO81" s="16"/>
    </row>
    <row r="82" spans="1:67" customFormat="1" ht="17.25" customHeight="1">
      <c r="A82" s="14"/>
      <c r="B82" s="14"/>
      <c r="C82" s="14"/>
      <c r="D82" s="14"/>
      <c r="E82" s="61"/>
      <c r="F82" s="16"/>
      <c r="G82" s="16"/>
      <c r="H82" s="14"/>
      <c r="I82" s="14"/>
      <c r="J82" s="14"/>
      <c r="K82" s="14"/>
      <c r="L82" s="14"/>
      <c r="M82" s="14"/>
      <c r="N82" s="14"/>
      <c r="O82" s="14"/>
      <c r="P82" s="16"/>
      <c r="Q82" s="16"/>
      <c r="R82" s="16"/>
      <c r="S82" s="476" t="s">
        <v>135</v>
      </c>
      <c r="T82" s="477"/>
      <c r="U82" s="478"/>
      <c r="V82" s="16"/>
      <c r="W82" s="16"/>
      <c r="X82" s="16"/>
      <c r="Y82" s="14"/>
      <c r="Z82" s="14"/>
      <c r="AA82" s="16"/>
      <c r="AB82" s="63"/>
      <c r="AC82" s="3" t="s">
        <v>49</v>
      </c>
      <c r="AD82" s="3" t="s">
        <v>196</v>
      </c>
      <c r="BN82" s="24"/>
      <c r="BO82" s="16"/>
    </row>
    <row r="83" spans="1:67" customFormat="1" ht="17.25" customHeight="1">
      <c r="A83" s="14"/>
      <c r="B83" s="14"/>
      <c r="C83" s="14"/>
      <c r="D83" s="14"/>
      <c r="E83" s="61"/>
      <c r="F83" s="16"/>
      <c r="G83" s="16"/>
      <c r="H83" s="330" t="s">
        <v>65</v>
      </c>
      <c r="I83" s="330"/>
      <c r="J83" s="330"/>
      <c r="K83" s="330"/>
      <c r="L83" s="330"/>
      <c r="M83" s="330"/>
      <c r="N83" s="330"/>
      <c r="O83" s="430">
        <f>S83</f>
        <v>10</v>
      </c>
      <c r="P83" s="431"/>
      <c r="Q83" s="431"/>
      <c r="R83" s="431"/>
      <c r="S83" s="576">
        <v>10</v>
      </c>
      <c r="T83" s="577"/>
      <c r="U83" s="578"/>
      <c r="V83" s="16"/>
      <c r="W83" s="16"/>
      <c r="X83" s="16"/>
      <c r="Y83" s="14"/>
      <c r="Z83" s="14"/>
      <c r="AA83" s="16"/>
      <c r="AB83" s="63"/>
      <c r="AC83" s="3" t="s">
        <v>197</v>
      </c>
      <c r="AD83" s="3">
        <f>1/TAN((O75 + 7.31 / (O75 + 4.4)) *D126)</f>
        <v>1.7989207854166993</v>
      </c>
      <c r="BN83" s="24"/>
      <c r="BO83" s="16"/>
    </row>
    <row r="84" spans="1:67" customFormat="1" ht="17.25" customHeight="1" thickBot="1">
      <c r="A84" s="14"/>
      <c r="B84" s="14"/>
      <c r="C84" s="14"/>
      <c r="D84" s="14"/>
      <c r="E84" s="14"/>
      <c r="F84" s="16"/>
      <c r="G84" s="16"/>
      <c r="H84" s="330" t="s">
        <v>66</v>
      </c>
      <c r="I84" s="330"/>
      <c r="J84" s="330"/>
      <c r="K84" s="330"/>
      <c r="L84" s="330"/>
      <c r="M84" s="330"/>
      <c r="N84" s="330"/>
      <c r="O84" s="430">
        <f>S84</f>
        <v>1010</v>
      </c>
      <c r="P84" s="431"/>
      <c r="Q84" s="431"/>
      <c r="R84" s="431"/>
      <c r="S84" s="576">
        <v>1010</v>
      </c>
      <c r="T84" s="577"/>
      <c r="U84" s="578"/>
      <c r="V84" s="16"/>
      <c r="W84" s="16"/>
      <c r="X84" s="16"/>
      <c r="Y84" s="14"/>
      <c r="Z84" s="14"/>
      <c r="AA84" s="16"/>
      <c r="AB84" s="63"/>
      <c r="AC84" s="3" t="s">
        <v>198</v>
      </c>
      <c r="AD84" s="3">
        <f>AD83/60</f>
        <v>2.9982013090278321E-2</v>
      </c>
      <c r="BN84" s="24"/>
      <c r="BO84" s="16"/>
    </row>
    <row r="85" spans="1:67" customFormat="1" ht="17.25" customHeight="1" thickTop="1" thickBot="1">
      <c r="A85" s="14"/>
      <c r="B85" s="14"/>
      <c r="C85" s="14"/>
      <c r="D85" s="14"/>
      <c r="E85" s="14"/>
      <c r="F85" s="16"/>
      <c r="G85" s="16"/>
      <c r="H85" s="427" t="s">
        <v>152</v>
      </c>
      <c r="I85" s="428"/>
      <c r="J85" s="428"/>
      <c r="K85" s="428"/>
      <c r="L85" s="428"/>
      <c r="M85" s="428"/>
      <c r="N85" s="429"/>
      <c r="O85" s="329">
        <f>AD86</f>
        <v>2.9960824388447736E-2</v>
      </c>
      <c r="P85" s="329"/>
      <c r="Q85" s="329"/>
      <c r="R85" s="329"/>
      <c r="S85" s="16" t="s">
        <v>54</v>
      </c>
      <c r="T85" s="16"/>
      <c r="U85" s="327" t="str" cm="1">
        <f t="array" ref="U85">angleDecimal2Txt(O85)</f>
        <v>+00°01.79 (+00.0299) [+00°01'47.85]</v>
      </c>
      <c r="V85" s="327"/>
      <c r="W85" s="327"/>
      <c r="X85" s="327"/>
      <c r="Y85" s="327"/>
      <c r="Z85" s="327"/>
      <c r="AA85" s="16"/>
      <c r="AB85" s="63"/>
      <c r="AC85" s="3" t="s">
        <v>100</v>
      </c>
      <c r="AD85" s="3">
        <f xml:space="preserve"> 0.28 * O84 / (273 + O83)</f>
        <v>0.99929328621908131</v>
      </c>
      <c r="BN85" s="24"/>
      <c r="BO85" s="16"/>
    </row>
    <row r="86" spans="1:67" customFormat="1" ht="17.25" customHeight="1" thickTop="1">
      <c r="A86" s="14"/>
      <c r="B86" s="14"/>
      <c r="C86" s="14"/>
      <c r="D86" s="14"/>
      <c r="E86" s="14"/>
      <c r="F86" s="16"/>
      <c r="G86" s="16"/>
      <c r="H86" s="14"/>
      <c r="I86" s="14"/>
      <c r="J86" s="14"/>
      <c r="K86" s="14"/>
      <c r="L86" s="14"/>
      <c r="M86" s="14"/>
      <c r="N86" s="14"/>
      <c r="O86" s="14"/>
      <c r="P86" s="16"/>
      <c r="Q86" s="16"/>
      <c r="R86" s="16"/>
      <c r="S86" s="16"/>
      <c r="T86" s="16"/>
      <c r="U86" s="16"/>
      <c r="V86" s="16"/>
      <c r="W86" s="16"/>
      <c r="X86" s="16"/>
      <c r="Y86" s="14"/>
      <c r="Z86" s="14"/>
      <c r="AA86" s="16"/>
      <c r="AB86" s="63"/>
      <c r="AC86" s="3" t="s">
        <v>195</v>
      </c>
      <c r="AD86" s="3">
        <f>AD85*AD84</f>
        <v>2.9960824388447736E-2</v>
      </c>
      <c r="BN86" s="24"/>
      <c r="BO86" s="16"/>
    </row>
    <row r="87" spans="1:67" customFormat="1" ht="17.25" customHeight="1">
      <c r="A87" s="14"/>
      <c r="B87" s="14"/>
      <c r="C87" s="14"/>
      <c r="D87" s="14"/>
      <c r="E87" s="14"/>
      <c r="F87" s="16"/>
      <c r="G87" s="16"/>
      <c r="H87" s="330" t="s">
        <v>106</v>
      </c>
      <c r="I87" s="330"/>
      <c r="J87" s="330"/>
      <c r="K87" s="330"/>
      <c r="L87" s="330"/>
      <c r="M87" s="330"/>
      <c r="N87" s="330"/>
      <c r="O87" s="479">
        <v>0</v>
      </c>
      <c r="P87" s="479"/>
      <c r="Q87" s="479"/>
      <c r="R87" s="479"/>
      <c r="S87" s="16"/>
      <c r="T87" s="16"/>
      <c r="U87" s="16"/>
      <c r="V87" s="16"/>
      <c r="W87" s="16"/>
      <c r="X87" s="16"/>
      <c r="Y87" s="16"/>
      <c r="Z87" s="16"/>
      <c r="AA87" s="16"/>
      <c r="AB87" s="63"/>
      <c r="BN87" s="24"/>
      <c r="BO87" s="16"/>
    </row>
    <row r="88" spans="1:67" customFormat="1" ht="17.25" customHeight="1" thickBot="1">
      <c r="A88" s="16"/>
      <c r="B88" s="14"/>
      <c r="C88" s="14"/>
      <c r="D88" s="14"/>
      <c r="E88" s="61"/>
      <c r="F88" s="61"/>
      <c r="G88" s="61"/>
      <c r="H88" s="330" t="s">
        <v>70</v>
      </c>
      <c r="I88" s="330"/>
      <c r="J88" s="330"/>
      <c r="K88" s="330"/>
      <c r="L88" s="330"/>
      <c r="M88" s="330"/>
      <c r="N88" s="330"/>
      <c r="O88" s="479">
        <f>J19</f>
        <v>0</v>
      </c>
      <c r="P88" s="479"/>
      <c r="Q88" s="479"/>
      <c r="R88" s="479"/>
      <c r="S88" s="16"/>
      <c r="T88" s="16"/>
      <c r="U88" s="16"/>
      <c r="V88" s="16"/>
      <c r="W88" s="16"/>
      <c r="X88" s="16"/>
      <c r="Y88" s="16"/>
      <c r="Z88" s="16"/>
      <c r="AA88" s="16"/>
      <c r="AB88" s="63"/>
      <c r="AC88" s="3" t="s">
        <v>30</v>
      </c>
      <c r="AD88" s="323" t="str">
        <f>J18</f>
        <v>Polaire</v>
      </c>
      <c r="AE88" s="323"/>
      <c r="BN88" s="24"/>
      <c r="BO88" s="16"/>
    </row>
    <row r="89" spans="1:67" customFormat="1" ht="17.25" customHeight="1" thickTop="1" thickBot="1">
      <c r="A89" s="16"/>
      <c r="B89" s="16"/>
      <c r="C89" s="61"/>
      <c r="D89" s="61"/>
      <c r="E89" s="61"/>
      <c r="F89" s="61"/>
      <c r="G89" s="61"/>
      <c r="H89" s="432" t="s">
        <v>71</v>
      </c>
      <c r="I89" s="433"/>
      <c r="J89" s="433"/>
      <c r="K89" s="433"/>
      <c r="L89" s="433"/>
      <c r="M89" s="433"/>
      <c r="N89" s="434"/>
      <c r="O89" s="435">
        <f>AD92</f>
        <v>0</v>
      </c>
      <c r="P89" s="435"/>
      <c r="Q89" s="435"/>
      <c r="R89" s="435"/>
      <c r="S89" s="16" t="s">
        <v>54</v>
      </c>
      <c r="T89" s="16"/>
      <c r="U89" s="327" t="str" cm="1">
        <f t="array" ref="U89">angleDecimal2Txt(O89)</f>
        <v>+00°00.00 (+00.0000) [+00°00'00.00]</v>
      </c>
      <c r="V89" s="327"/>
      <c r="W89" s="327"/>
      <c r="X89" s="327"/>
      <c r="Y89" s="327"/>
      <c r="Z89" s="327"/>
      <c r="AA89" s="16"/>
      <c r="AB89" s="63"/>
      <c r="AC89" s="3" t="s">
        <v>202</v>
      </c>
      <c r="AD89" s="323">
        <f>O88</f>
        <v>0</v>
      </c>
      <c r="AE89" s="323"/>
      <c r="BN89" s="24"/>
      <c r="BO89" s="16"/>
    </row>
    <row r="90" spans="1:67" customFormat="1" ht="17.25" customHeight="1" thickTop="1">
      <c r="A90" s="16"/>
      <c r="B90" s="16"/>
      <c r="C90" s="61"/>
      <c r="D90" s="61"/>
      <c r="E90" s="61"/>
      <c r="F90" s="61"/>
      <c r="G90" s="61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6"/>
      <c r="AB90" s="63"/>
      <c r="AC90" s="3" t="s">
        <v>203</v>
      </c>
      <c r="AD90" s="572">
        <v>0</v>
      </c>
      <c r="AE90" s="572"/>
      <c r="BN90" s="24"/>
      <c r="BO90" s="16"/>
    </row>
    <row r="91" spans="1:67" customFormat="1" ht="17.25" customHeight="1">
      <c r="A91" s="16"/>
      <c r="B91" s="16"/>
      <c r="C91" s="61"/>
      <c r="D91" s="61"/>
      <c r="E91" s="61"/>
      <c r="F91" s="61"/>
      <c r="G91" s="493" t="s">
        <v>115</v>
      </c>
      <c r="H91" s="494"/>
      <c r="I91" s="494"/>
      <c r="J91" s="494"/>
      <c r="K91" s="494"/>
      <c r="L91" s="494"/>
      <c r="M91" s="494"/>
      <c r="N91" s="494"/>
      <c r="O91" s="494"/>
      <c r="P91" s="494"/>
      <c r="Q91" s="494"/>
      <c r="R91" s="494"/>
      <c r="S91" s="495"/>
      <c r="T91" s="14"/>
      <c r="U91" s="14"/>
      <c r="V91" s="14"/>
      <c r="W91" s="14"/>
      <c r="X91" s="14"/>
      <c r="Y91" s="14"/>
      <c r="Z91" s="14"/>
      <c r="AA91" s="16"/>
      <c r="AB91" s="63"/>
      <c r="AC91" s="3" t="s">
        <v>106</v>
      </c>
      <c r="AD91" s="3">
        <v>0</v>
      </c>
      <c r="AE91" s="3" cm="1">
        <f t="array" ref="AE91">angleConvert2Decimal(AD91)</f>
        <v>0</v>
      </c>
      <c r="BN91" s="24"/>
      <c r="BO91" s="16"/>
    </row>
    <row r="92" spans="1:67" customFormat="1" ht="17.25" customHeight="1">
      <c r="A92" s="16"/>
      <c r="B92" s="16"/>
      <c r="C92" s="61"/>
      <c r="D92" s="61"/>
      <c r="E92" s="61"/>
      <c r="F92" s="61"/>
      <c r="G92" s="452" t="s">
        <v>124</v>
      </c>
      <c r="H92" s="454"/>
      <c r="I92" s="470" t="s">
        <v>119</v>
      </c>
      <c r="J92" s="471"/>
      <c r="K92" s="471"/>
      <c r="L92" s="471"/>
      <c r="M92" s="471"/>
      <c r="N92" s="472"/>
      <c r="O92" s="481">
        <f>(O80-O85-O73+O87/2) * 60</f>
        <v>-5.8372259163524056</v>
      </c>
      <c r="P92" s="482"/>
      <c r="Q92" s="482"/>
      <c r="R92" s="482"/>
      <c r="S92" s="485" t="s">
        <v>116</v>
      </c>
      <c r="T92" s="14"/>
      <c r="U92" s="14"/>
      <c r="V92" s="14"/>
      <c r="W92" s="14"/>
      <c r="X92" s="14"/>
      <c r="Y92" s="14"/>
      <c r="Z92" s="14"/>
      <c r="AA92" s="16"/>
      <c r="AB92" s="63"/>
      <c r="AC92" s="3" t="s">
        <v>203</v>
      </c>
      <c r="AD92" s="572">
        <f>AE91*AD90</f>
        <v>0</v>
      </c>
      <c r="AE92" s="572"/>
      <c r="BN92" s="24"/>
      <c r="BO92" s="16"/>
    </row>
    <row r="93" spans="1:67" customFormat="1" ht="17.25" customHeight="1">
      <c r="A93" s="16"/>
      <c r="B93" s="16"/>
      <c r="C93" s="61"/>
      <c r="D93" s="61"/>
      <c r="E93" s="61"/>
      <c r="F93" s="61"/>
      <c r="G93" s="580"/>
      <c r="H93" s="581"/>
      <c r="I93" s="473" t="s">
        <v>123</v>
      </c>
      <c r="J93" s="474"/>
      <c r="K93" s="474"/>
      <c r="L93" s="474"/>
      <c r="M93" s="474"/>
      <c r="N93" s="475"/>
      <c r="O93" s="483"/>
      <c r="P93" s="484"/>
      <c r="Q93" s="484"/>
      <c r="R93" s="484"/>
      <c r="S93" s="486"/>
      <c r="T93" s="14"/>
      <c r="U93" s="14"/>
      <c r="V93" s="14"/>
      <c r="W93" s="14"/>
      <c r="X93" s="14"/>
      <c r="Y93" s="14"/>
      <c r="Z93" s="14"/>
      <c r="AA93" s="16"/>
      <c r="AB93" s="63"/>
      <c r="BN93" s="24"/>
      <c r="BO93" s="16"/>
    </row>
    <row r="94" spans="1:67" customFormat="1" ht="17.25" customHeight="1">
      <c r="A94" s="16"/>
      <c r="B94" s="16"/>
      <c r="C94" s="61"/>
      <c r="D94" s="61"/>
      <c r="E94" s="61"/>
      <c r="F94" s="61"/>
      <c r="G94" s="61"/>
      <c r="H94" s="14"/>
      <c r="I94" s="470" t="s">
        <v>120</v>
      </c>
      <c r="J94" s="471"/>
      <c r="K94" s="471"/>
      <c r="L94" s="471"/>
      <c r="M94" s="471"/>
      <c r="N94" s="472"/>
      <c r="O94" s="482">
        <f>(O80-O85+O87/2)*60</f>
        <v>-1.7976494633068643</v>
      </c>
      <c r="P94" s="482"/>
      <c r="Q94" s="482"/>
      <c r="R94" s="482"/>
      <c r="S94" s="485" t="s">
        <v>116</v>
      </c>
      <c r="T94" s="14"/>
      <c r="U94" s="14"/>
      <c r="V94" s="14"/>
      <c r="W94" s="14"/>
      <c r="X94" s="14"/>
      <c r="Y94" s="14"/>
      <c r="Z94" s="14"/>
      <c r="AA94" s="16"/>
      <c r="AB94" s="63"/>
      <c r="BN94" s="24"/>
      <c r="BO94" s="16"/>
    </row>
    <row r="95" spans="1:67" customFormat="1" ht="17.25" customHeight="1">
      <c r="A95" s="16"/>
      <c r="B95" s="16"/>
      <c r="C95" s="61"/>
      <c r="D95" s="61"/>
      <c r="E95" s="61"/>
      <c r="F95" s="61"/>
      <c r="G95" s="61"/>
      <c r="H95" s="14"/>
      <c r="I95" s="487" t="s">
        <v>121</v>
      </c>
      <c r="J95" s="488"/>
      <c r="K95" s="488"/>
      <c r="L95" s="488"/>
      <c r="M95" s="488"/>
      <c r="N95" s="489"/>
      <c r="O95" s="484"/>
      <c r="P95" s="484"/>
      <c r="Q95" s="484"/>
      <c r="R95" s="484"/>
      <c r="S95" s="486"/>
      <c r="T95" s="14"/>
      <c r="U95" s="14"/>
      <c r="V95" s="14"/>
      <c r="W95" s="14"/>
      <c r="X95" s="14"/>
      <c r="Y95" s="14"/>
      <c r="Z95" s="14"/>
      <c r="AA95" s="16"/>
      <c r="AB95" s="63"/>
      <c r="BN95" s="24"/>
      <c r="BO95" s="16"/>
    </row>
    <row r="96" spans="1:67" customFormat="1" ht="17.25" customHeight="1">
      <c r="A96" s="16"/>
      <c r="B96" s="16"/>
      <c r="C96" s="61"/>
      <c r="D96" s="61"/>
      <c r="E96" s="61"/>
      <c r="F96" s="61"/>
      <c r="G96" s="61"/>
      <c r="H96" s="14"/>
      <c r="I96" s="331" t="s">
        <v>71</v>
      </c>
      <c r="J96" s="331"/>
      <c r="K96" s="331"/>
      <c r="L96" s="331"/>
      <c r="M96" s="331"/>
      <c r="N96" s="331"/>
      <c r="O96" s="441">
        <f>O89*60</f>
        <v>0</v>
      </c>
      <c r="P96" s="442"/>
      <c r="Q96" s="442"/>
      <c r="R96" s="442"/>
      <c r="S96" s="77" t="s">
        <v>116</v>
      </c>
      <c r="T96" s="14"/>
      <c r="U96" s="14"/>
      <c r="V96" s="14"/>
      <c r="W96" s="14"/>
      <c r="X96" s="14"/>
      <c r="Y96" s="14"/>
      <c r="Z96" s="14"/>
      <c r="AA96" s="16"/>
      <c r="AB96" s="63"/>
      <c r="BN96" s="24"/>
      <c r="BO96" s="16"/>
    </row>
    <row r="97" spans="1:67" customFormat="1" ht="17.25" customHeight="1" thickBot="1">
      <c r="A97" s="16"/>
      <c r="B97" s="16"/>
      <c r="C97" s="61"/>
      <c r="D97" s="61"/>
      <c r="E97" s="61"/>
      <c r="F97" s="61"/>
      <c r="G97" s="61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6"/>
      <c r="T97" s="16"/>
      <c r="U97" s="16"/>
      <c r="V97" s="16"/>
      <c r="W97" s="16"/>
      <c r="X97" s="16"/>
      <c r="Y97" s="16"/>
      <c r="Z97" s="16"/>
      <c r="AA97" s="16"/>
      <c r="AB97" s="63"/>
      <c r="BN97" s="24"/>
      <c r="BO97" s="16"/>
    </row>
    <row r="98" spans="1:67" customFormat="1" ht="17.25" customHeight="1" thickTop="1" thickBot="1">
      <c r="A98" s="16"/>
      <c r="B98" s="16"/>
      <c r="C98" s="61"/>
      <c r="D98" s="61"/>
      <c r="E98" s="61"/>
      <c r="F98" s="61"/>
      <c r="G98" s="61"/>
      <c r="H98" s="436" t="s">
        <v>153</v>
      </c>
      <c r="I98" s="437"/>
      <c r="J98" s="437"/>
      <c r="K98" s="437"/>
      <c r="L98" s="437"/>
      <c r="M98" s="437"/>
      <c r="N98" s="438"/>
      <c r="O98" s="439">
        <f>O75-O85+O80+O89</f>
        <v>28.819379568060796</v>
      </c>
      <c r="P98" s="329"/>
      <c r="Q98" s="329"/>
      <c r="R98" s="329"/>
      <c r="S98" s="16" t="s">
        <v>54</v>
      </c>
      <c r="T98" s="16"/>
      <c r="U98" s="327" t="str" cm="1">
        <f t="array" ref="U98">angleDecimal2Txt(O98)</f>
        <v>+28°49.16 (+28.8193) [+28°49'09.76]</v>
      </c>
      <c r="V98" s="327"/>
      <c r="W98" s="327"/>
      <c r="X98" s="327"/>
      <c r="Y98" s="327"/>
      <c r="Z98" s="327"/>
      <c r="AA98" s="16"/>
      <c r="AB98" s="63"/>
      <c r="BN98" s="24"/>
      <c r="BO98" s="16"/>
    </row>
    <row r="99" spans="1:67" customFormat="1" ht="17.25" customHeight="1" thickTop="1">
      <c r="A99" s="16"/>
      <c r="B99" s="16"/>
      <c r="C99" s="61"/>
      <c r="D99" s="61"/>
      <c r="E99" s="61"/>
      <c r="F99" s="61"/>
      <c r="G99" s="61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63"/>
      <c r="BN99" s="24"/>
      <c r="BO99" s="16"/>
    </row>
    <row r="100" spans="1:67" customFormat="1" ht="17.25" customHeight="1">
      <c r="A100" s="16"/>
      <c r="B100" s="16"/>
      <c r="C100" s="61"/>
      <c r="D100" s="61"/>
      <c r="E100" s="61"/>
      <c r="F100" s="440" t="s">
        <v>63</v>
      </c>
      <c r="G100" s="440"/>
      <c r="H100" s="440"/>
      <c r="I100" s="440"/>
      <c r="J100" s="329" t="str">
        <f>IF(G69=AD69,O106,"---")</f>
        <v>---</v>
      </c>
      <c r="K100" s="329"/>
      <c r="L100" s="329"/>
      <c r="M100" s="16"/>
      <c r="N100" s="16"/>
      <c r="O100" s="16"/>
      <c r="P100" s="16"/>
      <c r="Q100" s="16"/>
      <c r="R100" s="38" t="s">
        <v>84</v>
      </c>
      <c r="S100" s="16" t="s">
        <v>33</v>
      </c>
      <c r="T100" s="16"/>
      <c r="U100" s="16"/>
      <c r="V100" s="16"/>
      <c r="W100" s="16"/>
      <c r="X100" s="16"/>
      <c r="Y100" s="16"/>
      <c r="Z100" s="16"/>
      <c r="AA100" s="16"/>
      <c r="AB100" s="63"/>
      <c r="BN100" s="24"/>
      <c r="BO100" s="16"/>
    </row>
    <row r="101" spans="1:67" customFormat="1" ht="17.25" customHeight="1">
      <c r="A101" s="16"/>
      <c r="B101" s="16"/>
      <c r="C101" s="61"/>
      <c r="D101" s="61"/>
      <c r="E101" s="61"/>
      <c r="F101" s="61"/>
      <c r="G101" s="61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39" t="s">
        <v>80</v>
      </c>
      <c r="S101" s="16" t="s">
        <v>82</v>
      </c>
      <c r="T101" s="16"/>
      <c r="U101" s="16"/>
      <c r="V101" s="16"/>
      <c r="W101" s="16"/>
      <c r="X101" s="16"/>
      <c r="Y101" s="16"/>
      <c r="Z101" s="16"/>
      <c r="AA101" s="16"/>
      <c r="AB101" s="63"/>
      <c r="BN101" s="24"/>
      <c r="BO101" s="16"/>
    </row>
    <row r="102" spans="1:67" customFormat="1" ht="17.25" customHeight="1">
      <c r="A102" s="16"/>
      <c r="B102" s="16"/>
      <c r="C102" s="61"/>
      <c r="D102" s="61"/>
      <c r="E102" s="61"/>
      <c r="F102" s="61"/>
      <c r="G102" s="61"/>
      <c r="H102" s="16" t="s">
        <v>72</v>
      </c>
      <c r="I102" s="40" t="s">
        <v>74</v>
      </c>
      <c r="J102" s="16" t="s">
        <v>60</v>
      </c>
      <c r="K102" s="40" t="s">
        <v>77</v>
      </c>
      <c r="L102" s="16" t="s">
        <v>59</v>
      </c>
      <c r="M102" s="16"/>
      <c r="N102" s="40" t="s">
        <v>78</v>
      </c>
      <c r="O102" s="16"/>
      <c r="P102" s="16"/>
      <c r="Q102" s="40" t="s">
        <v>79</v>
      </c>
      <c r="R102" s="41" t="s">
        <v>81</v>
      </c>
      <c r="S102" s="16" t="s">
        <v>83</v>
      </c>
      <c r="T102" s="16"/>
      <c r="U102" s="16"/>
      <c r="AB102" s="63"/>
      <c r="BN102" s="24"/>
      <c r="BO102" s="16"/>
    </row>
    <row r="103" spans="1:67" customFormat="1" ht="17.25" customHeight="1" thickBot="1">
      <c r="A103" s="16"/>
      <c r="B103" s="16"/>
      <c r="C103" s="61"/>
      <c r="D103" s="61"/>
      <c r="E103" s="61"/>
      <c r="F103" s="61"/>
      <c r="G103" s="61"/>
      <c r="H103" s="16"/>
      <c r="I103" s="40"/>
      <c r="J103" s="42">
        <f>O71</f>
        <v>28.916666666666668</v>
      </c>
      <c r="K103" s="40" t="s">
        <v>77</v>
      </c>
      <c r="L103" s="43">
        <f>O72</f>
        <v>0</v>
      </c>
      <c r="M103" s="16"/>
      <c r="N103" s="931" t="s">
        <v>157</v>
      </c>
      <c r="O103" s="931"/>
      <c r="P103" s="931"/>
      <c r="Q103" s="40" t="s">
        <v>79</v>
      </c>
      <c r="R103" s="44">
        <v>0</v>
      </c>
      <c r="S103" s="16"/>
      <c r="T103" s="16"/>
      <c r="U103" s="16"/>
      <c r="AB103" s="63"/>
      <c r="BN103" s="24"/>
      <c r="BO103" s="16"/>
    </row>
    <row r="104" spans="1:67" customFormat="1" ht="17.25" customHeight="1" thickTop="1" thickBot="1">
      <c r="A104" s="16"/>
      <c r="B104" s="16"/>
      <c r="C104" s="61"/>
      <c r="D104" s="61"/>
      <c r="E104" s="61"/>
      <c r="F104" s="61"/>
      <c r="G104" s="61"/>
      <c r="H104" s="16"/>
      <c r="I104" s="40"/>
      <c r="K104" s="40"/>
      <c r="L104" s="78" cm="1">
        <f t="array" ref="L104">angleConvert2Decimal(L103)</f>
        <v>0</v>
      </c>
      <c r="N104" s="932" cm="1">
        <f t="array" ref="N104">angleConvert2Decimal(N103)</f>
        <v>0.17166666666666669</v>
      </c>
      <c r="O104" s="932"/>
      <c r="P104" s="932"/>
      <c r="Q104" s="11"/>
      <c r="R104" s="78" cm="1">
        <f t="array" ref="R104">angleConvert2Decimal(R103)</f>
        <v>0</v>
      </c>
      <c r="T104" s="7" t="s">
        <v>111</v>
      </c>
      <c r="U104" s="7"/>
      <c r="V104" s="7">
        <f>R104+N104</f>
        <v>0.17166666666666669</v>
      </c>
      <c r="W104" s="450" t="str" cm="1">
        <f t="array" ref="W104">angleDecimal2Txt(V104)</f>
        <v>+00°10.30 (+00.1716) [+00°10'18.00]</v>
      </c>
      <c r="X104" s="451"/>
      <c r="Y104" s="451"/>
      <c r="Z104" s="451"/>
      <c r="AA104" s="337"/>
      <c r="AB104" s="63"/>
      <c r="BN104" s="24"/>
      <c r="BO104" s="16"/>
    </row>
    <row r="105" spans="1:67" customFormat="1" ht="17.25" customHeight="1" thickTop="1" thickBot="1">
      <c r="A105" s="16"/>
      <c r="B105" s="16"/>
      <c r="C105" s="61"/>
      <c r="D105" s="61"/>
      <c r="E105" s="61"/>
      <c r="F105" s="61"/>
      <c r="G105" s="61"/>
      <c r="H105" s="16"/>
      <c r="I105" s="40"/>
      <c r="J105" s="16"/>
      <c r="K105" s="40"/>
      <c r="L105" s="16"/>
      <c r="M105" s="16"/>
      <c r="N105" s="40"/>
      <c r="O105" s="16"/>
      <c r="P105" s="16"/>
      <c r="Q105" s="40"/>
      <c r="R105" s="45"/>
      <c r="S105" s="16"/>
      <c r="T105" s="16"/>
      <c r="U105" s="16"/>
      <c r="V105" s="16"/>
      <c r="W105" s="16"/>
      <c r="X105" s="16"/>
      <c r="Y105" s="16"/>
      <c r="Z105" s="16"/>
      <c r="AA105" s="16"/>
      <c r="AB105" s="63"/>
      <c r="BN105" s="24"/>
      <c r="BO105" s="16"/>
    </row>
    <row r="106" spans="1:67" customFormat="1" ht="17.25" customHeight="1" thickTop="1" thickBot="1">
      <c r="A106" s="16"/>
      <c r="B106" s="16"/>
      <c r="C106" s="61"/>
      <c r="D106" s="61"/>
      <c r="E106" s="61"/>
      <c r="F106" s="61"/>
      <c r="G106" s="61"/>
      <c r="H106" s="436" t="s">
        <v>156</v>
      </c>
      <c r="I106" s="437"/>
      <c r="J106" s="437"/>
      <c r="K106" s="437"/>
      <c r="L106" s="437"/>
      <c r="M106" s="437"/>
      <c r="N106" s="438"/>
      <c r="O106" s="439">
        <f>J103-L104+N104+R104</f>
        <v>29.088333333333335</v>
      </c>
      <c r="P106" s="329"/>
      <c r="Q106" s="329"/>
      <c r="R106" s="329"/>
      <c r="S106" s="16" t="s">
        <v>54</v>
      </c>
      <c r="T106" s="16"/>
      <c r="U106" s="327" t="str" cm="1">
        <f t="array" ref="U106">angleDecimal2Txt(O106)</f>
        <v>+29°05.29 (+29.0883) [+29°05'18.00]</v>
      </c>
      <c r="V106" s="327"/>
      <c r="W106" s="327"/>
      <c r="X106" s="327"/>
      <c r="Y106" s="327"/>
      <c r="Z106" s="327"/>
      <c r="AA106" s="16"/>
      <c r="AB106" s="63"/>
      <c r="BN106" s="24"/>
      <c r="BO106" s="16"/>
    </row>
    <row r="107" spans="1:67" customFormat="1" ht="17.25" customHeight="1" thickTop="1" thickBot="1">
      <c r="A107" s="16"/>
      <c r="B107" s="16"/>
      <c r="C107" s="61"/>
      <c r="D107" s="46"/>
      <c r="E107" s="61"/>
      <c r="F107" s="61"/>
      <c r="G107" s="61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63"/>
      <c r="BN107" s="24"/>
      <c r="BO107" s="16"/>
    </row>
    <row r="108" spans="1:67" s="16" customFormat="1" ht="17.25" customHeight="1" thickBot="1">
      <c r="B108" s="25" t="s">
        <v>44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91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Z108"/>
      <c r="BA108"/>
      <c r="BB108"/>
      <c r="BC108"/>
      <c r="BD108"/>
      <c r="BE108"/>
      <c r="BF108"/>
      <c r="BG108"/>
    </row>
    <row r="109" spans="1:67" s="16" customFormat="1" ht="17.25" customHeight="1">
      <c r="D109" s="893" t="s">
        <v>165</v>
      </c>
      <c r="E109" s="888"/>
      <c r="F109" s="888"/>
      <c r="G109" s="888"/>
      <c r="H109" s="883">
        <f>90-P110</f>
        <v>0.61499999999999488</v>
      </c>
      <c r="I109" s="883"/>
      <c r="J109" s="883"/>
      <c r="K109" s="883"/>
      <c r="L109" s="883"/>
      <c r="N109" s="879" t="s">
        <v>166</v>
      </c>
      <c r="O109" s="879"/>
      <c r="P109" s="879"/>
      <c r="Q109" s="879"/>
      <c r="R109" s="879"/>
      <c r="S109" s="879"/>
      <c r="T109" s="879"/>
      <c r="U109" s="879"/>
      <c r="V109" s="879"/>
      <c r="W109" s="879"/>
      <c r="AA109"/>
      <c r="AB109" s="95"/>
      <c r="AC109"/>
      <c r="AD109"/>
      <c r="AE109"/>
      <c r="AF109"/>
      <c r="AL109" s="83"/>
      <c r="AZ109"/>
      <c r="BA109"/>
      <c r="BB109"/>
      <c r="BC109"/>
      <c r="BD109"/>
      <c r="BE109"/>
      <c r="BF109"/>
      <c r="BG109"/>
    </row>
    <row r="110" spans="1:67" s="16" customFormat="1" ht="17.25" customHeight="1" thickBot="1">
      <c r="C110" s="96"/>
      <c r="D110" s="889"/>
      <c r="E110" s="890"/>
      <c r="F110" s="890"/>
      <c r="G110" s="890"/>
      <c r="H110" s="883"/>
      <c r="I110" s="883"/>
      <c r="J110" s="883"/>
      <c r="K110" s="883"/>
      <c r="L110" s="883"/>
      <c r="M110" s="48" t="s">
        <v>125</v>
      </c>
      <c r="N110" s="880" t="s">
        <v>86</v>
      </c>
      <c r="O110" s="880"/>
      <c r="P110" s="880">
        <f>F33</f>
        <v>89.385000000000005</v>
      </c>
      <c r="Q110" s="880"/>
      <c r="R110" s="880"/>
      <c r="S110" s="84" t="s">
        <v>54</v>
      </c>
      <c r="T110" s="880">
        <f>P110*$D$126</f>
        <v>1.5600625518951317</v>
      </c>
      <c r="U110" s="880"/>
      <c r="V110" s="880"/>
      <c r="W110" s="84" t="s">
        <v>64</v>
      </c>
      <c r="AA110"/>
      <c r="AB110" s="95"/>
      <c r="AC110"/>
      <c r="AD110"/>
      <c r="AE110"/>
      <c r="AF110"/>
      <c r="AL110" s="83"/>
      <c r="AZ110"/>
      <c r="BA110"/>
      <c r="BB110"/>
      <c r="BC110"/>
      <c r="BD110"/>
      <c r="BE110"/>
      <c r="BF110"/>
      <c r="BG110"/>
    </row>
    <row r="111" spans="1:67" s="16" customFormat="1" ht="17.25" customHeight="1" thickTop="1" thickBot="1">
      <c r="C111" s="96"/>
      <c r="D111" s="891"/>
      <c r="E111" s="892"/>
      <c r="F111" s="892"/>
      <c r="G111" s="892"/>
      <c r="H111" s="895" t="str" cm="1">
        <f t="array" ref="H111">angleDecimal2Txt(H109)</f>
        <v>+00°36.89 (+00.6149) [+00°36'53.99]</v>
      </c>
      <c r="I111" s="895"/>
      <c r="J111" s="895"/>
      <c r="K111" s="895"/>
      <c r="L111" s="895"/>
      <c r="N111" s="882"/>
      <c r="O111" s="882"/>
      <c r="P111" s="882"/>
      <c r="Q111" s="882"/>
      <c r="R111" s="882"/>
      <c r="S111" s="96"/>
      <c r="T111" s="882"/>
      <c r="U111" s="882"/>
      <c r="V111" s="882"/>
      <c r="W111" s="96"/>
      <c r="AA111"/>
      <c r="AB111" s="95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 thickTop="1">
      <c r="N112" s="894"/>
      <c r="O112" s="882"/>
      <c r="P112" s="882"/>
      <c r="Q112" s="882"/>
      <c r="R112" s="882"/>
      <c r="S112" s="882"/>
      <c r="T112" s="882"/>
      <c r="U112" s="882"/>
      <c r="V112" s="882"/>
      <c r="W112" s="882"/>
      <c r="X112" s="882"/>
      <c r="Y112" s="882"/>
      <c r="Z112" s="882"/>
      <c r="AA112"/>
      <c r="AB112" s="95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>
      <c r="D113" s="893" t="s">
        <v>167</v>
      </c>
      <c r="E113" s="888"/>
      <c r="F113" s="888"/>
      <c r="G113" s="888"/>
      <c r="H113" s="883">
        <f>-H109*COS(T114)</f>
        <v>0.20457604995500583</v>
      </c>
      <c r="I113" s="883"/>
      <c r="J113" s="883"/>
      <c r="K113" s="883"/>
      <c r="L113" s="883"/>
      <c r="N113" s="896" t="s">
        <v>170</v>
      </c>
      <c r="O113" s="879"/>
      <c r="P113" s="879"/>
      <c r="Q113" s="879"/>
      <c r="R113" s="879"/>
      <c r="S113" s="879"/>
      <c r="T113" s="879"/>
      <c r="U113" s="879"/>
      <c r="V113" s="879"/>
      <c r="W113" s="879"/>
      <c r="X113" s="96"/>
      <c r="Y113" s="96"/>
      <c r="Z113" s="96"/>
      <c r="AA113"/>
      <c r="AB113" s="95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Bot="1">
      <c r="C114" s="96"/>
      <c r="D114" s="889"/>
      <c r="E114" s="890"/>
      <c r="F114" s="890"/>
      <c r="G114" s="890"/>
      <c r="H114" s="883"/>
      <c r="I114" s="883"/>
      <c r="J114" s="883"/>
      <c r="K114" s="883"/>
      <c r="L114" s="883"/>
      <c r="M114" s="48" t="s">
        <v>125</v>
      </c>
      <c r="N114" s="880" t="s">
        <v>43</v>
      </c>
      <c r="O114" s="880"/>
      <c r="P114" s="880">
        <f>F64</f>
        <v>250.57066666666674</v>
      </c>
      <c r="Q114" s="880"/>
      <c r="R114" s="880"/>
      <c r="S114" s="84" t="s">
        <v>54</v>
      </c>
      <c r="T114" s="880">
        <f>P114*$D$126</f>
        <v>4.3732831422505392</v>
      </c>
      <c r="U114" s="880"/>
      <c r="V114" s="880"/>
      <c r="W114" s="84" t="s">
        <v>64</v>
      </c>
      <c r="X114" s="96"/>
      <c r="Y114" s="96"/>
      <c r="Z114" s="96"/>
      <c r="AA114"/>
      <c r="AB114" s="95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 thickBot="1">
      <c r="C115" s="96"/>
      <c r="D115" s="891"/>
      <c r="E115" s="892"/>
      <c r="F115" s="892"/>
      <c r="G115" s="892"/>
      <c r="H115" s="881" t="str" cm="1">
        <f t="array" ref="H115">angleDecimal2Txt(H113)</f>
        <v>+00°12.27 (+00.2045) [+00°12'16.47]</v>
      </c>
      <c r="I115" s="881"/>
      <c r="J115" s="881"/>
      <c r="K115" s="881"/>
      <c r="L115" s="881"/>
      <c r="N115" s="96"/>
      <c r="O115" s="96"/>
      <c r="P115" s="96"/>
      <c r="Q115" s="96"/>
      <c r="R115" s="96"/>
      <c r="S115" s="96"/>
      <c r="T115" s="96"/>
      <c r="U115" s="96"/>
      <c r="V115" s="96"/>
      <c r="W115" s="96"/>
      <c r="X115" s="96"/>
      <c r="Y115" s="8" t="s">
        <v>547</v>
      </c>
      <c r="Z115" s="96"/>
      <c r="AA115"/>
      <c r="AB115" s="9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 thickTop="1">
      <c r="C116" s="96"/>
      <c r="AA116"/>
      <c r="AB116" s="95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>
      <c r="D117" s="887" t="s">
        <v>168</v>
      </c>
      <c r="E117" s="888"/>
      <c r="F117" s="888"/>
      <c r="G117" s="888"/>
      <c r="H117" s="883">
        <f>F68+H113</f>
        <v>29.023955618015801</v>
      </c>
      <c r="I117" s="883"/>
      <c r="J117" s="883"/>
      <c r="K117" s="883"/>
      <c r="L117" s="883"/>
      <c r="N117" s="879" t="s">
        <v>172</v>
      </c>
      <c r="O117" s="879"/>
      <c r="P117" s="879"/>
      <c r="Q117" s="879"/>
      <c r="R117" s="879"/>
      <c r="S117" s="879"/>
      <c r="T117" s="879"/>
      <c r="U117" s="879"/>
      <c r="V117" s="879"/>
      <c r="W117" s="879"/>
      <c r="X117" s="96"/>
      <c r="Y117" s="96"/>
      <c r="AA117"/>
      <c r="AB117" s="95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Bot="1">
      <c r="C118" s="96"/>
      <c r="D118" s="889"/>
      <c r="E118" s="890"/>
      <c r="F118" s="890"/>
      <c r="G118" s="890"/>
      <c r="H118" s="883"/>
      <c r="I118" s="883"/>
      <c r="J118" s="883"/>
      <c r="K118" s="883"/>
      <c r="L118" s="883"/>
      <c r="M118" s="48" t="s">
        <v>125</v>
      </c>
      <c r="N118" s="880" t="s">
        <v>109</v>
      </c>
      <c r="O118" s="880"/>
      <c r="P118" s="880">
        <f>F68</f>
        <v>28.819379568060796</v>
      </c>
      <c r="Q118" s="880"/>
      <c r="R118" s="880"/>
      <c r="S118" s="84" t="s">
        <v>54</v>
      </c>
      <c r="T118" s="880">
        <f>P118*$D$126</f>
        <v>0.5029930618446421</v>
      </c>
      <c r="U118" s="880"/>
      <c r="V118" s="880"/>
      <c r="W118" s="84" t="s">
        <v>64</v>
      </c>
      <c r="X118" s="882"/>
      <c r="Y118" s="882"/>
      <c r="AA118"/>
      <c r="AB118" s="95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 thickBot="1">
      <c r="C119" s="96"/>
      <c r="D119" s="891"/>
      <c r="E119" s="892"/>
      <c r="F119" s="892"/>
      <c r="G119" s="892"/>
      <c r="H119" s="895" t="str" cm="1">
        <f t="array" ref="H119">angleDecimal2Txt(H117)</f>
        <v>+29°01.43 (+29.0239) [+29°01'26.24]</v>
      </c>
      <c r="I119" s="895"/>
      <c r="J119" s="895"/>
      <c r="K119" s="895"/>
      <c r="L119" s="895"/>
      <c r="N119" s="96"/>
      <c r="O119" s="96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AA119"/>
      <c r="AB119" s="95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s="16" customFormat="1" ht="17.25" customHeight="1" thickTop="1">
      <c r="C120" s="96"/>
      <c r="S120" s="96"/>
      <c r="T120" s="96"/>
      <c r="U120" s="96"/>
      <c r="V120" s="96"/>
      <c r="W120" s="96"/>
      <c r="X120" s="96"/>
      <c r="AA120"/>
      <c r="AB120" s="95"/>
      <c r="AC120" t="s">
        <v>213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s="16" customFormat="1" ht="17.25" customHeight="1">
      <c r="D121" s="887" t="s">
        <v>169</v>
      </c>
      <c r="E121" s="888"/>
      <c r="F121" s="888"/>
      <c r="G121" s="888"/>
      <c r="H121" s="704">
        <f>AF125</f>
        <v>0.66327315444081658</v>
      </c>
      <c r="I121" s="704"/>
      <c r="J121" s="704"/>
      <c r="K121" s="704"/>
      <c r="L121" s="704"/>
      <c r="N121" s="896" t="s">
        <v>171</v>
      </c>
      <c r="O121" s="879"/>
      <c r="P121" s="879"/>
      <c r="Q121" s="879"/>
      <c r="R121" s="879"/>
      <c r="S121" s="879"/>
      <c r="T121" s="879"/>
      <c r="U121" s="879"/>
      <c r="V121" s="879"/>
      <c r="W121" s="879"/>
      <c r="X121" s="96"/>
      <c r="AA121"/>
      <c r="AB121" s="95"/>
      <c r="AC121" s="40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s="16" customFormat="1" ht="17.25" customHeight="1" thickBot="1">
      <c r="D122" s="889"/>
      <c r="E122" s="890"/>
      <c r="F122" s="890"/>
      <c r="G122" s="890"/>
      <c r="H122" s="704"/>
      <c r="I122" s="704"/>
      <c r="J122" s="704"/>
      <c r="K122" s="704"/>
      <c r="L122" s="704"/>
      <c r="M122" s="48" t="s">
        <v>125</v>
      </c>
      <c r="N122" s="880" t="s">
        <v>43</v>
      </c>
      <c r="O122" s="880"/>
      <c r="P122" s="880">
        <f>F64</f>
        <v>250.57066666666674</v>
      </c>
      <c r="Q122" s="880"/>
      <c r="R122" s="880"/>
      <c r="S122" s="84" t="s">
        <v>54</v>
      </c>
      <c r="T122" s="880">
        <f>P122*$D$126</f>
        <v>4.3732831422505392</v>
      </c>
      <c r="U122" s="880"/>
      <c r="V122" s="880"/>
      <c r="W122" s="84" t="s">
        <v>64</v>
      </c>
      <c r="X122" s="96"/>
      <c r="AA122"/>
      <c r="AB122" s="95"/>
      <c r="AC122" s="317" t="s">
        <v>543</v>
      </c>
      <c r="AD122">
        <f>-1*H109</f>
        <v>-0.61499999999999488</v>
      </c>
      <c r="AE122" t="s">
        <v>54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s="16" customFormat="1" ht="17.25" customHeight="1" thickTop="1" thickBot="1">
      <c r="D123" s="891"/>
      <c r="E123" s="892"/>
      <c r="F123" s="892"/>
      <c r="G123" s="892"/>
      <c r="H123" s="881" t="str" cm="1">
        <f t="array" ref="H123">angleDecimal2Txt(H121)</f>
        <v>+00°39.79 (+00.6632) [+00°39'47.78]</v>
      </c>
      <c r="I123" s="881"/>
      <c r="J123" s="881"/>
      <c r="K123" s="881"/>
      <c r="L123" s="881"/>
      <c r="N123" s="880" t="s">
        <v>41</v>
      </c>
      <c r="O123" s="880"/>
      <c r="P123" s="880">
        <f>H117</f>
        <v>29.023955618015801</v>
      </c>
      <c r="Q123" s="880"/>
      <c r="R123" s="880"/>
      <c r="S123" s="84" t="s">
        <v>54</v>
      </c>
      <c r="T123" s="880">
        <f>P123*$D$126</f>
        <v>0.50656358748708141</v>
      </c>
      <c r="U123" s="880"/>
      <c r="V123" s="880"/>
      <c r="W123" s="84" t="s">
        <v>64</v>
      </c>
      <c r="AA123"/>
      <c r="AB123" s="95"/>
      <c r="AC123" t="s">
        <v>544</v>
      </c>
      <c r="AD123">
        <f>SIN(T122)</f>
        <v>-0.94305248005101083</v>
      </c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s="16" customFormat="1" ht="17.25" customHeight="1" thickTop="1" thickBot="1">
      <c r="G124" s="96"/>
      <c r="H124" s="96"/>
      <c r="I124" s="96"/>
      <c r="J124" s="96"/>
      <c r="K124" s="96"/>
      <c r="L124" s="96"/>
      <c r="M124" s="96"/>
      <c r="N124" s="96"/>
      <c r="O124" s="96"/>
      <c r="P124" s="96"/>
      <c r="Q124" s="96"/>
      <c r="R124" s="96"/>
      <c r="S124" s="96"/>
      <c r="T124" s="96"/>
      <c r="U124" s="96"/>
      <c r="V124" s="96"/>
      <c r="W124" s="96"/>
      <c r="X124" s="96"/>
      <c r="Y124" s="96"/>
      <c r="Z124" s="96"/>
      <c r="AA124"/>
      <c r="AB124" s="95"/>
      <c r="AC124" t="s">
        <v>545</v>
      </c>
      <c r="AD124">
        <f>COS(T123)</f>
        <v>0.87441692965898243</v>
      </c>
      <c r="AE124"/>
      <c r="AF124"/>
      <c r="AL124" s="83"/>
      <c r="AZ124"/>
      <c r="BA124"/>
      <c r="BB124"/>
      <c r="BC124"/>
      <c r="BD124"/>
      <c r="BE124"/>
      <c r="BF124"/>
      <c r="BG124"/>
    </row>
    <row r="125" spans="1:59" s="16" customFormat="1" ht="17.25" customHeight="1">
      <c r="A125" s="884" t="s">
        <v>110</v>
      </c>
      <c r="B125" s="885"/>
      <c r="C125" s="885"/>
      <c r="D125" s="886"/>
      <c r="E125" s="96"/>
      <c r="F125" s="61"/>
      <c r="G125" s="96"/>
      <c r="H125" s="96"/>
      <c r="I125" s="96"/>
      <c r="J125" s="96"/>
      <c r="K125" s="96"/>
      <c r="L125" s="96"/>
      <c r="M125" s="882"/>
      <c r="N125" s="882"/>
      <c r="O125" s="96"/>
      <c r="P125" s="882"/>
      <c r="Q125" s="882"/>
      <c r="R125" s="882"/>
      <c r="S125" s="882"/>
      <c r="T125" s="882"/>
      <c r="U125" s="882"/>
      <c r="V125" s="96"/>
      <c r="W125" s="882"/>
      <c r="X125" s="882"/>
      <c r="Y125" s="882"/>
      <c r="Z125" s="96"/>
      <c r="AA125"/>
      <c r="AB125" s="95"/>
      <c r="AC125" s="317" t="s">
        <v>546</v>
      </c>
      <c r="AD125">
        <f>AD122*AD123/AD124</f>
        <v>0.66327315444081658</v>
      </c>
      <c r="AE125" t="s">
        <v>54</v>
      </c>
      <c r="AF125">
        <f>IF(AD125&lt;0,360+AD125,IF(AD125&gt;360,AD125-360,AD125))</f>
        <v>0.66327315444081658</v>
      </c>
      <c r="AG125" s="16" t="s">
        <v>54</v>
      </c>
      <c r="AL125" s="83"/>
      <c r="AZ125"/>
      <c r="BA125"/>
      <c r="BB125"/>
      <c r="BC125"/>
      <c r="BD125"/>
      <c r="BE125"/>
      <c r="BF125"/>
      <c r="BG125"/>
    </row>
    <row r="126" spans="1:59" s="16" customFormat="1" ht="17.25" customHeight="1">
      <c r="A126" s="85" t="s">
        <v>53</v>
      </c>
      <c r="B126" s="86" t="s">
        <v>93</v>
      </c>
      <c r="C126" s="87" t="s">
        <v>94</v>
      </c>
      <c r="D126" s="81">
        <f>PI()/180</f>
        <v>1.7453292519943295E-2</v>
      </c>
      <c r="E126" s="61"/>
      <c r="F126" s="61"/>
      <c r="G126" s="96"/>
      <c r="H126" s="882"/>
      <c r="I126" s="882"/>
      <c r="J126" s="96"/>
      <c r="K126" s="882"/>
      <c r="L126" s="882"/>
      <c r="M126" s="96"/>
      <c r="N126" s="96"/>
      <c r="O126" s="96"/>
      <c r="P126" s="96"/>
      <c r="Q126" s="96"/>
      <c r="R126" s="96"/>
      <c r="S126" s="96"/>
      <c r="T126" s="96"/>
      <c r="U126" s="96"/>
      <c r="V126" s="96"/>
      <c r="W126" s="96"/>
      <c r="X126" s="96"/>
      <c r="Y126" s="96"/>
      <c r="Z126" s="96"/>
      <c r="AA126"/>
      <c r="AB126" s="95"/>
      <c r="AD126"/>
      <c r="AE126"/>
      <c r="AF126"/>
      <c r="AL126" s="83"/>
      <c r="AZ126"/>
      <c r="BA126"/>
      <c r="BB126"/>
      <c r="BC126"/>
      <c r="BD126"/>
      <c r="BE126"/>
      <c r="BF126"/>
      <c r="BG126"/>
    </row>
    <row r="127" spans="1:59" s="16" customFormat="1" ht="17.25" customHeight="1" thickBot="1">
      <c r="A127" s="88" t="s">
        <v>95</v>
      </c>
      <c r="B127" s="89" t="s">
        <v>93</v>
      </c>
      <c r="C127" s="90" t="s">
        <v>53</v>
      </c>
      <c r="D127" s="82">
        <f>180/PI()</f>
        <v>57.295779513082323</v>
      </c>
      <c r="H127" s="882"/>
      <c r="I127" s="882"/>
      <c r="J127" s="96"/>
      <c r="K127" s="882"/>
      <c r="L127" s="882"/>
      <c r="M127" s="96"/>
      <c r="N127" s="882"/>
      <c r="O127" s="882"/>
      <c r="P127" s="882"/>
      <c r="Q127" s="882"/>
      <c r="R127" s="882"/>
      <c r="S127" s="882"/>
      <c r="T127" s="882"/>
      <c r="U127" s="96"/>
      <c r="V127" s="96"/>
      <c r="W127" s="96"/>
      <c r="X127" s="96"/>
      <c r="Y127" s="96"/>
      <c r="Z127" s="96"/>
      <c r="AA127"/>
      <c r="AB127" s="95"/>
      <c r="AC127"/>
      <c r="AD127"/>
      <c r="AE127"/>
      <c r="AF127"/>
      <c r="AL127" s="83"/>
      <c r="AZ127"/>
      <c r="BA127"/>
      <c r="BB127"/>
      <c r="BC127"/>
      <c r="BD127"/>
      <c r="BE127"/>
      <c r="BF127"/>
      <c r="BG127"/>
    </row>
    <row r="128" spans="1:59" s="16" customFormat="1" ht="17.25" customHeight="1">
      <c r="C128" s="61"/>
      <c r="H128" s="882"/>
      <c r="I128" s="882"/>
      <c r="J128" s="882"/>
      <c r="K128" s="882"/>
      <c r="L128" s="882"/>
      <c r="M128" s="96"/>
      <c r="N128" s="96"/>
      <c r="O128" s="96"/>
      <c r="P128" s="96"/>
      <c r="Q128" s="96"/>
      <c r="R128" s="96"/>
      <c r="S128" s="882"/>
      <c r="T128" s="882"/>
      <c r="U128" s="882"/>
      <c r="V128" s="882"/>
      <c r="W128" s="882"/>
      <c r="X128" s="882"/>
      <c r="Y128" s="96"/>
      <c r="Z128" s="96"/>
      <c r="AA128"/>
      <c r="AB128" s="95"/>
      <c r="AC128"/>
      <c r="AD128"/>
      <c r="AE128"/>
      <c r="AF128"/>
      <c r="AL128" s="83"/>
    </row>
    <row r="129" spans="2:65" s="16" customFormat="1" ht="17.25" customHeight="1" thickBot="1">
      <c r="C129" s="61"/>
      <c r="H129" s="96"/>
      <c r="I129" s="96"/>
      <c r="J129" s="96"/>
      <c r="K129" s="96"/>
      <c r="L129" s="96"/>
      <c r="M129" s="96"/>
      <c r="N129" s="96"/>
      <c r="O129" s="96"/>
      <c r="P129" s="96"/>
      <c r="Q129" s="96"/>
      <c r="R129" s="96"/>
      <c r="S129" s="96"/>
      <c r="T129" s="96"/>
      <c r="U129" s="96"/>
      <c r="V129" s="96"/>
      <c r="W129" s="96"/>
      <c r="X129" s="96"/>
      <c r="Y129" s="96"/>
      <c r="Z129" s="96"/>
      <c r="AA129"/>
      <c r="AB129" s="95"/>
      <c r="AC129"/>
      <c r="AD129"/>
      <c r="AE129"/>
      <c r="AF129"/>
      <c r="AL129" s="83"/>
    </row>
    <row r="130" spans="2:65" s="318" customFormat="1" ht="15.75" thickBot="1">
      <c r="B130" s="122" t="s">
        <v>500</v>
      </c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4"/>
    </row>
    <row r="131" spans="2:65" s="936" customFormat="1" ht="15">
      <c r="K131" s="939"/>
      <c r="L131" s="939"/>
    </row>
    <row r="132" spans="2:65" s="936" customFormat="1" ht="15">
      <c r="B132" s="960" t="s">
        <v>1</v>
      </c>
      <c r="C132" s="960"/>
      <c r="D132" s="960" t="str">
        <f>E7</f>
        <v>20/10/2029</v>
      </c>
      <c r="E132" s="960"/>
      <c r="F132" s="960"/>
      <c r="G132" s="960"/>
      <c r="H132" s="994" t="s">
        <v>2</v>
      </c>
      <c r="I132" s="960" t="str">
        <f>G7</f>
        <v>18:48:30.00(18.8083)</v>
      </c>
      <c r="J132" s="960"/>
      <c r="K132" s="960"/>
      <c r="L132" s="960"/>
    </row>
    <row r="133" spans="2:65" s="936" customFormat="1" ht="15">
      <c r="B133" s="995" t="s">
        <v>30</v>
      </c>
      <c r="C133" s="995"/>
      <c r="D133" s="1004" t="s">
        <v>539</v>
      </c>
      <c r="E133" s="1004"/>
      <c r="F133" s="1004"/>
      <c r="G133" s="1004"/>
      <c r="H133" s="946"/>
      <c r="I133" s="946"/>
      <c r="J133" s="946"/>
      <c r="K133" s="946"/>
      <c r="L133" s="946"/>
      <c r="AA133" s="937"/>
    </row>
    <row r="134" spans="2:65" s="936" customFormat="1" ht="15">
      <c r="B134" s="943"/>
      <c r="C134" s="943"/>
      <c r="D134" s="944"/>
      <c r="E134" s="943"/>
      <c r="AA134" s="937"/>
    </row>
    <row r="135" spans="2:65" s="939" customFormat="1" ht="17.25" customHeight="1" thickBot="1">
      <c r="B135" s="953" t="s">
        <v>501</v>
      </c>
      <c r="C135" s="953"/>
      <c r="D135" s="953"/>
      <c r="E135" s="953"/>
      <c r="F135" s="952"/>
      <c r="G135" s="952"/>
      <c r="H135" s="951"/>
      <c r="I135" s="951"/>
      <c r="J135" s="951"/>
      <c r="K135" s="951"/>
      <c r="L135" s="951"/>
      <c r="M135" s="951"/>
      <c r="N135" s="951"/>
      <c r="O135" s="951"/>
      <c r="P135" s="951"/>
      <c r="Q135" s="951"/>
      <c r="AB135" s="938"/>
      <c r="AC135" s="936"/>
      <c r="AD135" s="936"/>
      <c r="AE135" s="936"/>
      <c r="AF135" s="936"/>
      <c r="AG135" s="936"/>
      <c r="AH135" s="936"/>
      <c r="AI135" s="936"/>
      <c r="AJ135" s="936"/>
      <c r="AK135" s="936"/>
      <c r="AL135" s="936"/>
      <c r="AM135" s="936"/>
      <c r="AN135" s="936"/>
      <c r="AO135" s="936"/>
      <c r="AP135" s="936"/>
      <c r="AQ135" s="936"/>
      <c r="AR135" s="936"/>
      <c r="AS135" s="936"/>
      <c r="AT135" s="936"/>
      <c r="AU135" s="936"/>
      <c r="AV135" s="936"/>
      <c r="AW135" s="936"/>
      <c r="AX135" s="936"/>
      <c r="AY135" s="936"/>
      <c r="AZ135" s="936"/>
      <c r="BA135" s="936"/>
      <c r="BB135" s="936"/>
      <c r="BC135" s="936"/>
      <c r="BD135" s="936"/>
      <c r="BE135" s="936"/>
      <c r="BF135" s="936"/>
      <c r="BG135" s="936"/>
      <c r="BH135" s="936"/>
      <c r="BI135" s="936"/>
      <c r="BJ135" s="936"/>
      <c r="BK135" s="936"/>
      <c r="BL135" s="936"/>
      <c r="BM135" s="936"/>
    </row>
    <row r="136" spans="2:65" s="939" customFormat="1" ht="17.25" customHeight="1" thickTop="1">
      <c r="C136" s="958" t="s">
        <v>502</v>
      </c>
      <c r="D136" s="958"/>
      <c r="E136" s="958" t="str" cm="1">
        <f t="array" ref="E136">angleDecimal2Txt(angleConvert2Decimal(M17))</f>
        <v>+28°55.00 (+28.9166) [+28°55'00.00]</v>
      </c>
      <c r="F136" s="958"/>
      <c r="G136" s="958"/>
      <c r="H136" s="958"/>
      <c r="I136" s="958"/>
      <c r="AB136" s="938"/>
      <c r="AC136" s="936"/>
      <c r="AD136" s="936"/>
      <c r="AE136" s="936"/>
      <c r="AF136" s="936"/>
      <c r="AG136" s="936"/>
      <c r="AH136" s="936"/>
      <c r="AI136" s="936"/>
      <c r="AJ136" s="936"/>
      <c r="AK136" s="936"/>
      <c r="AL136" s="936"/>
      <c r="AM136" s="936"/>
      <c r="AN136" s="936"/>
      <c r="AO136" s="936"/>
      <c r="AP136" s="936"/>
      <c r="AQ136" s="936"/>
      <c r="AR136" s="936"/>
      <c r="AS136" s="936"/>
      <c r="AT136" s="936"/>
      <c r="AU136" s="936"/>
      <c r="AV136" s="936"/>
      <c r="AW136" s="936"/>
      <c r="AX136" s="936"/>
      <c r="AY136" s="936"/>
      <c r="AZ136" s="936"/>
      <c r="BA136" s="936"/>
      <c r="BB136" s="936"/>
      <c r="BC136" s="936"/>
      <c r="BD136" s="936"/>
      <c r="BE136" s="936"/>
      <c r="BF136" s="936"/>
      <c r="BG136" s="936"/>
      <c r="BH136" s="936"/>
      <c r="BI136" s="936"/>
      <c r="BJ136" s="936"/>
      <c r="BK136" s="936"/>
      <c r="BL136" s="936"/>
      <c r="BM136" s="936"/>
    </row>
    <row r="137" spans="2:65" s="939" customFormat="1" ht="17.25" customHeight="1">
      <c r="C137" s="959" t="s">
        <v>503</v>
      </c>
      <c r="D137" s="959"/>
      <c r="E137" s="962" t="str" cm="1">
        <f t="array" ref="E137">angleDecimal2Txt(angleConvert2Decimal(M16))</f>
        <v>+00°00.00 (+00.0000) [+00°00'00.00]</v>
      </c>
      <c r="F137" s="962"/>
      <c r="G137" s="962"/>
      <c r="H137" s="962"/>
      <c r="I137" s="962"/>
      <c r="AB137" s="938"/>
      <c r="AC137" s="936"/>
      <c r="AD137" s="936"/>
      <c r="AE137" s="936"/>
      <c r="AF137" s="936"/>
      <c r="AG137" s="936"/>
      <c r="AH137" s="936"/>
      <c r="AI137" s="936"/>
      <c r="AJ137" s="936"/>
      <c r="AK137" s="936"/>
      <c r="AL137" s="936"/>
      <c r="AM137" s="936"/>
      <c r="AN137" s="936"/>
      <c r="AO137" s="936"/>
      <c r="AP137" s="936"/>
      <c r="AQ137" s="936"/>
      <c r="AR137" s="936"/>
      <c r="AS137" s="936"/>
      <c r="AT137" s="936"/>
      <c r="AU137" s="936"/>
      <c r="AV137" s="936"/>
      <c r="AW137" s="936"/>
      <c r="AX137" s="936"/>
      <c r="AY137" s="936"/>
      <c r="AZ137" s="936"/>
      <c r="BA137" s="936"/>
      <c r="BB137" s="936"/>
      <c r="BC137" s="936"/>
      <c r="BD137" s="936"/>
      <c r="BE137" s="936"/>
      <c r="BF137" s="936"/>
      <c r="BG137" s="936"/>
      <c r="BH137" s="936"/>
      <c r="BI137" s="936"/>
      <c r="BJ137" s="936"/>
      <c r="BK137" s="936"/>
      <c r="BL137" s="936"/>
      <c r="BM137" s="936"/>
    </row>
    <row r="138" spans="2:65" s="939" customFormat="1" ht="17.25" customHeight="1">
      <c r="C138" s="960" t="s">
        <v>504</v>
      </c>
      <c r="D138" s="960"/>
      <c r="E138" s="963" t="str">
        <f>CONCATENATE(M15, " m")</f>
        <v>5.28 m</v>
      </c>
      <c r="F138" s="963"/>
      <c r="G138" s="963"/>
      <c r="H138" s="963"/>
      <c r="I138" s="963"/>
      <c r="AB138" s="938"/>
      <c r="AC138" s="936"/>
      <c r="AD138" s="936"/>
      <c r="AE138" s="936"/>
      <c r="AF138" s="936"/>
      <c r="AG138" s="936"/>
      <c r="AH138" s="936"/>
      <c r="AI138" s="936"/>
      <c r="AJ138" s="936"/>
      <c r="AK138" s="936"/>
      <c r="AL138" s="936"/>
      <c r="AM138" s="936"/>
      <c r="AN138" s="936"/>
      <c r="AO138" s="936"/>
      <c r="AP138" s="936"/>
      <c r="AQ138" s="936"/>
      <c r="AR138" s="936"/>
      <c r="AS138" s="936"/>
      <c r="AT138" s="936"/>
      <c r="AU138" s="936"/>
      <c r="AV138" s="936"/>
      <c r="AW138" s="936"/>
      <c r="AX138" s="936"/>
      <c r="AY138" s="936"/>
      <c r="AZ138" s="936"/>
      <c r="BA138" s="936"/>
      <c r="BB138" s="936"/>
      <c r="BC138" s="936"/>
      <c r="BD138" s="936"/>
      <c r="BE138" s="936"/>
      <c r="BF138" s="936"/>
      <c r="BG138" s="936"/>
      <c r="BH138" s="936"/>
      <c r="BI138" s="936"/>
      <c r="BJ138" s="936"/>
      <c r="BK138" s="936"/>
      <c r="BL138" s="936"/>
      <c r="BM138" s="936"/>
    </row>
    <row r="139" spans="2:65" s="939" customFormat="1" ht="17.25" customHeight="1">
      <c r="E139" s="945" t="str" cm="1">
        <f t="array" ref="E139">angleDecimal2Txt(O75)</f>
        <v>+28°50.96 (+28.8493) [+28°50'57.62]</v>
      </c>
      <c r="F139" s="945"/>
      <c r="G139" s="945"/>
      <c r="H139" s="945"/>
      <c r="I139" s="945"/>
      <c r="J139" s="945" t="s">
        <v>506</v>
      </c>
      <c r="K139" s="945"/>
      <c r="L139" s="945"/>
      <c r="AB139" s="938"/>
      <c r="AC139" s="936"/>
      <c r="AD139" s="936"/>
      <c r="AE139" s="936"/>
      <c r="AF139" s="936"/>
      <c r="AG139" s="936"/>
      <c r="AH139" s="936"/>
      <c r="AI139" s="936"/>
      <c r="AJ139" s="936"/>
      <c r="AK139" s="936"/>
      <c r="AL139" s="936"/>
      <c r="AM139" s="936"/>
      <c r="AN139" s="936"/>
      <c r="AO139" s="936"/>
      <c r="AP139" s="936"/>
      <c r="AQ139" s="936"/>
      <c r="AR139" s="936"/>
      <c r="AS139" s="936"/>
      <c r="AT139" s="936"/>
      <c r="AU139" s="936"/>
      <c r="AV139" s="936"/>
      <c r="AW139" s="936"/>
      <c r="AX139" s="936"/>
      <c r="AY139" s="936"/>
      <c r="AZ139" s="936"/>
      <c r="BA139" s="936"/>
      <c r="BB139" s="936"/>
      <c r="BC139" s="936"/>
      <c r="BD139" s="936"/>
      <c r="BE139" s="936"/>
      <c r="BF139" s="936"/>
      <c r="BG139" s="936"/>
      <c r="BH139" s="936"/>
      <c r="BI139" s="936"/>
      <c r="BJ139" s="936"/>
      <c r="BK139" s="936"/>
      <c r="BL139" s="936"/>
      <c r="BM139" s="936"/>
    </row>
    <row r="140" spans="2:65" s="939" customFormat="1" ht="17.25" customHeight="1">
      <c r="E140" s="956"/>
      <c r="F140" s="971" t="s">
        <v>504</v>
      </c>
      <c r="G140" s="972"/>
      <c r="H140" s="973" t="str" cm="1">
        <f t="array" ref="H140">angleDecimal2Txt(O73)</f>
        <v>+00°04.03 (+00.0673) [+00°04'02.37]</v>
      </c>
      <c r="I140" s="973"/>
      <c r="J140" s="973"/>
      <c r="K140" s="973"/>
      <c r="L140" s="973"/>
      <c r="AB140" s="938"/>
      <c r="AC140" s="936"/>
      <c r="AD140" s="936"/>
      <c r="AE140" s="936"/>
      <c r="AF140" s="936"/>
      <c r="AG140" s="936"/>
      <c r="AH140" s="936"/>
      <c r="AI140" s="936"/>
      <c r="AJ140" s="936"/>
      <c r="AK140" s="936"/>
      <c r="AL140" s="936"/>
      <c r="AM140" s="936"/>
      <c r="AN140" s="936"/>
      <c r="AO140" s="936"/>
      <c r="AP140" s="936"/>
      <c r="AQ140" s="936"/>
      <c r="AR140" s="936"/>
      <c r="AS140" s="936"/>
      <c r="AT140" s="936"/>
      <c r="AU140" s="936"/>
      <c r="AV140" s="936"/>
      <c r="AW140" s="936"/>
      <c r="AX140" s="936"/>
      <c r="AY140" s="936"/>
      <c r="AZ140" s="936"/>
      <c r="BA140" s="936"/>
      <c r="BB140" s="936"/>
      <c r="BC140" s="936"/>
      <c r="BD140" s="936"/>
      <c r="BE140" s="936"/>
      <c r="BF140" s="936"/>
      <c r="BG140" s="936"/>
      <c r="BH140" s="936"/>
      <c r="BI140" s="936"/>
      <c r="BJ140" s="936"/>
      <c r="BK140" s="936"/>
      <c r="BL140" s="936"/>
      <c r="BM140" s="936"/>
    </row>
    <row r="141" spans="2:65" s="939" customFormat="1" ht="17.25" customHeight="1">
      <c r="F141" s="971" t="s">
        <v>511</v>
      </c>
      <c r="G141" s="972"/>
      <c r="H141" s="1009" t="str" cm="1">
        <f t="array" ref="H141">angleDecimal2Txt(O85)</f>
        <v>+00°01.79 (+00.0299) [+00°01'47.85]</v>
      </c>
      <c r="I141" s="1010"/>
      <c r="J141" s="1010"/>
      <c r="K141" s="1010"/>
      <c r="L141" s="1011"/>
      <c r="AB141" s="938"/>
      <c r="AC141" s="936"/>
      <c r="AD141" s="936"/>
      <c r="AE141" s="936"/>
      <c r="AF141" s="936"/>
      <c r="AG141" s="936"/>
      <c r="AH141" s="936"/>
      <c r="AI141" s="936"/>
      <c r="AJ141" s="936"/>
      <c r="AK141" s="936"/>
      <c r="AL141" s="936"/>
      <c r="AM141" s="936"/>
      <c r="AN141" s="936"/>
      <c r="AO141" s="936"/>
      <c r="AP141" s="936"/>
      <c r="AQ141" s="936"/>
      <c r="AR141" s="936"/>
      <c r="AS141" s="936"/>
      <c r="AT141" s="936"/>
      <c r="AU141" s="936"/>
      <c r="AV141" s="936"/>
      <c r="AW141" s="936"/>
      <c r="AX141" s="936"/>
      <c r="AY141" s="936"/>
      <c r="AZ141" s="936"/>
      <c r="BA141" s="936"/>
      <c r="BB141" s="936"/>
      <c r="BC141" s="936"/>
      <c r="BD141" s="936"/>
      <c r="BE141" s="936"/>
      <c r="BF141" s="936"/>
      <c r="BG141" s="936"/>
      <c r="BH141" s="936"/>
      <c r="BI141" s="936"/>
      <c r="BJ141" s="936"/>
      <c r="BK141" s="936"/>
      <c r="BL141" s="936"/>
      <c r="BM141" s="936"/>
    </row>
    <row r="142" spans="2:65" s="939" customFormat="1" ht="17.25" customHeight="1">
      <c r="D142" s="941"/>
      <c r="E142" s="945" t="str" cm="1">
        <f t="array" ref="E142">angleDecimal2Txt(F68)</f>
        <v>+28°49.16 (+28.8193) [+28°49'09.76]</v>
      </c>
      <c r="F142" s="945"/>
      <c r="G142" s="945"/>
      <c r="H142" s="945"/>
      <c r="I142" s="945"/>
      <c r="J142" s="945" t="s">
        <v>505</v>
      </c>
      <c r="K142" s="945"/>
      <c r="L142" s="945"/>
      <c r="AB142" s="938"/>
      <c r="AC142" s="936"/>
      <c r="AD142" s="936"/>
      <c r="AE142" s="936"/>
      <c r="AF142" s="936"/>
      <c r="AG142" s="936"/>
      <c r="AH142" s="936"/>
      <c r="AI142" s="936"/>
      <c r="AJ142" s="936"/>
      <c r="AK142" s="936"/>
      <c r="AL142" s="936"/>
      <c r="AM142" s="936"/>
      <c r="AN142" s="936"/>
      <c r="AO142" s="936"/>
      <c r="AP142" s="936"/>
      <c r="AQ142" s="936"/>
      <c r="AR142" s="936"/>
      <c r="AS142" s="936"/>
      <c r="AT142" s="936"/>
      <c r="AU142" s="936"/>
      <c r="AV142" s="936"/>
      <c r="AW142" s="936"/>
      <c r="AX142" s="936"/>
      <c r="AY142" s="936"/>
      <c r="AZ142" s="936"/>
      <c r="BA142" s="936"/>
      <c r="BB142" s="936"/>
      <c r="BC142" s="936"/>
      <c r="BD142" s="936"/>
      <c r="BE142" s="936"/>
      <c r="BF142" s="936"/>
      <c r="BG142" s="936"/>
      <c r="BH142" s="936"/>
      <c r="BI142" s="936"/>
      <c r="BJ142" s="936"/>
      <c r="BK142" s="936"/>
      <c r="BL142" s="936"/>
      <c r="BM142" s="936"/>
    </row>
    <row r="143" spans="2:65" s="939" customFormat="1" ht="17.25" customHeight="1">
      <c r="D143" s="941"/>
      <c r="F143" s="974" t="str" cm="1">
        <f t="array" ref="F143">angleDecimal2Txt(O80-O85-O73)</f>
        <v>-00°05.83 (-00.0972) [-00°05'50.23]</v>
      </c>
      <c r="G143" s="974"/>
      <c r="H143" s="974"/>
      <c r="I143" s="974"/>
      <c r="J143" s="974"/>
      <c r="K143" s="974" t="s">
        <v>513</v>
      </c>
      <c r="L143" s="974"/>
      <c r="M143" s="974"/>
      <c r="N143" s="976" t="s">
        <v>529</v>
      </c>
      <c r="O143" s="976"/>
      <c r="P143" s="976"/>
      <c r="AB143" s="938"/>
      <c r="AC143" s="936"/>
      <c r="AD143" s="936"/>
      <c r="AE143" s="936"/>
      <c r="AF143" s="936"/>
      <c r="AG143" s="936"/>
      <c r="AH143" s="936"/>
      <c r="AI143" s="936"/>
      <c r="AJ143" s="936"/>
      <c r="AK143" s="936"/>
      <c r="AL143" s="936"/>
      <c r="AM143" s="936"/>
      <c r="AN143" s="936"/>
      <c r="AO143" s="936"/>
      <c r="AP143" s="936"/>
      <c r="AQ143" s="936"/>
      <c r="AR143" s="936"/>
      <c r="AS143" s="936"/>
      <c r="AT143" s="936"/>
      <c r="AU143" s="936"/>
      <c r="AV143" s="936"/>
      <c r="AW143" s="936"/>
      <c r="AX143" s="936"/>
      <c r="AY143" s="936"/>
      <c r="AZ143" s="936"/>
      <c r="BA143" s="936"/>
      <c r="BB143" s="936"/>
      <c r="BC143" s="936"/>
      <c r="BD143" s="936"/>
      <c r="BE143" s="936"/>
      <c r="BF143" s="936"/>
      <c r="BG143" s="936"/>
      <c r="BH143" s="936"/>
      <c r="BI143" s="936"/>
      <c r="BJ143" s="936"/>
      <c r="BK143" s="936"/>
      <c r="BL143" s="936"/>
      <c r="BM143" s="936"/>
    </row>
    <row r="144" spans="2:65" s="939" customFormat="1" ht="17.25" customHeight="1">
      <c r="D144" s="941"/>
      <c r="F144" s="974" t="str" cm="1">
        <f t="array" ref="F144">angleDecimal2Txt(O80-O85-O73+O89)</f>
        <v>-00°05.83 (-00.0972) [-00°05'50.23]</v>
      </c>
      <c r="G144" s="974"/>
      <c r="H144" s="974"/>
      <c r="I144" s="974"/>
      <c r="J144" s="974"/>
      <c r="K144" s="974" t="s">
        <v>509</v>
      </c>
      <c r="L144" s="974"/>
      <c r="M144" s="974"/>
      <c r="N144" s="976"/>
      <c r="O144" s="976"/>
      <c r="P144" s="976"/>
      <c r="AB144" s="938"/>
      <c r="AC144" s="936"/>
      <c r="AD144" s="936"/>
      <c r="AE144" s="936"/>
      <c r="AF144" s="936"/>
      <c r="AG144" s="936"/>
      <c r="AH144" s="936"/>
      <c r="AI144" s="936"/>
      <c r="AJ144" s="936"/>
      <c r="AK144" s="936"/>
      <c r="AL144" s="936"/>
      <c r="AM144" s="936"/>
      <c r="AN144" s="936"/>
      <c r="AO144" s="936"/>
      <c r="AP144" s="936"/>
      <c r="AQ144" s="936"/>
      <c r="AR144" s="936"/>
      <c r="AS144" s="936"/>
      <c r="AT144" s="936"/>
      <c r="AU144" s="936"/>
      <c r="AV144" s="936"/>
      <c r="AW144" s="936"/>
      <c r="AX144" s="936"/>
      <c r="AY144" s="936"/>
      <c r="AZ144" s="936"/>
      <c r="BA144" s="936"/>
      <c r="BB144" s="936"/>
      <c r="BC144" s="936"/>
      <c r="BD144" s="936"/>
      <c r="BE144" s="936"/>
      <c r="BF144" s="936"/>
      <c r="BG144" s="936"/>
      <c r="BH144" s="936"/>
      <c r="BI144" s="936"/>
      <c r="BJ144" s="936"/>
      <c r="BK144" s="936"/>
      <c r="BL144" s="936"/>
      <c r="BM144" s="936"/>
    </row>
    <row r="145" spans="2:65" s="939" customFormat="1" ht="17.25" customHeight="1">
      <c r="D145" s="941"/>
      <c r="F145" s="974" t="str" cm="1">
        <f t="array" ref="F145">angleDecimal2Txt(O80-O85+O89)</f>
        <v>-00°01.79 (-00.0299) [-00°01'47.85]</v>
      </c>
      <c r="G145" s="974"/>
      <c r="H145" s="974"/>
      <c r="I145" s="974"/>
      <c r="J145" s="974"/>
      <c r="K145" s="974" t="s">
        <v>510</v>
      </c>
      <c r="L145" s="974"/>
      <c r="M145" s="974"/>
      <c r="N145" s="976"/>
      <c r="O145" s="976"/>
      <c r="P145" s="976"/>
      <c r="AB145" s="938"/>
      <c r="AC145" s="936"/>
      <c r="AD145" s="936"/>
      <c r="AE145" s="936"/>
      <c r="AF145" s="936"/>
      <c r="AG145" s="936"/>
      <c r="AH145" s="936"/>
      <c r="AI145" s="936"/>
      <c r="AJ145" s="936"/>
      <c r="AK145" s="936"/>
      <c r="AL145" s="936"/>
      <c r="AM145" s="936"/>
      <c r="AN145" s="936"/>
      <c r="AO145" s="936"/>
      <c r="AP145" s="936"/>
      <c r="AQ145" s="936"/>
      <c r="AR145" s="936"/>
      <c r="AS145" s="936"/>
      <c r="AT145" s="936"/>
      <c r="AU145" s="936"/>
      <c r="AV145" s="936"/>
      <c r="AW145" s="936"/>
      <c r="AX145" s="936"/>
      <c r="AY145" s="936"/>
      <c r="AZ145" s="936"/>
      <c r="BA145" s="936"/>
      <c r="BB145" s="936"/>
      <c r="BC145" s="936"/>
      <c r="BD145" s="936"/>
      <c r="BE145" s="936"/>
      <c r="BF145" s="936"/>
      <c r="BG145" s="936"/>
      <c r="BH145" s="936"/>
      <c r="BI145" s="936"/>
      <c r="BJ145" s="936"/>
      <c r="BK145" s="936"/>
      <c r="BL145" s="936"/>
      <c r="BM145" s="936"/>
    </row>
    <row r="146" spans="2:65" s="939" customFormat="1" ht="17.25" customHeight="1">
      <c r="AB146" s="938"/>
      <c r="AC146" s="936"/>
      <c r="AD146" s="936"/>
      <c r="AE146" s="936"/>
      <c r="AF146" s="936"/>
      <c r="AG146" s="936"/>
      <c r="AH146" s="936"/>
      <c r="AI146" s="936"/>
      <c r="AJ146" s="936"/>
      <c r="AK146" s="936"/>
      <c r="AL146" s="936"/>
      <c r="AM146" s="936"/>
      <c r="AN146" s="936"/>
      <c r="AO146" s="936"/>
      <c r="AP146" s="936"/>
      <c r="AQ146" s="936"/>
      <c r="AR146" s="936"/>
      <c r="AS146" s="936"/>
      <c r="AT146" s="936"/>
      <c r="AU146" s="936"/>
      <c r="AV146" s="936"/>
      <c r="AW146" s="936"/>
      <c r="AX146" s="936"/>
      <c r="AY146" s="936"/>
      <c r="AZ146" s="936"/>
      <c r="BA146" s="936"/>
      <c r="BB146" s="936"/>
      <c r="BC146" s="936"/>
      <c r="BD146" s="936"/>
      <c r="BE146" s="936"/>
      <c r="BF146" s="936"/>
      <c r="BG146" s="936"/>
      <c r="BH146" s="936"/>
      <c r="BI146" s="936"/>
      <c r="BJ146" s="936"/>
      <c r="BK146" s="936"/>
      <c r="BL146" s="936"/>
      <c r="BM146" s="936"/>
    </row>
    <row r="147" spans="2:65" s="939" customFormat="1" ht="17.25" customHeight="1">
      <c r="C147" s="941"/>
      <c r="AB147" s="938"/>
      <c r="AC147" s="936"/>
      <c r="AD147" s="936"/>
      <c r="AE147" s="936"/>
      <c r="AF147" s="936"/>
      <c r="AG147" s="936"/>
      <c r="AH147" s="936"/>
      <c r="AI147" s="936"/>
      <c r="AJ147" s="936"/>
      <c r="AK147" s="936"/>
      <c r="AL147" s="936"/>
      <c r="AM147" s="936"/>
      <c r="AN147" s="936"/>
      <c r="AO147" s="936"/>
      <c r="AP147" s="936"/>
      <c r="AQ147" s="936"/>
      <c r="AR147" s="936"/>
      <c r="AS147" s="936"/>
      <c r="AT147" s="936"/>
      <c r="AU147" s="936"/>
      <c r="AV147" s="936"/>
      <c r="AW147" s="936"/>
      <c r="AX147" s="936"/>
      <c r="AY147" s="936"/>
      <c r="AZ147" s="936"/>
      <c r="BA147" s="936"/>
      <c r="BB147" s="936"/>
      <c r="BC147" s="936"/>
      <c r="BD147" s="936"/>
      <c r="BE147" s="936"/>
      <c r="BF147" s="936"/>
      <c r="BG147" s="936"/>
      <c r="BH147" s="936"/>
      <c r="BI147" s="936"/>
      <c r="BJ147" s="936"/>
      <c r="BK147" s="936"/>
      <c r="BL147" s="936"/>
      <c r="BM147" s="936"/>
    </row>
    <row r="148" spans="2:65" s="939" customFormat="1" ht="17.25" customHeight="1" thickBot="1">
      <c r="B148" s="951" t="s">
        <v>62</v>
      </c>
      <c r="C148" s="952"/>
      <c r="D148" s="952"/>
      <c r="E148" s="952"/>
      <c r="F148" s="952"/>
      <c r="G148" s="952"/>
      <c r="H148" s="951"/>
      <c r="I148" s="951"/>
      <c r="J148" s="951"/>
      <c r="K148" s="951"/>
      <c r="L148" s="951"/>
      <c r="M148" s="951"/>
      <c r="N148" s="951"/>
      <c r="O148" s="951"/>
      <c r="P148" s="951"/>
      <c r="Q148" s="951"/>
      <c r="AB148" s="938"/>
      <c r="AC148" s="936"/>
      <c r="AD148" s="936"/>
      <c r="AE148" s="936"/>
      <c r="AF148" s="936"/>
      <c r="AG148" s="936"/>
      <c r="AH148" s="936"/>
      <c r="AI148" s="936"/>
      <c r="AJ148" s="936"/>
      <c r="AK148" s="936"/>
      <c r="AL148" s="936"/>
      <c r="AM148" s="936"/>
      <c r="AN148" s="936"/>
      <c r="AO148" s="936"/>
      <c r="AP148" s="936"/>
      <c r="AQ148" s="936"/>
      <c r="AR148" s="936"/>
      <c r="AS148" s="936"/>
      <c r="AT148" s="936"/>
      <c r="AU148" s="936"/>
      <c r="AV148" s="936"/>
      <c r="AW148" s="936"/>
      <c r="AX148" s="936"/>
      <c r="AY148" s="936"/>
      <c r="AZ148" s="936"/>
      <c r="BA148" s="936"/>
      <c r="BB148" s="936"/>
      <c r="BC148" s="936"/>
      <c r="BD148" s="936"/>
      <c r="BE148" s="936"/>
      <c r="BF148" s="936"/>
      <c r="BG148" s="936"/>
      <c r="BH148" s="936"/>
      <c r="BI148" s="936"/>
      <c r="BJ148" s="936"/>
      <c r="BK148" s="936"/>
      <c r="BL148" s="936"/>
      <c r="BM148" s="936"/>
    </row>
    <row r="149" spans="2:65" s="939" customFormat="1" ht="17.25" customHeight="1" thickTop="1">
      <c r="C149" s="964" t="s">
        <v>514</v>
      </c>
      <c r="D149" s="964"/>
      <c r="E149" s="964" t="str" cm="1">
        <f t="array" ref="E149">latitudeDecimal2Txt(F24)</f>
        <v>N 29°05.00 (N 29.0833) [N 29°05'00.00]</v>
      </c>
      <c r="F149" s="964"/>
      <c r="G149" s="964"/>
      <c r="H149" s="964"/>
      <c r="I149" s="964"/>
      <c r="J149" s="964"/>
      <c r="AB149" s="938"/>
      <c r="AC149" s="936"/>
      <c r="AD149" s="936"/>
      <c r="AE149" s="936"/>
      <c r="AF149" s="936"/>
      <c r="AG149" s="936"/>
      <c r="AH149" s="936"/>
      <c r="AI149" s="936"/>
      <c r="AJ149" s="936"/>
      <c r="AK149" s="936"/>
      <c r="AL149" s="936"/>
      <c r="AM149" s="936"/>
      <c r="AN149" s="936"/>
      <c r="AO149" s="936"/>
      <c r="AP149" s="936"/>
      <c r="AQ149" s="936"/>
      <c r="AR149" s="936"/>
      <c r="AS149" s="936"/>
      <c r="AT149" s="936"/>
      <c r="AU149" s="936"/>
      <c r="AV149" s="936"/>
      <c r="AW149" s="936"/>
      <c r="AX149" s="936"/>
      <c r="AY149" s="936"/>
      <c r="AZ149" s="936"/>
      <c r="BA149" s="936"/>
      <c r="BB149" s="936"/>
      <c r="BC149" s="936"/>
      <c r="BD149" s="936"/>
      <c r="BE149" s="936"/>
      <c r="BF149" s="936"/>
      <c r="BG149" s="936"/>
      <c r="BH149" s="936"/>
      <c r="BI149" s="936"/>
      <c r="BJ149" s="936"/>
      <c r="BK149" s="936"/>
      <c r="BL149" s="936"/>
      <c r="BM149" s="936"/>
    </row>
    <row r="150" spans="2:65" s="939" customFormat="1" ht="17.25" customHeight="1">
      <c r="C150" s="942" t="s">
        <v>515</v>
      </c>
      <c r="D150" s="942"/>
      <c r="E150" s="942" t="str" cm="1">
        <f t="array" ref="E150">longitudeDecimal2Txt(F29)</f>
        <v>W 12°30.00 (W 12.5000) [W 12°30'00.00]</v>
      </c>
      <c r="F150" s="942"/>
      <c r="G150" s="942"/>
      <c r="H150" s="942"/>
      <c r="I150" s="942"/>
      <c r="J150" s="942"/>
      <c r="AB150" s="938"/>
      <c r="AC150" s="936"/>
      <c r="AD150" s="936"/>
      <c r="AE150" s="936"/>
      <c r="AF150" s="936"/>
      <c r="AG150" s="936"/>
      <c r="AH150" s="936"/>
      <c r="AI150" s="936"/>
      <c r="AJ150" s="936"/>
      <c r="AK150" s="936"/>
      <c r="AL150" s="936"/>
      <c r="AM150" s="936"/>
      <c r="AN150" s="936"/>
      <c r="AO150" s="936"/>
      <c r="AP150" s="936"/>
      <c r="AQ150" s="936"/>
      <c r="AR150" s="936"/>
      <c r="AS150" s="936"/>
      <c r="AT150" s="936"/>
      <c r="AU150" s="936"/>
      <c r="AV150" s="936"/>
      <c r="AW150" s="936"/>
      <c r="AX150" s="936"/>
      <c r="AY150" s="936"/>
      <c r="AZ150" s="936"/>
      <c r="BA150" s="936"/>
      <c r="BB150" s="936"/>
      <c r="BC150" s="936"/>
      <c r="BD150" s="936"/>
      <c r="BE150" s="936"/>
      <c r="BF150" s="936"/>
      <c r="BG150" s="936"/>
      <c r="BH150" s="936"/>
      <c r="BI150" s="936"/>
      <c r="BJ150" s="936"/>
      <c r="BK150" s="936"/>
      <c r="BL150" s="936"/>
      <c r="BM150" s="936"/>
    </row>
    <row r="151" spans="2:65" s="939" customFormat="1" ht="17.25" customHeight="1">
      <c r="F151" s="1014" t="s">
        <v>541</v>
      </c>
      <c r="G151" s="1016" t="str">
        <f>CONCATENATE(" -",G43)</f>
        <v xml:space="preserve"> -Par interval</v>
      </c>
      <c r="H151" s="974">
        <f>IF(G43=AD43,M47,CONCATENATE("T0:",M55))</f>
        <v>18</v>
      </c>
      <c r="I151" s="974"/>
      <c r="J151" s="974"/>
      <c r="K151" s="974" t="str" cm="1">
        <f t="array" ref="K151">IF(G43=AD43,angleDecimal2Txt(AE46,0),CONCATENATE("Pos. à T0:",angleDecimal2Txt(AD54,0)))</f>
        <v>+299°29.00</v>
      </c>
      <c r="L151" s="974"/>
      <c r="M151" s="974"/>
      <c r="AB151" s="938"/>
      <c r="AC151" s="1013"/>
      <c r="AD151" s="936"/>
      <c r="AE151" s="936"/>
      <c r="AF151" s="936"/>
      <c r="AG151" s="936"/>
      <c r="AH151" s="936"/>
      <c r="AI151" s="936"/>
      <c r="AJ151" s="936"/>
      <c r="AK151" s="936"/>
      <c r="AL151" s="936"/>
      <c r="AM151" s="936"/>
      <c r="AN151" s="936"/>
      <c r="AO151" s="936"/>
      <c r="AP151" s="936"/>
      <c r="AQ151" s="936"/>
      <c r="AR151" s="936"/>
      <c r="AS151" s="936"/>
      <c r="AT151" s="936"/>
      <c r="AU151" s="936"/>
      <c r="AV151" s="936"/>
      <c r="AW151" s="936"/>
      <c r="AX151" s="936"/>
      <c r="AY151" s="936"/>
      <c r="AZ151" s="936"/>
      <c r="BA151" s="936"/>
      <c r="BB151" s="936"/>
      <c r="BC151" s="936"/>
      <c r="BD151" s="936"/>
      <c r="BE151" s="936"/>
      <c r="BF151" s="936"/>
      <c r="BG151" s="936"/>
      <c r="BH151" s="936"/>
      <c r="BI151" s="936"/>
      <c r="BJ151" s="936"/>
      <c r="BK151" s="936"/>
      <c r="BL151" s="936"/>
      <c r="BM151" s="936"/>
    </row>
    <row r="152" spans="2:65" s="939" customFormat="1" ht="17.25" customHeight="1">
      <c r="F152" s="1015"/>
      <c r="G152" s="1017"/>
      <c r="H152" s="974" cm="1">
        <f t="array" ref="H152">IF(G43=AD43,M49,CONCATENATE("V:",angleDecimal2Txt(AD56,0)))</f>
        <v>19</v>
      </c>
      <c r="I152" s="974"/>
      <c r="J152" s="974"/>
      <c r="K152" s="974" t="str" cm="1">
        <f t="array" ref="K152">IF(G43=AD43,angleDecimal2Txt(AE47,0),CONCATENATE("dt:",TEXT((I55-M55),"0.000")," h"))</f>
        <v>+314°31.39</v>
      </c>
      <c r="L152" s="974"/>
      <c r="M152" s="974"/>
      <c r="AB152" s="938"/>
      <c r="AC152" s="936"/>
      <c r="AD152" s="936"/>
      <c r="AE152" s="936"/>
      <c r="AF152" s="936"/>
      <c r="AG152" s="936"/>
      <c r="AH152" s="936"/>
      <c r="AI152" s="936"/>
      <c r="AJ152" s="936"/>
      <c r="AK152" s="936"/>
      <c r="AL152" s="936"/>
      <c r="AM152" s="936"/>
      <c r="AN152" s="936"/>
      <c r="AO152" s="936"/>
      <c r="AP152" s="936"/>
      <c r="AQ152" s="936"/>
      <c r="AR152" s="936"/>
      <c r="AS152" s="936"/>
      <c r="AT152" s="936"/>
      <c r="AU152" s="936"/>
      <c r="AV152" s="936"/>
      <c r="AW152" s="936"/>
      <c r="AX152" s="936"/>
      <c r="AY152" s="936"/>
      <c r="AZ152" s="936"/>
      <c r="BA152" s="936"/>
      <c r="BB152" s="936"/>
      <c r="BC152" s="936"/>
      <c r="BD152" s="936"/>
      <c r="BE152" s="936"/>
      <c r="BF152" s="936"/>
      <c r="BG152" s="936"/>
      <c r="BH152" s="936"/>
      <c r="BI152" s="936"/>
      <c r="BJ152" s="936"/>
      <c r="BK152" s="936"/>
      <c r="BL152" s="936"/>
      <c r="BM152" s="936"/>
    </row>
    <row r="153" spans="2:65" s="939" customFormat="1" ht="17.25" customHeight="1">
      <c r="C153" s="940" t="s">
        <v>542</v>
      </c>
      <c r="D153" s="940"/>
      <c r="E153" s="940" t="str" cm="1">
        <f t="array" ref="E153">angleDecimal2Txt(F42,0)</f>
        <v>+311°38.44</v>
      </c>
      <c r="F153" s="940"/>
      <c r="G153" s="940"/>
      <c r="H153" s="940"/>
      <c r="I153" s="940"/>
      <c r="J153" s="940"/>
      <c r="AB153" s="938"/>
      <c r="AC153" s="936"/>
      <c r="AD153" s="936"/>
      <c r="AE153" s="936"/>
      <c r="AF153" s="936"/>
      <c r="AG153" s="936"/>
      <c r="AH153" s="936"/>
      <c r="AI153" s="936"/>
      <c r="AJ153" s="936"/>
      <c r="AK153" s="936"/>
      <c r="AL153" s="936"/>
      <c r="AM153" s="936"/>
      <c r="AN153" s="936"/>
      <c r="AO153" s="936"/>
      <c r="AP153" s="936"/>
      <c r="AQ153" s="936"/>
      <c r="AR153" s="936"/>
      <c r="AS153" s="936"/>
      <c r="AT153" s="936"/>
      <c r="AU153" s="936"/>
      <c r="AV153" s="936"/>
      <c r="AW153" s="936"/>
      <c r="AX153" s="936"/>
      <c r="AY153" s="936"/>
      <c r="AZ153" s="936"/>
      <c r="BA153" s="936"/>
      <c r="BB153" s="936"/>
      <c r="BC153" s="936"/>
      <c r="BD153" s="936"/>
      <c r="BE153" s="936"/>
      <c r="BF153" s="936"/>
      <c r="BG153" s="936"/>
      <c r="BH153" s="936"/>
      <c r="BI153" s="936"/>
      <c r="BJ153" s="936"/>
      <c r="BK153" s="936"/>
      <c r="BL153" s="936"/>
      <c r="BM153" s="936"/>
    </row>
    <row r="154" spans="2:65" s="939" customFormat="1" ht="17.25" customHeight="1">
      <c r="C154" s="947" t="s">
        <v>566</v>
      </c>
      <c r="D154" s="948"/>
      <c r="E154" s="940" t="str" cm="1">
        <f t="array" ref="E154">angleDecimal2Txt(F38,0)</f>
        <v>+311°25.80</v>
      </c>
      <c r="F154" s="940"/>
      <c r="G154" s="940"/>
      <c r="H154" s="940"/>
      <c r="I154" s="940"/>
      <c r="J154" s="940"/>
      <c r="AB154" s="938"/>
      <c r="AC154" s="936"/>
      <c r="AD154" s="936"/>
      <c r="AE154" s="936"/>
      <c r="AF154" s="936"/>
      <c r="AG154" s="936"/>
      <c r="AH154" s="936"/>
      <c r="AI154" s="936"/>
      <c r="AJ154" s="936"/>
      <c r="AK154" s="936"/>
      <c r="AL154" s="936"/>
      <c r="AM154" s="936"/>
      <c r="AN154" s="936"/>
      <c r="AO154" s="936"/>
      <c r="AP154" s="936"/>
      <c r="AQ154" s="936"/>
      <c r="AR154" s="936"/>
      <c r="AS154" s="936"/>
      <c r="AT154" s="936"/>
      <c r="AU154" s="936"/>
      <c r="AV154" s="936"/>
      <c r="AW154" s="936"/>
      <c r="AX154" s="936"/>
      <c r="AY154" s="936"/>
      <c r="AZ154" s="936"/>
      <c r="BA154" s="936"/>
      <c r="BB154" s="936"/>
      <c r="BC154" s="936"/>
      <c r="BD154" s="936"/>
      <c r="BE154" s="936"/>
      <c r="BF154" s="936"/>
      <c r="BG154" s="936"/>
      <c r="BH154" s="936"/>
      <c r="BI154" s="936"/>
      <c r="BJ154" s="936"/>
      <c r="BK154" s="936"/>
      <c r="BL154" s="936"/>
      <c r="BM154" s="936"/>
    </row>
    <row r="155" spans="2:65" s="939" customFormat="1" ht="17.25" customHeight="1">
      <c r="C155" s="947" t="s">
        <v>555</v>
      </c>
      <c r="D155" s="948"/>
      <c r="E155" s="940" t="str" cm="1">
        <f t="array" ref="E155">angleDecimal2Txt(F59,0)</f>
        <v>+263°04.24</v>
      </c>
      <c r="F155" s="940"/>
      <c r="G155" s="940"/>
      <c r="H155" s="940"/>
      <c r="I155" s="940"/>
      <c r="J155" s="940"/>
      <c r="AB155" s="938"/>
      <c r="AC155" s="936"/>
      <c r="AD155" s="936"/>
      <c r="AE155" s="936"/>
      <c r="AF155" s="936"/>
      <c r="AG155" s="936"/>
      <c r="AH155" s="936"/>
      <c r="AI155" s="936"/>
      <c r="AJ155" s="936"/>
      <c r="AK155" s="936"/>
      <c r="AL155" s="936"/>
      <c r="AM155" s="936"/>
      <c r="AN155" s="936"/>
      <c r="AO155" s="936"/>
      <c r="AP155" s="936"/>
      <c r="AQ155" s="936"/>
      <c r="AR155" s="936"/>
      <c r="AS155" s="936"/>
      <c r="AT155" s="936"/>
      <c r="AU155" s="936"/>
      <c r="AV155" s="936"/>
      <c r="AW155" s="936"/>
      <c r="AX155" s="936"/>
      <c r="AY155" s="936"/>
      <c r="AZ155" s="936"/>
      <c r="BA155" s="936"/>
      <c r="BB155" s="936"/>
      <c r="BC155" s="936"/>
      <c r="BD155" s="936"/>
      <c r="BE155" s="936"/>
      <c r="BF155" s="936"/>
      <c r="BG155" s="936"/>
      <c r="BH155" s="936"/>
      <c r="BI155" s="936"/>
      <c r="BJ155" s="936"/>
      <c r="BK155" s="936"/>
      <c r="BL155" s="936"/>
      <c r="BM155" s="936"/>
    </row>
    <row r="156" spans="2:65" s="939" customFormat="1" ht="17.25" customHeight="1">
      <c r="C156" s="940" t="s">
        <v>554</v>
      </c>
      <c r="D156" s="940"/>
      <c r="E156" s="940" t="str" cm="1">
        <f t="array" ref="E156">angleDecimal2Txt(F64,0)</f>
        <v>+250°34.24</v>
      </c>
      <c r="F156" s="940"/>
      <c r="G156" s="940"/>
      <c r="H156" s="940"/>
      <c r="I156" s="940"/>
      <c r="J156" s="940"/>
      <c r="AB156" s="938"/>
      <c r="AC156" s="936"/>
      <c r="AD156" s="936"/>
      <c r="AE156" s="936"/>
      <c r="AF156" s="936"/>
      <c r="AG156" s="936"/>
      <c r="AH156" s="936"/>
      <c r="AI156" s="936"/>
      <c r="AJ156" s="936"/>
      <c r="AK156" s="936"/>
      <c r="AL156" s="936"/>
      <c r="AM156" s="936"/>
      <c r="AN156" s="936"/>
      <c r="AO156" s="936"/>
      <c r="AP156" s="936"/>
      <c r="AQ156" s="936"/>
      <c r="AR156" s="936"/>
      <c r="AS156" s="936"/>
      <c r="AT156" s="936"/>
      <c r="AU156" s="936"/>
      <c r="AV156" s="936"/>
      <c r="AW156" s="936"/>
      <c r="AX156" s="936"/>
      <c r="AY156" s="936"/>
      <c r="AZ156" s="936"/>
      <c r="BA156" s="936"/>
      <c r="BB156" s="936"/>
      <c r="BC156" s="936"/>
      <c r="BD156" s="936"/>
      <c r="BE156" s="936"/>
      <c r="BF156" s="936"/>
      <c r="BG156" s="936"/>
      <c r="BH156" s="936"/>
      <c r="BI156" s="936"/>
      <c r="BJ156" s="936"/>
      <c r="BK156" s="936"/>
      <c r="BL156" s="936"/>
      <c r="BM156" s="936"/>
    </row>
    <row r="157" spans="2:65" s="939" customFormat="1" ht="17.25" customHeight="1">
      <c r="C157" s="940" t="s">
        <v>9</v>
      </c>
      <c r="D157" s="940"/>
      <c r="E157" s="940" t="str" cm="1">
        <f t="array" ref="E157">angleDecimal2Txt(F33,0)</f>
        <v>+89°23.10</v>
      </c>
      <c r="F157" s="940"/>
      <c r="G157" s="940"/>
      <c r="H157" s="940"/>
      <c r="I157" s="940"/>
      <c r="J157" s="940"/>
      <c r="AB157" s="938"/>
      <c r="AC157" s="936"/>
      <c r="AD157" s="936"/>
      <c r="AE157" s="936"/>
      <c r="AF157" s="936"/>
      <c r="AG157" s="936"/>
      <c r="AH157" s="936"/>
      <c r="AI157" s="936"/>
      <c r="AJ157" s="936"/>
      <c r="AK157" s="936"/>
      <c r="AL157" s="936"/>
      <c r="AM157" s="936"/>
      <c r="AN157" s="936"/>
      <c r="AO157" s="936"/>
      <c r="AP157" s="936"/>
      <c r="AQ157" s="936"/>
      <c r="AR157" s="936"/>
      <c r="AS157" s="936"/>
      <c r="AT157" s="936"/>
      <c r="AU157" s="936"/>
      <c r="AV157" s="936"/>
      <c r="AW157" s="936"/>
      <c r="AX157" s="936"/>
      <c r="AY157" s="936"/>
      <c r="AZ157" s="936"/>
      <c r="BA157" s="936"/>
      <c r="BB157" s="936"/>
      <c r="BC157" s="936"/>
      <c r="BD157" s="936"/>
      <c r="BE157" s="936"/>
      <c r="BF157" s="936"/>
      <c r="BG157" s="936"/>
      <c r="BH157" s="936"/>
      <c r="BI157" s="936"/>
      <c r="BJ157" s="936"/>
      <c r="BK157" s="936"/>
      <c r="BL157" s="936"/>
      <c r="BM157" s="936"/>
    </row>
    <row r="158" spans="2:65" s="939" customFormat="1" ht="17.25" customHeight="1">
      <c r="F158" s="974" t="s">
        <v>559</v>
      </c>
      <c r="G158" s="974"/>
      <c r="H158" s="974"/>
      <c r="I158" s="974"/>
      <c r="J158" s="974"/>
      <c r="K158" s="974"/>
      <c r="L158" s="974"/>
      <c r="M158" s="974"/>
      <c r="AB158" s="938"/>
      <c r="AC158" s="936"/>
      <c r="AD158" s="936"/>
      <c r="AE158" s="936"/>
      <c r="AF158" s="936"/>
      <c r="AG158" s="936"/>
      <c r="AH158" s="936"/>
      <c r="AI158" s="936"/>
      <c r="AJ158" s="936"/>
      <c r="AK158" s="936"/>
      <c r="AL158" s="936"/>
      <c r="AM158" s="936"/>
      <c r="AN158" s="936"/>
      <c r="AO158" s="936"/>
      <c r="AP158" s="936"/>
      <c r="AQ158" s="936"/>
      <c r="AR158" s="936"/>
      <c r="AS158" s="936"/>
      <c r="AT158" s="936"/>
      <c r="AU158" s="936"/>
      <c r="AV158" s="936"/>
      <c r="AW158" s="936"/>
      <c r="AX158" s="936"/>
      <c r="AY158" s="936"/>
      <c r="AZ158" s="936"/>
      <c r="BA158" s="936"/>
      <c r="BB158" s="936"/>
      <c r="BC158" s="936"/>
      <c r="BD158" s="936"/>
      <c r="BE158" s="936"/>
      <c r="BF158" s="936"/>
      <c r="BG158" s="936"/>
      <c r="BH158" s="936"/>
      <c r="BI158" s="936"/>
      <c r="BJ158" s="936"/>
      <c r="BK158" s="936"/>
      <c r="BL158" s="936"/>
      <c r="BM158" s="936"/>
    </row>
    <row r="159" spans="2:65" s="939" customFormat="1" ht="17.25" customHeight="1">
      <c r="F159" s="974" t="s">
        <v>560</v>
      </c>
      <c r="G159" s="974"/>
      <c r="H159" s="974"/>
      <c r="I159" s="974" t="str" cm="1">
        <f t="array" ref="I159">angleDecimal2Txt(H109,0)</f>
        <v>+00°36.89</v>
      </c>
      <c r="J159" s="974"/>
      <c r="K159" s="974"/>
      <c r="L159" s="974"/>
      <c r="M159" s="974"/>
      <c r="AB159" s="938"/>
      <c r="AC159" s="936"/>
      <c r="AD159" s="936"/>
      <c r="AE159" s="936"/>
      <c r="AF159" s="936"/>
      <c r="AG159" s="936"/>
      <c r="AH159" s="936"/>
      <c r="AI159" s="936"/>
      <c r="AJ159" s="936"/>
      <c r="AK159" s="936"/>
      <c r="AL159" s="936"/>
      <c r="AM159" s="936"/>
      <c r="AN159" s="936"/>
      <c r="AO159" s="936"/>
      <c r="AP159" s="936"/>
      <c r="AQ159" s="936"/>
      <c r="AR159" s="936"/>
      <c r="AS159" s="936"/>
      <c r="AT159" s="936"/>
      <c r="AU159" s="936"/>
      <c r="AV159" s="936"/>
      <c r="AW159" s="936"/>
      <c r="AX159" s="936"/>
      <c r="AY159" s="936"/>
      <c r="AZ159" s="936"/>
      <c r="BA159" s="936"/>
      <c r="BB159" s="936"/>
      <c r="BC159" s="936"/>
      <c r="BD159" s="936"/>
      <c r="BE159" s="936"/>
      <c r="BF159" s="936"/>
      <c r="BG159" s="936"/>
      <c r="BH159" s="936"/>
      <c r="BI159" s="936"/>
      <c r="BJ159" s="936"/>
      <c r="BK159" s="936"/>
      <c r="BL159" s="936"/>
      <c r="BM159" s="936"/>
    </row>
    <row r="160" spans="2:65" s="939" customFormat="1" ht="17.25" customHeight="1">
      <c r="F160" s="974" t="s">
        <v>561</v>
      </c>
      <c r="G160" s="974"/>
      <c r="H160" s="974"/>
      <c r="I160" s="974" t="str" cm="1">
        <f t="array" ref="I160">angleDecimal2Txt(H113)</f>
        <v>+00°12.27 (+00.2045) [+00°12'16.47]</v>
      </c>
      <c r="J160" s="974"/>
      <c r="K160" s="974"/>
      <c r="L160" s="974"/>
      <c r="M160" s="974"/>
      <c r="AB160" s="938"/>
      <c r="AC160" s="936"/>
      <c r="AD160" s="936"/>
      <c r="AE160" s="936"/>
      <c r="AF160" s="936"/>
      <c r="AG160" s="936"/>
      <c r="AH160" s="936"/>
      <c r="AI160" s="936"/>
      <c r="AJ160" s="936"/>
      <c r="AK160" s="936"/>
      <c r="AL160" s="936"/>
      <c r="AM160" s="936"/>
      <c r="AN160" s="936"/>
      <c r="AO160" s="936"/>
      <c r="AP160" s="936"/>
      <c r="AQ160" s="936"/>
      <c r="AR160" s="936"/>
      <c r="AS160" s="936"/>
      <c r="AT160" s="936"/>
      <c r="AU160" s="936"/>
      <c r="AV160" s="936"/>
      <c r="AW160" s="936"/>
      <c r="AX160" s="936"/>
      <c r="AY160" s="936"/>
      <c r="AZ160" s="936"/>
      <c r="BA160" s="936"/>
      <c r="BB160" s="936"/>
      <c r="BC160" s="936"/>
      <c r="BD160" s="936"/>
      <c r="BE160" s="936"/>
      <c r="BF160" s="936"/>
      <c r="BG160" s="936"/>
      <c r="BH160" s="936"/>
      <c r="BI160" s="936"/>
      <c r="BJ160" s="936"/>
      <c r="BK160" s="936"/>
      <c r="BL160" s="936"/>
      <c r="BM160" s="936"/>
    </row>
    <row r="161" spans="3:65" s="939" customFormat="1" ht="17.25" customHeight="1">
      <c r="F161" s="974" t="s">
        <v>563</v>
      </c>
      <c r="G161" s="974"/>
      <c r="H161" s="974"/>
      <c r="I161" s="974"/>
      <c r="J161" s="974"/>
      <c r="K161" s="974"/>
      <c r="L161" s="974"/>
      <c r="M161" s="974"/>
      <c r="AB161" s="938"/>
      <c r="AC161" s="936"/>
      <c r="AD161" s="936"/>
      <c r="AE161" s="936"/>
      <c r="AF161" s="936"/>
      <c r="AG161" s="936"/>
      <c r="AH161" s="936"/>
      <c r="AI161" s="936"/>
      <c r="AJ161" s="936"/>
      <c r="AK161" s="936"/>
      <c r="AL161" s="936"/>
      <c r="AM161" s="936"/>
      <c r="AN161" s="936"/>
      <c r="AO161" s="936"/>
      <c r="AP161" s="936"/>
      <c r="AQ161" s="936"/>
      <c r="AR161" s="936"/>
      <c r="AS161" s="936"/>
      <c r="AT161" s="936"/>
      <c r="AU161" s="936"/>
      <c r="AV161" s="936"/>
      <c r="AW161" s="936"/>
      <c r="AX161" s="936"/>
      <c r="AY161" s="936"/>
      <c r="AZ161" s="936"/>
      <c r="BA161" s="936"/>
      <c r="BB161" s="936"/>
      <c r="BC161" s="936"/>
      <c r="BD161" s="936"/>
      <c r="BE161" s="936"/>
      <c r="BF161" s="936"/>
      <c r="BG161" s="936"/>
      <c r="BH161" s="936"/>
      <c r="BI161" s="936"/>
      <c r="BJ161" s="936"/>
      <c r="BK161" s="936"/>
      <c r="BL161" s="936"/>
      <c r="BM161" s="936"/>
    </row>
    <row r="162" spans="3:65" s="939" customFormat="1" ht="17.25" customHeight="1">
      <c r="F162" s="974" t="s">
        <v>562</v>
      </c>
      <c r="G162" s="974"/>
      <c r="H162" s="974"/>
      <c r="I162" s="974"/>
      <c r="J162" s="974"/>
      <c r="K162" s="974"/>
      <c r="L162" s="974"/>
      <c r="M162" s="974"/>
      <c r="AB162" s="938"/>
      <c r="AC162" s="936"/>
      <c r="AD162" s="936"/>
      <c r="AE162" s="936"/>
      <c r="AF162" s="936"/>
      <c r="AG162" s="936"/>
      <c r="AH162" s="936"/>
      <c r="AI162" s="936"/>
      <c r="AJ162" s="936"/>
      <c r="AK162" s="936"/>
      <c r="AL162" s="936"/>
      <c r="AM162" s="936"/>
      <c r="AN162" s="936"/>
      <c r="AO162" s="936"/>
      <c r="AP162" s="936"/>
      <c r="AQ162" s="936"/>
      <c r="AR162" s="936"/>
      <c r="AS162" s="936"/>
      <c r="AT162" s="936"/>
      <c r="AU162" s="936"/>
      <c r="AV162" s="936"/>
      <c r="AW162" s="936"/>
      <c r="AX162" s="936"/>
      <c r="AY162" s="936"/>
      <c r="AZ162" s="936"/>
      <c r="BA162" s="936"/>
      <c r="BB162" s="936"/>
      <c r="BC162" s="936"/>
      <c r="BD162" s="936"/>
      <c r="BE162" s="936"/>
      <c r="BF162" s="936"/>
      <c r="BG162" s="936"/>
      <c r="BH162" s="936"/>
      <c r="BI162" s="936"/>
      <c r="BJ162" s="936"/>
      <c r="BK162" s="936"/>
      <c r="BL162" s="936"/>
      <c r="BM162" s="936"/>
    </row>
    <row r="163" spans="3:65" s="939" customFormat="1" ht="17.25" customHeight="1">
      <c r="C163" s="945" t="s">
        <v>41</v>
      </c>
      <c r="D163" s="945"/>
      <c r="E163" s="945" t="str" cm="1">
        <f t="array" ref="E163">latitudeDecimal2Txt(H117)</f>
        <v>N 29°01.43 (N 29.0239) [N 29°01'26.24]</v>
      </c>
      <c r="F163" s="1018"/>
      <c r="G163" s="1018"/>
      <c r="H163" s="1018"/>
      <c r="I163" s="1018"/>
      <c r="J163" s="1018"/>
      <c r="AB163" s="938"/>
      <c r="AC163" s="936"/>
      <c r="AD163" s="936"/>
      <c r="AE163" s="936"/>
      <c r="AF163" s="936"/>
      <c r="AG163" s="936"/>
      <c r="AH163" s="936"/>
      <c r="AI163" s="936"/>
      <c r="AJ163" s="936"/>
      <c r="AK163" s="936"/>
      <c r="AL163" s="936"/>
      <c r="AM163" s="936"/>
      <c r="AN163" s="936"/>
      <c r="AO163" s="936"/>
      <c r="AP163" s="936"/>
      <c r="AQ163" s="936"/>
      <c r="AR163" s="936"/>
      <c r="AS163" s="936"/>
      <c r="AT163" s="936"/>
      <c r="AU163" s="936"/>
      <c r="AV163" s="936"/>
      <c r="AW163" s="936"/>
      <c r="AX163" s="936"/>
      <c r="AY163" s="936"/>
      <c r="AZ163" s="936"/>
      <c r="BA163" s="936"/>
      <c r="BB163" s="936"/>
      <c r="BC163" s="936"/>
      <c r="BD163" s="936"/>
      <c r="BE163" s="936"/>
      <c r="BF163" s="936"/>
      <c r="BG163" s="936"/>
      <c r="BH163" s="936"/>
      <c r="BI163" s="936"/>
      <c r="BJ163" s="936"/>
      <c r="BK163" s="936"/>
      <c r="BL163" s="936"/>
      <c r="BM163" s="936"/>
    </row>
    <row r="164" spans="3:65" s="939" customFormat="1" ht="17.25" customHeight="1">
      <c r="C164" s="965" t="s">
        <v>565</v>
      </c>
      <c r="D164" s="966"/>
      <c r="E164" s="954" t="str" cm="1">
        <f t="array" ref="E164">angleDecimal2Txt(H121,0)</f>
        <v>+00°39.79</v>
      </c>
      <c r="F164" s="1020"/>
      <c r="G164" s="1020"/>
      <c r="H164" s="1020"/>
      <c r="I164" s="1020"/>
      <c r="J164" s="955"/>
      <c r="AB164" s="938"/>
      <c r="AC164" s="936"/>
      <c r="AD164" s="936"/>
      <c r="AE164" s="936"/>
      <c r="AF164" s="936"/>
      <c r="AG164" s="936"/>
      <c r="AH164" s="936"/>
      <c r="AI164" s="936"/>
      <c r="AJ164" s="936"/>
      <c r="AK164" s="936"/>
      <c r="AL164" s="936"/>
      <c r="AM164" s="936"/>
      <c r="AN164" s="936"/>
      <c r="AO164" s="936"/>
      <c r="AP164" s="936"/>
      <c r="AQ164" s="936"/>
      <c r="AR164" s="936"/>
      <c r="AS164" s="936"/>
      <c r="AT164" s="936"/>
      <c r="AU164" s="936"/>
      <c r="AV164" s="936"/>
      <c r="AW164" s="936"/>
      <c r="AX164" s="936"/>
      <c r="AY164" s="936"/>
      <c r="AZ164" s="936"/>
      <c r="BA164" s="936"/>
      <c r="BB164" s="936"/>
      <c r="BC164" s="936"/>
      <c r="BD164" s="936"/>
      <c r="BE164" s="936"/>
      <c r="BF164" s="936"/>
      <c r="BG164" s="936"/>
      <c r="BH164" s="936"/>
      <c r="BI164" s="936"/>
      <c r="BJ164" s="936"/>
      <c r="BK164" s="936"/>
      <c r="BL164" s="936"/>
      <c r="BM164" s="936"/>
    </row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customFormat="1" ht="17.25" customHeight="1"/>
    <row r="177" spans="3:65" customFormat="1" ht="17.25" customHeight="1"/>
    <row r="178" spans="3:65" customFormat="1" ht="17.25" customHeight="1"/>
    <row r="179" spans="3:65" customFormat="1" ht="17.25" customHeight="1"/>
    <row r="180" spans="3:65" customFormat="1" ht="17.25" customHeight="1"/>
    <row r="181" spans="3:65" s="16" customFormat="1" ht="17.25" customHeight="1">
      <c r="C181" s="61"/>
      <c r="D181" s="61"/>
      <c r="E181" s="61"/>
      <c r="F181" s="61"/>
      <c r="AA181" s="23"/>
      <c r="AB181" s="92"/>
      <c r="AC181" s="22"/>
      <c r="AD181" s="24"/>
      <c r="AE181" s="24"/>
      <c r="AF181" s="24"/>
      <c r="AG181" s="24"/>
      <c r="AH181" s="24"/>
      <c r="AI181" s="24"/>
      <c r="AJ181" s="24"/>
      <c r="AK181" s="24"/>
      <c r="AL181" s="80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</row>
    <row r="182" spans="3:65" s="16" customFormat="1" ht="17.25" customHeight="1">
      <c r="C182" s="61"/>
      <c r="D182" s="61"/>
      <c r="E182" s="61"/>
      <c r="F182" s="61"/>
      <c r="AA182" s="23"/>
      <c r="AB182" s="92"/>
      <c r="AC182" s="22"/>
      <c r="AD182" s="24"/>
      <c r="AE182" s="24"/>
      <c r="AF182" s="24"/>
      <c r="AG182" s="24"/>
      <c r="AH182" s="24"/>
      <c r="AI182" s="24"/>
      <c r="AJ182" s="24"/>
      <c r="AK182" s="24"/>
      <c r="AL182" s="80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</row>
  </sheetData>
  <dataConsolidate/>
  <mergeCells count="289">
    <mergeCell ref="F59:H59"/>
    <mergeCell ref="J59:L59"/>
    <mergeCell ref="M59:O59"/>
    <mergeCell ref="C60:H60"/>
    <mergeCell ref="I60:L60"/>
    <mergeCell ref="N60:Q60"/>
    <mergeCell ref="I61:N61"/>
    <mergeCell ref="F159:H159"/>
    <mergeCell ref="I159:M159"/>
    <mergeCell ref="D133:G133"/>
    <mergeCell ref="H141:L141"/>
    <mergeCell ref="F141:G141"/>
    <mergeCell ref="C154:D154"/>
    <mergeCell ref="E154:J154"/>
    <mergeCell ref="E155:J155"/>
    <mergeCell ref="C155:D155"/>
    <mergeCell ref="F151:F152"/>
    <mergeCell ref="G151:G152"/>
    <mergeCell ref="F160:H160"/>
    <mergeCell ref="I160:M160"/>
    <mergeCell ref="F161:M161"/>
    <mergeCell ref="F162:M162"/>
    <mergeCell ref="C164:D164"/>
    <mergeCell ref="F158:M158"/>
    <mergeCell ref="C163:D163"/>
    <mergeCell ref="E163:J163"/>
    <mergeCell ref="E164:J164"/>
    <mergeCell ref="C156:D156"/>
    <mergeCell ref="E156:J156"/>
    <mergeCell ref="C157:D157"/>
    <mergeCell ref="E157:J157"/>
    <mergeCell ref="C150:D150"/>
    <mergeCell ref="E150:J150"/>
    <mergeCell ref="H151:J151"/>
    <mergeCell ref="K151:M151"/>
    <mergeCell ref="H152:J152"/>
    <mergeCell ref="K152:M152"/>
    <mergeCell ref="C153:D153"/>
    <mergeCell ref="E153:J153"/>
    <mergeCell ref="F143:J143"/>
    <mergeCell ref="K143:M143"/>
    <mergeCell ref="N143:P145"/>
    <mergeCell ref="F144:J144"/>
    <mergeCell ref="K144:M144"/>
    <mergeCell ref="F145:J145"/>
    <mergeCell ref="K145:M145"/>
    <mergeCell ref="C149:D149"/>
    <mergeCell ref="E149:J149"/>
    <mergeCell ref="E142:I142"/>
    <mergeCell ref="J142:L142"/>
    <mergeCell ref="C137:D137"/>
    <mergeCell ref="E137:I137"/>
    <mergeCell ref="C138:D138"/>
    <mergeCell ref="E138:I138"/>
    <mergeCell ref="E139:I139"/>
    <mergeCell ref="J139:L139"/>
    <mergeCell ref="F140:G140"/>
    <mergeCell ref="H140:L140"/>
    <mergeCell ref="B132:C132"/>
    <mergeCell ref="D132:G132"/>
    <mergeCell ref="I132:L132"/>
    <mergeCell ref="B133:C133"/>
    <mergeCell ref="C136:D136"/>
    <mergeCell ref="E136:I136"/>
    <mergeCell ref="H106:N106"/>
    <mergeCell ref="O106:R106"/>
    <mergeCell ref="U106:Z106"/>
    <mergeCell ref="E12:H12"/>
    <mergeCell ref="J33:P33"/>
    <mergeCell ref="J68:N68"/>
    <mergeCell ref="I96:N96"/>
    <mergeCell ref="O96:R96"/>
    <mergeCell ref="H98:N98"/>
    <mergeCell ref="O98:R98"/>
    <mergeCell ref="U98:Z98"/>
    <mergeCell ref="F100:I100"/>
    <mergeCell ref="J100:L100"/>
    <mergeCell ref="N103:P103"/>
    <mergeCell ref="N104:P104"/>
    <mergeCell ref="W104:AA104"/>
    <mergeCell ref="H87:N87"/>
    <mergeCell ref="O87:R87"/>
    <mergeCell ref="H88:N88"/>
    <mergeCell ref="O88:R88"/>
    <mergeCell ref="M77:P77"/>
    <mergeCell ref="M78:P78"/>
    <mergeCell ref="H79:N79"/>
    <mergeCell ref="O79:R79"/>
    <mergeCell ref="AD90:AE90"/>
    <mergeCell ref="G91:S91"/>
    <mergeCell ref="G92:H93"/>
    <mergeCell ref="I92:N92"/>
    <mergeCell ref="O92:R93"/>
    <mergeCell ref="S92:S93"/>
    <mergeCell ref="AD92:AE92"/>
    <mergeCell ref="I93:N93"/>
    <mergeCell ref="I94:N94"/>
    <mergeCell ref="O94:R95"/>
    <mergeCell ref="S94:S95"/>
    <mergeCell ref="I95:N95"/>
    <mergeCell ref="AD88:AE88"/>
    <mergeCell ref="H89:N89"/>
    <mergeCell ref="O89:R89"/>
    <mergeCell ref="U89:Z89"/>
    <mergeCell ref="AD89:AE89"/>
    <mergeCell ref="H83:N83"/>
    <mergeCell ref="O83:R83"/>
    <mergeCell ref="S83:U83"/>
    <mergeCell ref="H84:N84"/>
    <mergeCell ref="O84:R84"/>
    <mergeCell ref="S84:U84"/>
    <mergeCell ref="H85:N85"/>
    <mergeCell ref="O85:R85"/>
    <mergeCell ref="U85:Z85"/>
    <mergeCell ref="U79:Z79"/>
    <mergeCell ref="H80:N80"/>
    <mergeCell ref="O80:R80"/>
    <mergeCell ref="U80:Z80"/>
    <mergeCell ref="S82:U82"/>
    <mergeCell ref="H72:N72"/>
    <mergeCell ref="O72:R72"/>
    <mergeCell ref="U72:Z72"/>
    <mergeCell ref="H73:N73"/>
    <mergeCell ref="O73:R73"/>
    <mergeCell ref="U73:Z73"/>
    <mergeCell ref="M74:P74"/>
    <mergeCell ref="H75:N75"/>
    <mergeCell ref="O75:P75"/>
    <mergeCell ref="R75:S75"/>
    <mergeCell ref="U75:Z75"/>
    <mergeCell ref="V68:X68"/>
    <mergeCell ref="C69:F69"/>
    <mergeCell ref="G69:I69"/>
    <mergeCell ref="AC69:AC70"/>
    <mergeCell ref="F70:I70"/>
    <mergeCell ref="J70:L70"/>
    <mergeCell ref="H71:N71"/>
    <mergeCell ref="O71:R71"/>
    <mergeCell ref="U71:Z71"/>
    <mergeCell ref="F64:H64"/>
    <mergeCell ref="J64:L64"/>
    <mergeCell ref="M64:O64"/>
    <mergeCell ref="C65:H65"/>
    <mergeCell ref="I65:L65"/>
    <mergeCell ref="N65:Q65"/>
    <mergeCell ref="I66:N66"/>
    <mergeCell ref="D68:E68"/>
    <mergeCell ref="F68:H68"/>
    <mergeCell ref="P68:Q68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P16:X16"/>
    <mergeCell ref="P17:X17"/>
    <mergeCell ref="F33:H33"/>
    <mergeCell ref="C34:H34"/>
    <mergeCell ref="I34:I35"/>
    <mergeCell ref="J34:M35"/>
    <mergeCell ref="N34:P35"/>
    <mergeCell ref="N114:O114"/>
    <mergeCell ref="P114:R114"/>
    <mergeCell ref="T114:V114"/>
    <mergeCell ref="N109:W109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H127:I127"/>
    <mergeCell ref="K127:L127"/>
    <mergeCell ref="N127:R127"/>
    <mergeCell ref="S127:T127"/>
    <mergeCell ref="H128:J128"/>
    <mergeCell ref="K128:L128"/>
    <mergeCell ref="S128:X128"/>
    <mergeCell ref="M125:N125"/>
    <mergeCell ref="P125:R125"/>
    <mergeCell ref="S125:U125"/>
    <mergeCell ref="W125:Y125"/>
    <mergeCell ref="H126:I126"/>
    <mergeCell ref="K126:L126"/>
    <mergeCell ref="A125:D125"/>
    <mergeCell ref="D121:G123"/>
    <mergeCell ref="H121:L122"/>
    <mergeCell ref="H123:L123"/>
    <mergeCell ref="D109:G111"/>
    <mergeCell ref="D117:G119"/>
    <mergeCell ref="N112:Z112"/>
    <mergeCell ref="D113:G115"/>
    <mergeCell ref="H113:L114"/>
    <mergeCell ref="H117:L118"/>
    <mergeCell ref="X118:Y118"/>
    <mergeCell ref="H119:L119"/>
    <mergeCell ref="N121:W121"/>
    <mergeCell ref="N122:O122"/>
    <mergeCell ref="P122:R122"/>
    <mergeCell ref="T122:V122"/>
    <mergeCell ref="N110:O110"/>
    <mergeCell ref="P110:R110"/>
    <mergeCell ref="T110:V110"/>
    <mergeCell ref="H111:L111"/>
    <mergeCell ref="N123:O123"/>
    <mergeCell ref="P123:R123"/>
    <mergeCell ref="T123:V123"/>
    <mergeCell ref="N113:W113"/>
    <mergeCell ref="N117:W117"/>
    <mergeCell ref="N118:O118"/>
    <mergeCell ref="P118:R118"/>
    <mergeCell ref="T118:V118"/>
    <mergeCell ref="H115:L115"/>
    <mergeCell ref="N111:O111"/>
    <mergeCell ref="P111:R111"/>
    <mergeCell ref="T111:V111"/>
    <mergeCell ref="H109:L110"/>
  </mergeCells>
  <dataValidations count="4">
    <dataValidation type="list" allowBlank="1" showInputMessage="1" showErrorMessage="1" sqref="I24:I25 I34:I35 P63 U63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9:I69" xr:uid="{03F10643-B6D2-439A-864B-66743CDC2ECC}">
      <formula1>$AD$69:$AD$70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128</xdr:row>
                    <xdr:rowOff>95250</xdr:rowOff>
                  </from>
                  <to>
                    <xdr:col>7</xdr:col>
                    <xdr:colOff>9525</xdr:colOff>
                    <xdr:row>129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C2:BN18"/>
  <sheetViews>
    <sheetView workbookViewId="0">
      <selection activeCell="Q18" sqref="Q18"/>
    </sheetView>
  </sheetViews>
  <sheetFormatPr defaultColWidth="11.42578125" defaultRowHeight="15"/>
  <sheetData>
    <row r="2" spans="3:66" ht="15.75" thickBot="1"/>
    <row r="3" spans="3:66">
      <c r="C3" s="933" t="s">
        <v>110</v>
      </c>
      <c r="D3" s="934"/>
      <c r="E3" s="934"/>
      <c r="F3" s="935"/>
    </row>
    <row r="4" spans="3:66">
      <c r="C4" s="52" t="s">
        <v>53</v>
      </c>
      <c r="D4" s="53" t="s">
        <v>93</v>
      </c>
      <c r="E4" s="54" t="s">
        <v>160</v>
      </c>
      <c r="F4" s="55">
        <f>PI()/180</f>
        <v>1.7453292519943295E-2</v>
      </c>
    </row>
    <row r="5" spans="3:66" ht="15.75" thickBot="1">
      <c r="C5" s="19" t="s">
        <v>95</v>
      </c>
      <c r="D5" s="56" t="s">
        <v>93</v>
      </c>
      <c r="E5" s="57" t="s">
        <v>161</v>
      </c>
      <c r="F5" s="58">
        <f>180/PI()</f>
        <v>57.295779513082323</v>
      </c>
    </row>
    <row r="6" spans="3:66" ht="15.75" thickBot="1"/>
    <row r="7" spans="3:66" ht="15.75" thickBot="1">
      <c r="C7" s="626" t="s">
        <v>34</v>
      </c>
      <c r="D7" s="627"/>
      <c r="E7" s="628"/>
    </row>
    <row r="8" spans="3:66">
      <c r="C8" s="17" t="s">
        <v>41</v>
      </c>
      <c r="D8" s="32" t="s">
        <v>42</v>
      </c>
      <c r="E8" s="18"/>
    </row>
    <row r="9" spans="3:66">
      <c r="C9" s="17" t="s">
        <v>3</v>
      </c>
      <c r="D9" s="32" t="s">
        <v>5</v>
      </c>
      <c r="E9" s="18">
        <v>1</v>
      </c>
    </row>
    <row r="10" spans="3:66" ht="15.75" thickBot="1">
      <c r="C10" s="19" t="s">
        <v>4</v>
      </c>
      <c r="D10" s="20" t="s">
        <v>6</v>
      </c>
      <c r="E10" s="21">
        <v>-1</v>
      </c>
    </row>
    <row r="15" spans="3:66" s="16" customFormat="1" ht="17.25" customHeight="1"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3:66" s="16" customFormat="1" ht="17.25" customHeight="1"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8:66" s="16" customFormat="1" ht="17.25" customHeight="1"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8:66" s="16" customFormat="1" ht="17.25" customHeight="1"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</sheetData>
  <sheetProtection selectLockedCells="1" selectUnlockedCells="1"/>
  <mergeCells count="2">
    <mergeCell ref="C3:F3"/>
    <mergeCell ref="C7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7"/>
  <sheetViews>
    <sheetView workbookViewId="0">
      <selection activeCell="F13" sqref="F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489</v>
      </c>
      <c r="E1" s="309">
        <v>31557600</v>
      </c>
      <c r="G1" s="310" t="s">
        <v>494</v>
      </c>
      <c r="H1" s="310"/>
    </row>
    <row r="3" spans="2:9">
      <c r="B3" s="10" t="s">
        <v>482</v>
      </c>
      <c r="C3" s="10" t="s">
        <v>483</v>
      </c>
      <c r="D3" s="281" t="s">
        <v>488</v>
      </c>
      <c r="E3" s="311" t="s">
        <v>490</v>
      </c>
      <c r="F3" s="281" t="s">
        <v>487</v>
      </c>
      <c r="G3" s="313" t="s">
        <v>492</v>
      </c>
      <c r="H3" s="281" t="s">
        <v>493</v>
      </c>
      <c r="I3" s="312" t="s">
        <v>495</v>
      </c>
    </row>
    <row r="4" spans="2:9">
      <c r="B4" s="314" t="s">
        <v>484</v>
      </c>
      <c r="C4" s="10">
        <v>0</v>
      </c>
      <c r="D4" s="281">
        <f>dateConvert2Decimal(B4)</f>
        <v>1696118400</v>
      </c>
      <c r="E4" s="281"/>
      <c r="F4" s="281"/>
      <c r="G4" s="313"/>
      <c r="H4" s="281"/>
      <c r="I4" s="313"/>
    </row>
    <row r="5" spans="2:9">
      <c r="B5" s="244" t="s">
        <v>485</v>
      </c>
      <c r="C5" s="10">
        <v>62</v>
      </c>
      <c r="D5" s="281">
        <f>dateConvert2Decimal(B5)</f>
        <v>1714521600</v>
      </c>
      <c r="E5" s="281">
        <f>D5-$D$4</f>
        <v>18403200</v>
      </c>
      <c r="F5" s="281">
        <f>$E$1*C5/E5</f>
        <v>106.3169014084507</v>
      </c>
      <c r="G5" s="313">
        <f>30*H5</f>
        <v>8.7323943661971821</v>
      </c>
      <c r="H5" s="281">
        <f>F5/365.25</f>
        <v>0.29107981220657275</v>
      </c>
      <c r="I5" s="313">
        <v>10</v>
      </c>
    </row>
    <row r="6" spans="2:9">
      <c r="B6" s="244" t="s">
        <v>486</v>
      </c>
      <c r="C6" s="10">
        <v>73</v>
      </c>
      <c r="D6" s="281">
        <f>dateConvert2Decimal(B6)</f>
        <v>1721606400</v>
      </c>
      <c r="E6" s="281">
        <f t="shared" ref="E6:E7" si="0">D6-$D$4</f>
        <v>25488000</v>
      </c>
      <c r="F6" s="281">
        <f>$E$1*C6/E6</f>
        <v>90.383898305084742</v>
      </c>
      <c r="G6" s="313">
        <f>30*H6</f>
        <v>7.4237288135593218</v>
      </c>
      <c r="H6" s="281">
        <f t="shared" ref="H6:H7" si="1">F6/365.25</f>
        <v>0.24745762711864405</v>
      </c>
      <c r="I6" s="313">
        <v>12</v>
      </c>
    </row>
    <row r="7" spans="2:9">
      <c r="B7" s="314" t="s">
        <v>491</v>
      </c>
      <c r="C7" s="10">
        <v>86</v>
      </c>
      <c r="D7" s="281">
        <f>dateConvert2Decimal(B7)</f>
        <v>1722816000</v>
      </c>
      <c r="E7" s="281">
        <f t="shared" si="0"/>
        <v>26697600</v>
      </c>
      <c r="F7" s="281">
        <f>$E$1*C7/E7</f>
        <v>101.65533980582525</v>
      </c>
      <c r="G7" s="313">
        <f>30*H7</f>
        <v>8.3495145631067977</v>
      </c>
      <c r="H7" s="281">
        <f t="shared" si="1"/>
        <v>0.27831715210355989</v>
      </c>
      <c r="I7" s="313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Outils</vt:lpstr>
      <vt:lpstr>Montre</vt:lpstr>
      <vt:lpstr>'Droite de hauteur-etoileplanete'!Print_Area</vt:lpstr>
      <vt:lpstr>'Droite de hauteur-lune'!Print_Area</vt:lpstr>
      <vt:lpstr>'Droite de hauteur-soleil'!Print_Area</vt:lpstr>
      <vt:lpstr>'Latitude Polaire'!Print_Area</vt:lpstr>
      <vt:lpstr>Meridienne!Print_Area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2024-08-21T17:08:03Z</cp:lastPrinted>
  <dcterms:created xsi:type="dcterms:W3CDTF">2023-12-16T12:20:09Z</dcterms:created>
  <dcterms:modified xsi:type="dcterms:W3CDTF">2024-08-21T17:11:15Z</dcterms:modified>
</cp:coreProperties>
</file>