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0" yWindow="0" windowWidth="28800" windowHeight="12450"/>
  </bookViews>
  <sheets>
    <sheet name="Saisie" sheetId="1" r:id="rId1"/>
    <sheet name="Physique Nylon" sheetId="2" r:id="rId2"/>
    <sheet name="Constantes" sheetId="3" r:id="rId3"/>
    <sheet name="Sheet1" sheetId="4" r:id="rId4"/>
  </sheets>
  <definedNames>
    <definedName name="Tab_R2">'Physique Nylon'!$J$6:$W$7</definedName>
    <definedName name="Tab_R3">'Physique Nylon'!$J$10:$T$11</definedName>
    <definedName name="Tab_R4">'Physique Nylon'!$J$14:$W$15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0" i="1" l="1"/>
  <c r="T28" i="1"/>
  <c r="T27" i="1"/>
  <c r="S29" i="1"/>
  <c r="S28" i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E17" i="1"/>
  <c r="E16" i="1"/>
  <c r="E15" i="1"/>
  <c r="E14" i="1"/>
  <c r="E13" i="1"/>
  <c r="E12" i="1"/>
  <c r="E11" i="1"/>
  <c r="E10" i="1"/>
  <c r="H17" i="1"/>
  <c r="S27" i="1" l="1"/>
  <c r="R22" i="1"/>
  <c r="O29" i="1" s="1"/>
  <c r="O28" i="1" s="1"/>
  <c r="M5" i="1"/>
  <c r="N7" i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A8" i="1" l="1"/>
  <c r="AA9" i="1"/>
  <c r="V8" i="1"/>
  <c r="W9" i="1"/>
  <c r="O8" i="1"/>
  <c r="W8" i="1"/>
  <c r="P9" i="1"/>
  <c r="X9" i="1"/>
  <c r="Q8" i="1"/>
  <c r="R9" i="1"/>
  <c r="T8" i="1"/>
  <c r="U9" i="1"/>
  <c r="M9" i="1"/>
  <c r="M8" i="1"/>
  <c r="U8" i="1"/>
  <c r="N9" i="1"/>
  <c r="V9" i="1"/>
  <c r="N8" i="1"/>
  <c r="O9" i="1"/>
  <c r="P8" i="1"/>
  <c r="X8" i="1"/>
  <c r="Q9" i="1"/>
  <c r="Y9" i="1"/>
  <c r="Y8" i="1"/>
  <c r="Z9" i="1"/>
  <c r="R8" i="1"/>
  <c r="Z8" i="1"/>
  <c r="S9" i="1"/>
  <c r="S8" i="1"/>
  <c r="T9" i="1"/>
  <c r="M11" i="1"/>
  <c r="M12" i="1" l="1"/>
  <c r="N12" i="1" s="1"/>
  <c r="P12" i="1" s="1"/>
  <c r="O12" i="1" l="1"/>
  <c r="M13" i="1" s="1"/>
  <c r="D10" i="1" s="1"/>
  <c r="R49" i="1" l="1"/>
  <c r="P21" i="1"/>
  <c r="R21" i="1" s="1"/>
  <c r="D11" i="1"/>
  <c r="U53" i="1" l="1"/>
  <c r="T29" i="1"/>
  <c r="G10" i="1"/>
  <c r="F10" i="1" s="1"/>
  <c r="P27" i="1"/>
  <c r="P29" i="1"/>
  <c r="P28" i="1"/>
  <c r="Q24" i="1"/>
  <c r="D12" i="1"/>
  <c r="G11" i="1" l="1"/>
  <c r="F11" i="1" s="1"/>
  <c r="D13" i="1"/>
  <c r="D14" i="1" l="1"/>
  <c r="G12" i="1"/>
  <c r="F12" i="1" s="1"/>
  <c r="G13" i="1" l="1"/>
  <c r="F13" i="1" s="1"/>
  <c r="D15" i="1"/>
  <c r="G14" i="1" l="1"/>
  <c r="F14" i="1" s="1"/>
  <c r="D16" i="1"/>
  <c r="U52" i="1" l="1"/>
  <c r="I14" i="1" s="1"/>
  <c r="D17" i="1"/>
  <c r="G16" i="1"/>
  <c r="G15" i="1"/>
  <c r="F15" i="1" s="1"/>
  <c r="E18" i="1"/>
  <c r="G17" i="1" l="1"/>
  <c r="F17" i="1" s="1"/>
  <c r="I11" i="1"/>
  <c r="I10" i="1"/>
  <c r="H10" i="1" s="1"/>
  <c r="I12" i="1"/>
  <c r="I13" i="1"/>
  <c r="H13" i="1" s="1"/>
  <c r="I15" i="1"/>
  <c r="F16" i="1"/>
  <c r="H14" i="1" l="1"/>
  <c r="H12" i="1"/>
  <c r="H15" i="1"/>
  <c r="H16" i="1"/>
  <c r="H11" i="1"/>
</calcChain>
</file>

<file path=xl/sharedStrings.xml><?xml version="1.0" encoding="utf-8"?>
<sst xmlns="http://schemas.openxmlformats.org/spreadsheetml/2006/main" count="70" uniqueCount="56">
  <si>
    <t>kg/m3</t>
  </si>
  <si>
    <t>Diametre de la soie</t>
  </si>
  <si>
    <t>m</t>
  </si>
  <si>
    <t>poids en mg pour 1m de long de nylon</t>
  </si>
  <si>
    <t>diametre en 100ieme</t>
  </si>
  <si>
    <t>R2</t>
  </si>
  <si>
    <t>R3</t>
  </si>
  <si>
    <t>masse (g/m)</t>
  </si>
  <si>
    <t>R4</t>
  </si>
  <si>
    <t>Case verte -&gt; choix utilisateur</t>
  </si>
  <si>
    <t>Premier brin conseille (-20% / soie)</t>
  </si>
  <si>
    <t>Choix de la raideur</t>
  </si>
  <si>
    <t xml:space="preserve">Pas touche </t>
  </si>
  <si>
    <t>Longeur BDL</t>
  </si>
  <si>
    <t>100ieme</t>
  </si>
  <si>
    <t>Brin</t>
  </si>
  <si>
    <t>Masse volumique du Nylon</t>
  </si>
  <si>
    <t>Raideur possibles</t>
  </si>
  <si>
    <t>indice</t>
  </si>
  <si>
    <t>Tableau des raideurs</t>
  </si>
  <si>
    <t>R2 (diametre en 100ieme)</t>
  </si>
  <si>
    <t>Premier Brin</t>
  </si>
  <si>
    <t>Suivant (2 fois moins raide)</t>
  </si>
  <si>
    <t>R3 (diametre en 100ieme)</t>
  </si>
  <si>
    <t>Suivant (3 fois moins raide)</t>
  </si>
  <si>
    <t>R4 (diametre en 100ieme)</t>
  </si>
  <si>
    <t>Suivant (4 fois moins raide)</t>
  </si>
  <si>
    <t>80% diam de la soie</t>
  </si>
  <si>
    <t>Brin + grand / + petit pour cette raideur</t>
  </si>
  <si>
    <t>Brin choisi le + proche</t>
  </si>
  <si>
    <t>Copie des info de la raideur</t>
  </si>
  <si>
    <t>Equation de la droite de monsieur Pelletier</t>
  </si>
  <si>
    <t>MasseLineique (y) = MasseLineique a l'origine - x (MasseLineique a l'origine / Longeur bas de ligne)</t>
  </si>
  <si>
    <t>avec 'x' la longeur du brin</t>
  </si>
  <si>
    <t>Dans l'autre sens pour avoir 'x'</t>
  </si>
  <si>
    <t>x  = MasseLineique a l'origine - MasseLineique (y) * (Longeur bas de ligne / MasseLineique a l'origine)</t>
  </si>
  <si>
    <t>Masse lineique a l'origine pour un nylon de diametre:</t>
  </si>
  <si>
    <t xml:space="preserve">--&gt; </t>
  </si>
  <si>
    <t>g/m</t>
  </si>
  <si>
    <t>--&gt; equation:</t>
  </si>
  <si>
    <t>Taille totale</t>
  </si>
  <si>
    <t>y</t>
  </si>
  <si>
    <t>x</t>
  </si>
  <si>
    <t>brin (en gramme)</t>
  </si>
  <si>
    <t>Brin en diametre</t>
  </si>
  <si>
    <t>(masse line)</t>
  </si>
  <si>
    <t>longeur totale</t>
  </si>
  <si>
    <t>Long brin</t>
  </si>
  <si>
    <t>y = ax + b</t>
  </si>
  <si>
    <t>y0 x0</t>
  </si>
  <si>
    <t>y1 x1</t>
  </si>
  <si>
    <t>a = (y0 - y1) / (x0 -x1)</t>
  </si>
  <si>
    <t>b = y0 - ax0</t>
  </si>
  <si>
    <t>a</t>
  </si>
  <si>
    <t>b</t>
  </si>
  <si>
    <t>x=(y-b)/a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</si>
</sst>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nsolas"/>
      <family val="3"/>
    </font>
    <font>
      <sz val="11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6">
    <xf numFmtId="0" fontId="0" fillId="0" borderId="0" xfId="0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0" xfId="0" quotePrefix="1" applyFont="1"/>
    <xf numFmtId="0" fontId="1" fillId="2" borderId="0" xfId="1"/>
    <xf numFmtId="0" fontId="2" fillId="3" borderId="1" xfId="2"/>
    <xf numFmtId="0" fontId="4" fillId="0" borderId="0" xfId="0" applyFont="1"/>
    <xf numFmtId="0" fontId="3" fillId="4" borderId="2" xfId="0" applyFont="1" applyFill="1" applyBorder="1"/>
    <xf numFmtId="0" fontId="3" fillId="4" borderId="0" xfId="0" applyFont="1" applyFill="1" applyBorder="1"/>
    <xf numFmtId="0" fontId="3" fillId="4" borderId="0" xfId="0" applyFont="1" applyFill="1"/>
    <xf numFmtId="0" fontId="3" fillId="5" borderId="0" xfId="0" applyFont="1" applyFill="1"/>
    <xf numFmtId="0" fontId="0" fillId="0" borderId="0" xfId="0" applyAlignment="1">
      <alignment wrapText="1"/>
    </xf>
    <xf numFmtId="0" fontId="0" fillId="6" borderId="0" xfId="0" applyFill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Saisie!$P$26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Saisie!$O$27:$O$29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Saisie!$P$27:$P$29</c:f>
              <c:numCache>
                <c:formatCode>General</c:formatCode>
                <c:ptCount val="3"/>
                <c:pt idx="0">
                  <c:v>0.57302650001477828</c:v>
                </c:pt>
                <c:pt idx="1">
                  <c:v>0.28651325000738914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1-4067-8B30-E918BF4A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68784"/>
        <c:axId val="512969112"/>
      </c:scatterChart>
      <c:valAx>
        <c:axId val="5129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969112"/>
        <c:crosses val="autoZero"/>
        <c:crossBetween val="midCat"/>
      </c:valAx>
      <c:valAx>
        <c:axId val="5129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9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Saisie!$S$26</c:f>
              <c:strCache>
                <c:ptCount val="1"/>
                <c:pt idx="0">
                  <c:v>brin (en gramme)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Saisie!$R$27:$R$29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80</c:v>
                </c:pt>
              </c:numCache>
            </c:numRef>
          </c:xVal>
          <c:yVal>
            <c:numRef>
              <c:f>Saisie!$S$27:$S$29</c:f>
              <c:numCache>
                <c:formatCode>General</c:formatCode>
                <c:ptCount val="3"/>
                <c:pt idx="0">
                  <c:v>0</c:v>
                </c:pt>
                <c:pt idx="1">
                  <c:v>8.0581851564578172E-2</c:v>
                </c:pt>
                <c:pt idx="2">
                  <c:v>0.57302650001477828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B-454C-9203-2C30162879FC}"/>
            </c:ext>
          </c:extLst>
        </c:ser>
        <c:ser>
          <c:idx val="1"/>
          <c:order val="1"/>
          <c:tx>
            <c:strRef>
              <c:f>Saisie!$T$26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Saisie!$R$27:$R$29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80</c:v>
                </c:pt>
              </c:numCache>
            </c:numRef>
          </c:xVal>
          <c:yVal>
            <c:numRef>
              <c:f>Saisie!$T$27:$T$29</c:f>
              <c:numCache>
                <c:formatCode>General</c:formatCode>
                <c:ptCount val="3"/>
                <c:pt idx="0">
                  <c:v>3</c:v>
                </c:pt>
                <c:pt idx="1">
                  <c:v>2.578125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B-454C-9203-2C301628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9920"/>
        <c:axId val="512930576"/>
      </c:scatterChart>
      <c:valAx>
        <c:axId val="5129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930576"/>
        <c:crosses val="autoZero"/>
        <c:crossBetween val="midCat"/>
      </c:valAx>
      <c:valAx>
        <c:axId val="5129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9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29</xdr:row>
      <xdr:rowOff>76200</xdr:rowOff>
    </xdr:from>
    <xdr:to>
      <xdr:col>15</xdr:col>
      <xdr:colOff>590550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29</xdr:row>
      <xdr:rowOff>95250</xdr:rowOff>
    </xdr:from>
    <xdr:to>
      <xdr:col>23</xdr:col>
      <xdr:colOff>266700</xdr:colOff>
      <xdr:row>43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56"/>
  <sheetViews>
    <sheetView tabSelected="1" topLeftCell="B2" workbookViewId="0">
      <selection activeCell="Q5" sqref="Q5"/>
    </sheetView>
  </sheetViews>
  <sheetFormatPr defaultRowHeight="15" x14ac:dyDescent="0.25"/>
  <cols>
    <col min="12" max="12" width="37.42578125" customWidth="1"/>
    <col min="18" max="18" width="12.5703125" customWidth="1"/>
    <col min="19" max="19" width="15.140625" customWidth="1"/>
  </cols>
  <sheetData>
    <row r="3" spans="2:27" x14ac:dyDescent="0.25">
      <c r="B3" s="2"/>
      <c r="C3" s="7" t="s">
        <v>9</v>
      </c>
      <c r="D3" s="7"/>
      <c r="E3" s="2"/>
      <c r="M3" t="s">
        <v>12</v>
      </c>
    </row>
    <row r="4" spans="2:27" x14ac:dyDescent="0.25">
      <c r="B4" s="2" t="s">
        <v>1</v>
      </c>
      <c r="C4" s="2"/>
      <c r="D4" s="2"/>
      <c r="E4" s="7">
        <v>80</v>
      </c>
      <c r="F4" t="s">
        <v>14</v>
      </c>
    </row>
    <row r="5" spans="2:27" x14ac:dyDescent="0.25">
      <c r="B5" s="2" t="s">
        <v>11</v>
      </c>
      <c r="C5" s="2"/>
      <c r="D5" s="6"/>
      <c r="E5" s="7" t="s">
        <v>6</v>
      </c>
      <c r="M5">
        <f>VLOOKUP(E5,Constantes!B2:C4,2)</f>
        <v>3</v>
      </c>
    </row>
    <row r="6" spans="2:27" x14ac:dyDescent="0.25">
      <c r="B6" s="2" t="s">
        <v>13</v>
      </c>
      <c r="C6" s="2"/>
      <c r="D6" s="6"/>
      <c r="E6" s="7">
        <v>3</v>
      </c>
      <c r="F6" t="s">
        <v>2</v>
      </c>
    </row>
    <row r="7" spans="2:27" x14ac:dyDescent="0.25">
      <c r="B7" s="2" t="s">
        <v>10</v>
      </c>
      <c r="C7" s="2"/>
      <c r="D7" s="2"/>
      <c r="E7" s="2"/>
      <c r="G7" s="8">
        <v>80</v>
      </c>
      <c r="L7" t="s">
        <v>30</v>
      </c>
      <c r="M7">
        <v>1</v>
      </c>
      <c r="N7">
        <f>M7+1</f>
        <v>2</v>
      </c>
      <c r="O7">
        <f t="shared" ref="O7:Y7" si="0">N7+1</f>
        <v>3</v>
      </c>
      <c r="P7">
        <f t="shared" si="0"/>
        <v>4</v>
      </c>
      <c r="Q7">
        <f t="shared" si="0"/>
        <v>5</v>
      </c>
      <c r="R7">
        <f t="shared" si="0"/>
        <v>6</v>
      </c>
      <c r="S7">
        <f t="shared" si="0"/>
        <v>7</v>
      </c>
      <c r="T7">
        <f t="shared" si="0"/>
        <v>8</v>
      </c>
      <c r="U7">
        <f t="shared" si="0"/>
        <v>9</v>
      </c>
      <c r="V7">
        <f t="shared" si="0"/>
        <v>10</v>
      </c>
      <c r="W7">
        <f t="shared" si="0"/>
        <v>11</v>
      </c>
      <c r="X7">
        <f t="shared" si="0"/>
        <v>12</v>
      </c>
      <c r="Y7">
        <f t="shared" si="0"/>
        <v>13</v>
      </c>
      <c r="Z7">
        <f t="shared" ref="Z7" si="1">Y7+1</f>
        <v>14</v>
      </c>
      <c r="AA7">
        <f t="shared" ref="AA7" si="2">Z7+1</f>
        <v>15</v>
      </c>
    </row>
    <row r="8" spans="2:27" x14ac:dyDescent="0.25">
      <c r="B8" s="2"/>
      <c r="C8" s="2"/>
      <c r="D8" s="2"/>
      <c r="E8" s="2"/>
      <c r="M8">
        <f t="shared" ref="M8:AA8" si="3">IF($M$5=2,INDEX(Tab_R2,1,M$7),IF($M$5=3,INDEX(Tab_R3,1,M$7),INDEX(Tab_R4,1,M$7)))</f>
        <v>90</v>
      </c>
      <c r="N8">
        <f t="shared" si="3"/>
        <v>80</v>
      </c>
      <c r="O8">
        <f t="shared" si="3"/>
        <v>70</v>
      </c>
      <c r="P8">
        <f t="shared" si="3"/>
        <v>60</v>
      </c>
      <c r="Q8">
        <f t="shared" si="3"/>
        <v>55</v>
      </c>
      <c r="R8">
        <f t="shared" si="3"/>
        <v>45</v>
      </c>
      <c r="S8">
        <f t="shared" si="3"/>
        <v>40</v>
      </c>
      <c r="T8">
        <f t="shared" si="3"/>
        <v>35</v>
      </c>
      <c r="U8">
        <f t="shared" si="3"/>
        <v>30</v>
      </c>
      <c r="V8">
        <f t="shared" si="3"/>
        <v>25</v>
      </c>
      <c r="W8">
        <f t="shared" si="3"/>
        <v>22</v>
      </c>
      <c r="X8" t="e">
        <f t="shared" si="3"/>
        <v>#REF!</v>
      </c>
      <c r="Y8" t="e">
        <f t="shared" si="3"/>
        <v>#REF!</v>
      </c>
      <c r="Z8" t="e">
        <f t="shared" si="3"/>
        <v>#REF!</v>
      </c>
      <c r="AA8" t="e">
        <f t="shared" si="3"/>
        <v>#REF!</v>
      </c>
    </row>
    <row r="9" spans="2:27" x14ac:dyDescent="0.25">
      <c r="B9" s="2" t="s">
        <v>15</v>
      </c>
      <c r="C9" t="s">
        <v>18</v>
      </c>
      <c r="D9" s="15" t="s">
        <v>14</v>
      </c>
      <c r="E9" t="s">
        <v>45</v>
      </c>
      <c r="F9" s="15" t="s">
        <v>47</v>
      </c>
      <c r="G9" t="s">
        <v>46</v>
      </c>
      <c r="M9">
        <f t="shared" ref="M9:AA9" si="4">IF($M$5=2,INDEX(Tab_R2,2,M$7),IF($M$5=3,INDEX(Tab_R3,2,M$7),INDEX(Tab_R4,2,M$7)))</f>
        <v>70</v>
      </c>
      <c r="N9">
        <f t="shared" si="4"/>
        <v>60</v>
      </c>
      <c r="O9">
        <f t="shared" si="4"/>
        <v>55</v>
      </c>
      <c r="P9">
        <f t="shared" si="4"/>
        <v>45</v>
      </c>
      <c r="Q9">
        <f t="shared" si="4"/>
        <v>40</v>
      </c>
      <c r="R9">
        <f t="shared" si="4"/>
        <v>35</v>
      </c>
      <c r="S9">
        <f t="shared" si="4"/>
        <v>30</v>
      </c>
      <c r="T9">
        <f t="shared" si="4"/>
        <v>25</v>
      </c>
      <c r="U9">
        <f t="shared" si="4"/>
        <v>22</v>
      </c>
      <c r="V9">
        <f t="shared" si="4"/>
        <v>18</v>
      </c>
      <c r="W9">
        <f t="shared" si="4"/>
        <v>16</v>
      </c>
      <c r="X9" t="e">
        <f t="shared" si="4"/>
        <v>#REF!</v>
      </c>
      <c r="Y9" t="e">
        <f t="shared" si="4"/>
        <v>#REF!</v>
      </c>
      <c r="Z9" t="e">
        <f t="shared" si="4"/>
        <v>#REF!</v>
      </c>
      <c r="AA9" t="e">
        <f t="shared" si="4"/>
        <v>#REF!</v>
      </c>
    </row>
    <row r="10" spans="2:27" x14ac:dyDescent="0.25">
      <c r="C10">
        <v>1</v>
      </c>
      <c r="D10" s="15">
        <f>G7</f>
        <v>80</v>
      </c>
      <c r="E10">
        <f>'Physique Nylon'!$D$1*PI()*(POWER(((D10/2)/(100 * 1000)),2)) * 1000</f>
        <v>0.57302650001477828</v>
      </c>
      <c r="F10" s="15">
        <f>G10</f>
        <v>0</v>
      </c>
      <c r="G10">
        <f t="shared" ref="G10:G17" si="5">($R$21-E10)*$R$22/$R$21</f>
        <v>0</v>
      </c>
      <c r="H10" s="15">
        <f>I10</f>
        <v>0</v>
      </c>
      <c r="I10">
        <f>(E10-$U$53)/$U$52</f>
        <v>0</v>
      </c>
    </row>
    <row r="11" spans="2:27" x14ac:dyDescent="0.25">
      <c r="C11">
        <v>2</v>
      </c>
      <c r="D11" s="15">
        <f t="shared" ref="D11:D17" si="6">IF(ISNUMBER(HLOOKUP(D10,$M$8:$Z$9,2,FALSE)),HLOOKUP(D10,$M$8:$Z$9,2,FALSE),0)</f>
        <v>60</v>
      </c>
      <c r="E11">
        <f>'Physique Nylon'!$D$1*PI()*(POWER(((D11/2)/(100 * 1000)),2)) * 1000</f>
        <v>0.32232740625831269</v>
      </c>
      <c r="F11" s="15">
        <f t="shared" ref="F11:H17" si="7">G11-G10</f>
        <v>1.3125000000000004</v>
      </c>
      <c r="G11">
        <f t="shared" si="5"/>
        <v>1.3125000000000004</v>
      </c>
      <c r="H11" s="15">
        <f t="shared" si="7"/>
        <v>1.3824884792626735</v>
      </c>
      <c r="I11">
        <f t="shared" ref="I11:I15" si="8">(E11-$U$53)/$U$52</f>
        <v>1.3824884792626735</v>
      </c>
      <c r="L11" t="s">
        <v>27</v>
      </c>
      <c r="M11">
        <f>E4*0.8</f>
        <v>64</v>
      </c>
    </row>
    <row r="12" spans="2:27" x14ac:dyDescent="0.25">
      <c r="C12">
        <v>3</v>
      </c>
      <c r="D12" s="15">
        <f t="shared" si="6"/>
        <v>45</v>
      </c>
      <c r="E12">
        <f>'Physique Nylon'!$D$1*PI()*(POWER(((D12/2)/(100 * 1000)),2)) * 1000</f>
        <v>0.18130916602030095</v>
      </c>
      <c r="F12" s="15">
        <f t="shared" si="7"/>
        <v>0.73828124999999956</v>
      </c>
      <c r="G12">
        <f t="shared" si="5"/>
        <v>2.05078125</v>
      </c>
      <c r="H12" s="15">
        <f t="shared" si="7"/>
        <v>0.77764976958525311</v>
      </c>
      <c r="I12">
        <f t="shared" si="8"/>
        <v>2.1601382488479266</v>
      </c>
      <c r="L12" t="s">
        <v>28</v>
      </c>
      <c r="M12">
        <f>MATCH(M11,M8:AA8,-1)</f>
        <v>3</v>
      </c>
      <c r="N12">
        <f>M12-1</f>
        <v>2</v>
      </c>
      <c r="O12">
        <f>INDEX(Tab_R3,1,Saisie!M12)</f>
        <v>70</v>
      </c>
      <c r="P12">
        <f>INDEX(Tab_R3,1,Saisie!N12)</f>
        <v>80</v>
      </c>
    </row>
    <row r="13" spans="2:27" x14ac:dyDescent="0.25">
      <c r="C13">
        <v>4</v>
      </c>
      <c r="D13" s="15">
        <f t="shared" si="6"/>
        <v>35</v>
      </c>
      <c r="E13">
        <f>'Physique Nylon'!$D$1*PI()*(POWER(((D13/2)/(100 * 1000)),2)) * 1000</f>
        <v>0.10968085351845365</v>
      </c>
      <c r="F13" s="15">
        <f t="shared" si="7"/>
        <v>0.375</v>
      </c>
      <c r="G13">
        <f t="shared" si="5"/>
        <v>2.42578125</v>
      </c>
      <c r="H13" s="15">
        <f t="shared" si="7"/>
        <v>0.39499670836076373</v>
      </c>
      <c r="I13">
        <f t="shared" si="8"/>
        <v>2.5551349572086903</v>
      </c>
      <c r="L13" t="s">
        <v>29</v>
      </c>
      <c r="M13">
        <f>IF(ABS(P12-M11)&lt;ABS(O12-M11),P12,O12)</f>
        <v>70</v>
      </c>
    </row>
    <row r="14" spans="2:27" x14ac:dyDescent="0.25">
      <c r="C14">
        <v>5</v>
      </c>
      <c r="D14" s="15">
        <f t="shared" si="6"/>
        <v>25</v>
      </c>
      <c r="E14">
        <f>'Physique Nylon'!$D$1*PI()*(POWER(((D14/2)/(100 * 1000)),2)) * 1000</f>
        <v>5.5959619142068193E-2</v>
      </c>
      <c r="F14" s="15">
        <f t="shared" si="7"/>
        <v>0.28125</v>
      </c>
      <c r="G14">
        <f t="shared" si="5"/>
        <v>2.70703125</v>
      </c>
      <c r="H14" s="15">
        <f t="shared" si="7"/>
        <v>0.29624753127057302</v>
      </c>
      <c r="I14">
        <f>(E14-$U$53)/$U$52</f>
        <v>2.8513824884792633</v>
      </c>
    </row>
    <row r="15" spans="2:27" x14ac:dyDescent="0.25">
      <c r="C15">
        <v>6</v>
      </c>
      <c r="D15" s="15">
        <f t="shared" si="6"/>
        <v>18</v>
      </c>
      <c r="E15">
        <f>'Physique Nylon'!$D$1*PI()*(POWER(((D15/2)/(100 * 1000)),2)) * 1000</f>
        <v>2.9009466563248158E-2</v>
      </c>
      <c r="F15" s="15">
        <f t="shared" si="7"/>
        <v>0.14109374999999957</v>
      </c>
      <c r="G15">
        <f t="shared" si="5"/>
        <v>2.8481249999999996</v>
      </c>
      <c r="H15" s="15">
        <f t="shared" si="7"/>
        <v>0.14861751152073666</v>
      </c>
      <c r="I15">
        <f t="shared" si="8"/>
        <v>3</v>
      </c>
    </row>
    <row r="16" spans="2:27" x14ac:dyDescent="0.25">
      <c r="C16">
        <v>7</v>
      </c>
      <c r="D16" s="15">
        <f t="shared" si="6"/>
        <v>0</v>
      </c>
      <c r="E16">
        <f>'Physique Nylon'!$D$1*PI()*(POWER(((D16/2)/(100 * 1000)),2)) * 1000</f>
        <v>0</v>
      </c>
      <c r="F16" s="15">
        <f t="shared" si="7"/>
        <v>0.15187500000000043</v>
      </c>
      <c r="G16">
        <f t="shared" si="5"/>
        <v>3</v>
      </c>
      <c r="H16" s="15">
        <f t="shared" si="7"/>
        <v>-3</v>
      </c>
      <c r="L16" t="s">
        <v>31</v>
      </c>
      <c r="N16" t="s">
        <v>32</v>
      </c>
    </row>
    <row r="17" spans="3:22" x14ac:dyDescent="0.25">
      <c r="C17">
        <v>8</v>
      </c>
      <c r="D17" s="15">
        <f t="shared" si="6"/>
        <v>0</v>
      </c>
      <c r="E17">
        <f>'Physique Nylon'!$D$1*PI()*(POWER(((D17/2)/(100 * 1000)),2)) * 1000</f>
        <v>0</v>
      </c>
      <c r="F17" s="15">
        <f t="shared" si="7"/>
        <v>0</v>
      </c>
      <c r="G17">
        <f t="shared" si="5"/>
        <v>3</v>
      </c>
      <c r="H17" s="15">
        <f t="shared" si="7"/>
        <v>0</v>
      </c>
      <c r="L17" t="s">
        <v>33</v>
      </c>
    </row>
    <row r="18" spans="3:22" x14ac:dyDescent="0.25">
      <c r="D18" t="s">
        <v>40</v>
      </c>
      <c r="E18">
        <f>SUM(E10:E15)</f>
        <v>1.2713130115171618</v>
      </c>
    </row>
    <row r="19" spans="3:22" x14ac:dyDescent="0.25">
      <c r="L19" t="s">
        <v>34</v>
      </c>
      <c r="N19" t="s">
        <v>35</v>
      </c>
    </row>
    <row r="20" spans="3:22" x14ac:dyDescent="0.25">
      <c r="N20" t="s">
        <v>36</v>
      </c>
    </row>
    <row r="21" spans="3:22" x14ac:dyDescent="0.25">
      <c r="P21">
        <f>D10</f>
        <v>80</v>
      </c>
      <c r="Q21" s="1" t="s">
        <v>37</v>
      </c>
      <c r="R21">
        <f>VLOOKUP(P21,'Physique Nylon'!C6:D31,2,FALSE)</f>
        <v>0.57302650001477828</v>
      </c>
      <c r="S21" t="s">
        <v>38</v>
      </c>
    </row>
    <row r="22" spans="3:22" x14ac:dyDescent="0.25">
      <c r="P22" t="s">
        <v>13</v>
      </c>
      <c r="R22">
        <f>E6</f>
        <v>3</v>
      </c>
      <c r="S22" t="s">
        <v>2</v>
      </c>
    </row>
    <row r="24" spans="3:22" x14ac:dyDescent="0.25">
      <c r="O24" s="1" t="s">
        <v>39</v>
      </c>
      <c r="Q24" t="str">
        <f>CONCATENATE("x = (", R21, "- taille brin ) * ", R22/R21)</f>
        <v>x = (0.573026500014778- taille brin ) * 5.23535997012814</v>
      </c>
    </row>
    <row r="26" spans="3:22" ht="30" x14ac:dyDescent="0.25">
      <c r="O26" t="s">
        <v>42</v>
      </c>
      <c r="P26" t="s">
        <v>41</v>
      </c>
      <c r="R26" s="14" t="s">
        <v>44</v>
      </c>
      <c r="S26" s="14" t="s">
        <v>43</v>
      </c>
      <c r="T26" t="s">
        <v>42</v>
      </c>
      <c r="V26" s="14"/>
    </row>
    <row r="27" spans="3:22" x14ac:dyDescent="0.25">
      <c r="O27">
        <v>0</v>
      </c>
      <c r="P27">
        <f>$R$21-O27*($R$21/$R$22)</f>
        <v>0.57302650001477828</v>
      </c>
      <c r="R27">
        <v>0</v>
      </c>
      <c r="S27">
        <f>'Physique Nylon'!$D$1*PI()*(POWER(((R27/2)/(100 * 1000)),2)) * 1000</f>
        <v>0</v>
      </c>
      <c r="T27">
        <f>($R$21-S27)*$R$22/$R$21</f>
        <v>3</v>
      </c>
    </row>
    <row r="28" spans="3:22" x14ac:dyDescent="0.25">
      <c r="O28">
        <f>O29/2</f>
        <v>1.5</v>
      </c>
      <c r="P28">
        <f t="shared" ref="P28:P29" si="9">$R$21-O28*($R$21/$R$22)</f>
        <v>0.28651325000738914</v>
      </c>
      <c r="R28">
        <v>30</v>
      </c>
      <c r="S28">
        <f>'Physique Nylon'!$D$1*PI()*(POWER(((R28/2)/(100 * 1000)),2)) * 1000</f>
        <v>8.0581851564578172E-2</v>
      </c>
      <c r="T28">
        <f>($R$21-S28)*$R$22/$R$21</f>
        <v>2.578125</v>
      </c>
    </row>
    <row r="29" spans="3:22" x14ac:dyDescent="0.25">
      <c r="O29">
        <f>R22</f>
        <v>3</v>
      </c>
      <c r="P29">
        <f t="shared" si="9"/>
        <v>0</v>
      </c>
      <c r="R29">
        <v>80</v>
      </c>
      <c r="S29">
        <f>'Physique Nylon'!$D$1*PI()*(POWER(((R29/2)/(100 * 1000)),2)) * 1000</f>
        <v>0.57302650001477828</v>
      </c>
      <c r="T29">
        <f>($R$21-S29)*$R$22/$R$21</f>
        <v>0</v>
      </c>
    </row>
    <row r="48" spans="14:19" x14ac:dyDescent="0.25">
      <c r="N48" t="s">
        <v>48</v>
      </c>
      <c r="R48" t="s">
        <v>41</v>
      </c>
      <c r="S48" t="s">
        <v>42</v>
      </c>
    </row>
    <row r="49" spans="14:21" x14ac:dyDescent="0.25">
      <c r="R49">
        <f>E10</f>
        <v>0.57302650001477828</v>
      </c>
      <c r="S49">
        <v>0</v>
      </c>
    </row>
    <row r="50" spans="14:21" x14ac:dyDescent="0.25">
      <c r="N50" t="s">
        <v>49</v>
      </c>
      <c r="O50" t="s">
        <v>51</v>
      </c>
      <c r="R50">
        <f>E15</f>
        <v>2.9009466563248158E-2</v>
      </c>
      <c r="S50">
        <v>3</v>
      </c>
    </row>
    <row r="51" spans="14:21" x14ac:dyDescent="0.25">
      <c r="N51" t="s">
        <v>50</v>
      </c>
    </row>
    <row r="52" spans="14:21" x14ac:dyDescent="0.25">
      <c r="O52" t="s">
        <v>52</v>
      </c>
      <c r="T52" t="s">
        <v>53</v>
      </c>
      <c r="U52">
        <f>(R49-R50)/(S49-S50)</f>
        <v>-0.18133901115051002</v>
      </c>
    </row>
    <row r="53" spans="14:21" x14ac:dyDescent="0.25">
      <c r="T53" t="s">
        <v>54</v>
      </c>
      <c r="U53">
        <f>R49</f>
        <v>0.57302650001477828</v>
      </c>
    </row>
    <row r="56" spans="14:21" x14ac:dyDescent="0.25">
      <c r="N56" t="s">
        <v>55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Constantes!$B$2:$B$4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4"/>
  <sheetViews>
    <sheetView topLeftCell="A7" zoomScale="90" zoomScaleNormal="90" workbookViewId="0">
      <selection activeCell="D31" sqref="D31"/>
    </sheetView>
  </sheetViews>
  <sheetFormatPr defaultRowHeight="15" x14ac:dyDescent="0.25"/>
  <cols>
    <col min="1" max="2" width="9.140625" style="2"/>
    <col min="3" max="3" width="22.85546875" style="2" customWidth="1"/>
    <col min="4" max="4" width="13.7109375" style="2" bestFit="1" customWidth="1"/>
    <col min="5" max="8" width="9.140625" style="2"/>
    <col min="9" max="9" width="33.5703125" style="2" customWidth="1"/>
    <col min="10" max="16384" width="9.140625" style="2"/>
  </cols>
  <sheetData>
    <row r="1" spans="2:23" x14ac:dyDescent="0.25">
      <c r="B1" s="2" t="s">
        <v>16</v>
      </c>
      <c r="D1" s="9">
        <v>1140</v>
      </c>
      <c r="E1" s="2" t="s">
        <v>0</v>
      </c>
    </row>
    <row r="2" spans="2:23" x14ac:dyDescent="0.25">
      <c r="E2" s="3"/>
      <c r="F2" s="3"/>
    </row>
    <row r="4" spans="2:23" x14ac:dyDescent="0.25">
      <c r="B4" s="10" t="s">
        <v>3</v>
      </c>
      <c r="C4" s="11"/>
      <c r="D4" s="11"/>
      <c r="I4" s="12" t="s">
        <v>19</v>
      </c>
    </row>
    <row r="5" spans="2:23" x14ac:dyDescent="0.25">
      <c r="C5" s="4" t="s">
        <v>4</v>
      </c>
      <c r="D5" s="4" t="s">
        <v>7</v>
      </c>
      <c r="I5" s="13" t="s">
        <v>20</v>
      </c>
    </row>
    <row r="6" spans="2:23" x14ac:dyDescent="0.25">
      <c r="C6" s="5">
        <v>100</v>
      </c>
      <c r="D6" s="5">
        <f>$D$1*PI()*(POWER(((C6/2)/(100 * 1000)),2)) * 1000</f>
        <v>0.89535390627309108</v>
      </c>
      <c r="I6" s="4" t="s">
        <v>21</v>
      </c>
      <c r="J6" s="4">
        <v>90</v>
      </c>
      <c r="K6" s="4">
        <v>80</v>
      </c>
      <c r="L6" s="4">
        <v>75</v>
      </c>
      <c r="M6" s="4">
        <v>70</v>
      </c>
      <c r="N6" s="4">
        <v>65</v>
      </c>
      <c r="O6" s="4">
        <v>60</v>
      </c>
      <c r="P6" s="4">
        <v>55</v>
      </c>
      <c r="Q6" s="4">
        <v>50</v>
      </c>
      <c r="R6" s="4">
        <v>45</v>
      </c>
      <c r="S6" s="4">
        <v>40</v>
      </c>
      <c r="T6" s="4">
        <v>35</v>
      </c>
      <c r="U6" s="4">
        <v>30</v>
      </c>
      <c r="V6" s="4">
        <v>25</v>
      </c>
      <c r="W6" s="4">
        <v>20</v>
      </c>
    </row>
    <row r="7" spans="2:23" x14ac:dyDescent="0.25">
      <c r="C7" s="5">
        <v>90</v>
      </c>
      <c r="D7" s="5">
        <f t="shared" ref="D7:D31" si="0">$D$1*PI()*(POWER(((C7/2)/(100 * 1000)),2)) * 1000</f>
        <v>0.7252366640812038</v>
      </c>
      <c r="I7" s="4" t="s">
        <v>22</v>
      </c>
      <c r="J7" s="4">
        <v>75</v>
      </c>
      <c r="K7" s="4">
        <v>70</v>
      </c>
      <c r="L7" s="4">
        <v>65</v>
      </c>
      <c r="M7" s="4">
        <v>60</v>
      </c>
      <c r="N7" s="4">
        <v>55</v>
      </c>
      <c r="O7" s="4">
        <v>50</v>
      </c>
      <c r="P7" s="4">
        <v>45</v>
      </c>
      <c r="Q7" s="4">
        <v>40</v>
      </c>
      <c r="R7" s="4">
        <v>40</v>
      </c>
      <c r="S7" s="4">
        <v>35</v>
      </c>
      <c r="T7" s="4">
        <v>30</v>
      </c>
      <c r="U7" s="4">
        <v>25</v>
      </c>
      <c r="V7" s="4">
        <v>20</v>
      </c>
      <c r="W7" s="4">
        <v>16</v>
      </c>
    </row>
    <row r="8" spans="2:23" x14ac:dyDescent="0.25">
      <c r="C8" s="5">
        <v>85</v>
      </c>
      <c r="D8" s="5">
        <f t="shared" si="0"/>
        <v>0.64689319728230832</v>
      </c>
    </row>
    <row r="9" spans="2:23" x14ac:dyDescent="0.25">
      <c r="C9" s="5">
        <v>80</v>
      </c>
      <c r="D9" s="5">
        <f t="shared" si="0"/>
        <v>0.57302650001477828</v>
      </c>
      <c r="I9" s="13" t="s">
        <v>23</v>
      </c>
    </row>
    <row r="10" spans="2:23" x14ac:dyDescent="0.25">
      <c r="C10" s="5">
        <v>75</v>
      </c>
      <c r="D10" s="5">
        <f t="shared" si="0"/>
        <v>0.50363657227861369</v>
      </c>
      <c r="I10" s="4" t="s">
        <v>21</v>
      </c>
      <c r="J10" s="4">
        <v>90</v>
      </c>
      <c r="K10" s="4">
        <v>80</v>
      </c>
      <c r="L10" s="4">
        <v>70</v>
      </c>
      <c r="M10" s="4">
        <v>60</v>
      </c>
      <c r="N10" s="4">
        <v>55</v>
      </c>
      <c r="O10" s="4">
        <v>45</v>
      </c>
      <c r="P10" s="4">
        <v>40</v>
      </c>
      <c r="Q10" s="4">
        <v>35</v>
      </c>
      <c r="R10" s="4">
        <v>30</v>
      </c>
      <c r="S10" s="4">
        <v>25</v>
      </c>
      <c r="T10" s="4">
        <v>22</v>
      </c>
    </row>
    <row r="11" spans="2:23" x14ac:dyDescent="0.25">
      <c r="C11" s="5">
        <v>70</v>
      </c>
      <c r="D11" s="5">
        <f t="shared" si="0"/>
        <v>0.4387234140738146</v>
      </c>
      <c r="I11" s="4" t="s">
        <v>24</v>
      </c>
      <c r="J11" s="4">
        <v>70</v>
      </c>
      <c r="K11" s="4">
        <v>60</v>
      </c>
      <c r="L11" s="4">
        <v>55</v>
      </c>
      <c r="M11" s="4">
        <v>45</v>
      </c>
      <c r="N11" s="4">
        <v>40</v>
      </c>
      <c r="O11" s="4">
        <v>35</v>
      </c>
      <c r="P11" s="4">
        <v>30</v>
      </c>
      <c r="Q11" s="4">
        <v>25</v>
      </c>
      <c r="R11" s="4">
        <v>22</v>
      </c>
      <c r="S11" s="4">
        <v>18</v>
      </c>
      <c r="T11" s="4">
        <v>16</v>
      </c>
    </row>
    <row r="12" spans="2:23" x14ac:dyDescent="0.25">
      <c r="C12" s="5">
        <v>65</v>
      </c>
      <c r="D12" s="5">
        <f t="shared" si="0"/>
        <v>0.37828702540038095</v>
      </c>
    </row>
    <row r="13" spans="2:23" x14ac:dyDescent="0.25">
      <c r="C13" s="5">
        <v>60</v>
      </c>
      <c r="D13" s="5">
        <f t="shared" si="0"/>
        <v>0.32232740625831269</v>
      </c>
      <c r="I13" s="13" t="s">
        <v>25</v>
      </c>
    </row>
    <row r="14" spans="2:23" x14ac:dyDescent="0.25">
      <c r="C14" s="5">
        <v>55</v>
      </c>
      <c r="D14" s="5">
        <f t="shared" si="0"/>
        <v>0.27084455664761009</v>
      </c>
      <c r="I14" s="4" t="s">
        <v>21</v>
      </c>
      <c r="J14" s="4">
        <v>90</v>
      </c>
      <c r="K14" s="4">
        <v>80</v>
      </c>
      <c r="L14" s="4">
        <v>70</v>
      </c>
      <c r="M14" s="4">
        <v>65</v>
      </c>
      <c r="N14" s="4">
        <v>60</v>
      </c>
      <c r="O14" s="4">
        <v>55</v>
      </c>
      <c r="P14" s="4">
        <v>50</v>
      </c>
      <c r="Q14" s="4">
        <v>45</v>
      </c>
      <c r="R14" s="4">
        <v>40</v>
      </c>
      <c r="S14" s="4">
        <v>35</v>
      </c>
      <c r="T14" s="4">
        <v>30</v>
      </c>
      <c r="U14" s="4">
        <v>28</v>
      </c>
      <c r="V14" s="4">
        <v>25</v>
      </c>
      <c r="W14" s="4">
        <v>20</v>
      </c>
    </row>
    <row r="15" spans="2:23" x14ac:dyDescent="0.25">
      <c r="C15" s="5">
        <v>50</v>
      </c>
      <c r="D15" s="5">
        <f t="shared" si="0"/>
        <v>0.22383847656827277</v>
      </c>
      <c r="I15" s="4" t="s">
        <v>26</v>
      </c>
      <c r="J15" s="4">
        <v>65</v>
      </c>
      <c r="K15" s="4">
        <v>55</v>
      </c>
      <c r="L15" s="4">
        <v>50</v>
      </c>
      <c r="M15" s="4">
        <v>45</v>
      </c>
      <c r="N15" s="4">
        <v>40</v>
      </c>
      <c r="O15" s="4">
        <v>40</v>
      </c>
      <c r="P15" s="4">
        <v>35</v>
      </c>
      <c r="Q15" s="4">
        <v>30</v>
      </c>
      <c r="R15" s="4">
        <v>28</v>
      </c>
      <c r="S15" s="4">
        <v>25</v>
      </c>
      <c r="T15" s="4">
        <v>20</v>
      </c>
      <c r="U15" s="4">
        <v>20</v>
      </c>
      <c r="V15" s="4">
        <v>18</v>
      </c>
      <c r="W15" s="4">
        <v>14</v>
      </c>
    </row>
    <row r="16" spans="2:23" x14ac:dyDescent="0.25">
      <c r="C16" s="5">
        <v>45</v>
      </c>
      <c r="D16" s="5">
        <f t="shared" si="0"/>
        <v>0.18130916602030095</v>
      </c>
    </row>
    <row r="17" spans="3:23" x14ac:dyDescent="0.25">
      <c r="C17" s="5">
        <v>40</v>
      </c>
      <c r="D17" s="5">
        <f t="shared" si="0"/>
        <v>0.14325662500369457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3:23" x14ac:dyDescent="0.25">
      <c r="C18" s="5">
        <v>35</v>
      </c>
      <c r="D18" s="5">
        <f t="shared" si="0"/>
        <v>0.10968085351845365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3:23" x14ac:dyDescent="0.25">
      <c r="C19" s="5">
        <v>30</v>
      </c>
      <c r="D19" s="5">
        <f t="shared" si="0"/>
        <v>8.0581851564578172E-2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3:23" x14ac:dyDescent="0.25">
      <c r="C20" s="5">
        <v>28</v>
      </c>
      <c r="D20" s="5">
        <f t="shared" si="0"/>
        <v>7.019574625181034E-2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3:23" x14ac:dyDescent="0.25">
      <c r="C21" s="5">
        <v>26</v>
      </c>
      <c r="D21" s="5">
        <f t="shared" si="0"/>
        <v>6.0525924064060939E-2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3:23" x14ac:dyDescent="0.25">
      <c r="C22" s="5">
        <v>25</v>
      </c>
      <c r="D22" s="5">
        <f t="shared" si="0"/>
        <v>5.5959619142068193E-2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3:23" x14ac:dyDescent="0.25">
      <c r="C23" s="5">
        <v>25</v>
      </c>
      <c r="D23" s="5">
        <f t="shared" si="0"/>
        <v>5.5959619142068193E-2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3:23" x14ac:dyDescent="0.25">
      <c r="C24" s="5">
        <v>22</v>
      </c>
      <c r="D24" s="5">
        <f t="shared" si="0"/>
        <v>4.3335129063617611E-2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3:23" x14ac:dyDescent="0.25">
      <c r="C25" s="5">
        <v>20</v>
      </c>
      <c r="D25" s="5">
        <f t="shared" si="0"/>
        <v>3.5814156250923643E-2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3:23" x14ac:dyDescent="0.25">
      <c r="C26" s="5">
        <v>18</v>
      </c>
      <c r="D26" s="5">
        <f t="shared" si="0"/>
        <v>2.9009466563248158E-2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3:23" x14ac:dyDescent="0.25">
      <c r="C27" s="5">
        <v>16</v>
      </c>
      <c r="D27" s="5">
        <f t="shared" si="0"/>
        <v>2.2921060000591135E-2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3:23" x14ac:dyDescent="0.25">
      <c r="C28" s="5">
        <v>14</v>
      </c>
      <c r="D28" s="5">
        <f t="shared" si="0"/>
        <v>1.7548936562952585E-2</v>
      </c>
    </row>
    <row r="29" spans="3:23" x14ac:dyDescent="0.25">
      <c r="C29" s="5">
        <v>12</v>
      </c>
      <c r="D29" s="5">
        <f t="shared" si="0"/>
        <v>1.2893096250332511E-2</v>
      </c>
    </row>
    <row r="30" spans="3:23" x14ac:dyDescent="0.25">
      <c r="C30" s="5">
        <v>10</v>
      </c>
      <c r="D30" s="5">
        <f t="shared" si="0"/>
        <v>8.9535390627309107E-3</v>
      </c>
    </row>
    <row r="31" spans="3:23" x14ac:dyDescent="0.25">
      <c r="C31" s="5">
        <v>8</v>
      </c>
      <c r="D31" s="5">
        <f t="shared" si="0"/>
        <v>5.7302650001477837E-3</v>
      </c>
    </row>
    <row r="34" spans="2:24" x14ac:dyDescent="0.25">
      <c r="B34"/>
      <c r="C34"/>
      <c r="D34"/>
      <c r="E34"/>
      <c r="F34"/>
      <c r="G34"/>
      <c r="H34"/>
      <c r="X34"/>
    </row>
    <row r="35" spans="2:24" x14ac:dyDescent="0.25">
      <c r="B35"/>
      <c r="C35"/>
      <c r="D35"/>
      <c r="E35"/>
      <c r="F35"/>
      <c r="G35"/>
      <c r="H35"/>
      <c r="X35"/>
    </row>
    <row r="36" spans="2:24" x14ac:dyDescent="0.25">
      <c r="B36"/>
      <c r="C36"/>
      <c r="D36"/>
      <c r="E36"/>
      <c r="F36"/>
      <c r="G36"/>
      <c r="H36"/>
      <c r="X36"/>
    </row>
    <row r="37" spans="2:24" x14ac:dyDescent="0.25">
      <c r="B37"/>
      <c r="C37"/>
      <c r="D37"/>
      <c r="E37"/>
      <c r="F37"/>
      <c r="G37"/>
      <c r="H37"/>
      <c r="X37"/>
    </row>
    <row r="38" spans="2:24" x14ac:dyDescent="0.25">
      <c r="B38"/>
      <c r="C38"/>
      <c r="D38"/>
      <c r="E38"/>
      <c r="F38"/>
      <c r="G38"/>
      <c r="H38"/>
      <c r="X38"/>
    </row>
    <row r="39" spans="2:24" x14ac:dyDescent="0.25">
      <c r="B39"/>
      <c r="C39"/>
      <c r="D39"/>
      <c r="E39"/>
      <c r="F39"/>
      <c r="G39"/>
      <c r="H39"/>
      <c r="X39"/>
    </row>
    <row r="40" spans="2:24" x14ac:dyDescent="0.25">
      <c r="B40"/>
      <c r="C40"/>
      <c r="D40"/>
      <c r="E40"/>
      <c r="F40"/>
      <c r="G40"/>
      <c r="H40"/>
      <c r="X40"/>
    </row>
    <row r="41" spans="2:24" x14ac:dyDescent="0.25">
      <c r="B41"/>
      <c r="C41"/>
      <c r="D41"/>
      <c r="E41"/>
      <c r="F41"/>
      <c r="G41"/>
      <c r="H41"/>
      <c r="X41"/>
    </row>
    <row r="42" spans="2:24" x14ac:dyDescent="0.25">
      <c r="B42"/>
      <c r="C42"/>
      <c r="D42"/>
      <c r="E42"/>
      <c r="F42"/>
      <c r="G42"/>
      <c r="H42"/>
      <c r="X42"/>
    </row>
    <row r="43" spans="2:24" x14ac:dyDescent="0.25">
      <c r="B43"/>
      <c r="C43"/>
      <c r="D43"/>
      <c r="E43"/>
      <c r="F43"/>
      <c r="G43"/>
      <c r="H43"/>
      <c r="X43"/>
    </row>
    <row r="44" spans="2:24" x14ac:dyDescent="0.25">
      <c r="B44"/>
      <c r="C44"/>
      <c r="D44"/>
      <c r="E44"/>
      <c r="F44"/>
      <c r="G44"/>
      <c r="H44"/>
      <c r="X44"/>
    </row>
  </sheetData>
  <sortState ref="X6:Z19">
    <sortCondition descending="1" ref="X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2" sqref="C2"/>
    </sheetView>
  </sheetViews>
  <sheetFormatPr defaultRowHeight="15" x14ac:dyDescent="0.25"/>
  <cols>
    <col min="4" max="4" width="19.7109375" customWidth="1"/>
    <col min="9" max="9" width="14.85546875" bestFit="1" customWidth="1"/>
  </cols>
  <sheetData>
    <row r="1" spans="2:3" x14ac:dyDescent="0.25">
      <c r="B1" t="s">
        <v>17</v>
      </c>
    </row>
    <row r="2" spans="2:3" x14ac:dyDescent="0.25">
      <c r="B2" s="2" t="s">
        <v>5</v>
      </c>
      <c r="C2" s="2">
        <v>2</v>
      </c>
    </row>
    <row r="3" spans="2:3" x14ac:dyDescent="0.25">
      <c r="B3" s="2" t="s">
        <v>6</v>
      </c>
      <c r="C3" s="2">
        <v>3</v>
      </c>
    </row>
    <row r="4" spans="2:3" x14ac:dyDescent="0.25">
      <c r="B4" s="2" t="s">
        <v>8</v>
      </c>
      <c r="C4" s="2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I16"/>
  <sheetViews>
    <sheetView workbookViewId="0">
      <selection activeCell="H12" sqref="H12:J16"/>
    </sheetView>
  </sheetViews>
  <sheetFormatPr defaultRowHeight="15" x14ac:dyDescent="0.25"/>
  <sheetData>
    <row r="12" spans="8:9" x14ac:dyDescent="0.25">
      <c r="H12" t="s">
        <v>48</v>
      </c>
    </row>
    <row r="14" spans="8:9" x14ac:dyDescent="0.25">
      <c r="H14" t="s">
        <v>49</v>
      </c>
      <c r="I14" t="s">
        <v>51</v>
      </c>
    </row>
    <row r="15" spans="8:9" x14ac:dyDescent="0.25">
      <c r="H15" t="s">
        <v>50</v>
      </c>
    </row>
    <row r="16" spans="8:9" x14ac:dyDescent="0.25">
      <c r="I1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Saisie</vt:lpstr>
      <vt:lpstr>Physique Nylon</vt:lpstr>
      <vt:lpstr>Constantes</vt:lpstr>
      <vt:lpstr>Sheet1</vt:lpstr>
      <vt:lpstr>Tab_R2</vt:lpstr>
      <vt:lpstr>Tab_R3</vt:lpstr>
      <vt:lpstr>Tab_R4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FAGES Pierre</dc:creator>
  <cp:lastModifiedBy>FAGES Pierre</cp:lastModifiedBy>
  <dcterms:created xsi:type="dcterms:W3CDTF">2022-12-12T14:40:39Z</dcterms:created>
  <dcterms:modified xsi:type="dcterms:W3CDTF">2022-12-13T22:26:55Z</dcterms:modified>
</cp:coreProperties>
</file>