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it\github\NavAstro\NavAstro\XLS\"/>
    </mc:Choice>
  </mc:AlternateContent>
  <xr:revisionPtr revIDLastSave="0" documentId="13_ncr:1_{C879F5A3-FFEC-4820-B790-6B888FF0844C}" xr6:coauthVersionLast="47" xr6:coauthVersionMax="47" xr10:uidLastSave="{00000000-0000-0000-0000-000000000000}"/>
  <bookViews>
    <workbookView xWindow="-25740" yWindow="945" windowWidth="28800" windowHeight="11505" xr2:uid="{9612CDB1-80A2-4284-83A8-15B09BE8174D}"/>
  </bookViews>
  <sheets>
    <sheet name="Droite hauteur" sheetId="1" r:id="rId1"/>
    <sheet name="Consta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" i="2" l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P6" i="2"/>
  <c r="Q6" i="2" s="1"/>
  <c r="R6" i="2" s="1"/>
  <c r="S6" i="2" s="1"/>
  <c r="T6" i="2" s="1"/>
  <c r="L59" i="1"/>
  <c r="O55" i="1"/>
  <c r="O51" i="1"/>
  <c r="G55" i="1"/>
  <c r="G51" i="1"/>
  <c r="G47" i="1"/>
  <c r="D20" i="2"/>
  <c r="L67" i="1"/>
  <c r="M30" i="1"/>
  <c r="G30" i="1"/>
  <c r="L38" i="1"/>
  <c r="G38" i="1"/>
  <c r="H17" i="1"/>
  <c r="L34" i="1"/>
  <c r="G34" i="1"/>
  <c r="D17" i="1"/>
  <c r="D20" i="1"/>
  <c r="F88" i="1" s="1"/>
  <c r="K13" i="1"/>
  <c r="D88" i="1" s="1"/>
  <c r="AG8" i="1"/>
  <c r="AD8" i="1"/>
  <c r="AA8" i="1"/>
  <c r="Z87" i="1" l="1"/>
  <c r="AD61" i="1"/>
  <c r="AD62" i="1" s="1"/>
  <c r="AD66" i="1"/>
  <c r="AD67" i="1" s="1"/>
  <c r="AJ8" i="1"/>
  <c r="K8" i="1" s="1"/>
  <c r="AA89" i="1" l="1"/>
  <c r="Z89" i="1"/>
  <c r="AA88" i="1"/>
  <c r="Z88" i="1"/>
  <c r="L8" i="1"/>
  <c r="M8" i="1" s="1"/>
  <c r="AC92" i="1" l="1"/>
  <c r="K9" i="1"/>
  <c r="AC93" i="1" l="1"/>
  <c r="Z94" i="1" s="1"/>
  <c r="I88" i="1" s="1"/>
  <c r="O90" i="1" s="1"/>
  <c r="AC94" i="1"/>
  <c r="Z49" i="1"/>
  <c r="AA53" i="1"/>
  <c r="Z53" i="1" s="1"/>
  <c r="AD63" i="1"/>
  <c r="AA63" i="1" s="1"/>
  <c r="I61" i="1" s="1"/>
  <c r="Z80" i="1" s="1"/>
  <c r="AD68" i="1"/>
  <c r="AB68" i="1" s="1"/>
  <c r="AA68" i="1" s="1"/>
  <c r="O89" i="1" l="1"/>
  <c r="P89" i="1"/>
  <c r="Q89" i="1" s="1"/>
  <c r="I65" i="1"/>
  <c r="Y63" i="1"/>
  <c r="L63" i="1" s="1"/>
  <c r="Z63" i="1"/>
  <c r="Y68" i="1"/>
  <c r="Z68" i="1"/>
  <c r="I67" i="1" s="1"/>
  <c r="J67" i="1" s="1"/>
  <c r="K67" i="1" s="1"/>
  <c r="I63" i="1" l="1"/>
  <c r="AA72" i="1"/>
  <c r="Z72" i="1"/>
  <c r="J63" i="1" l="1"/>
  <c r="K63" i="1" s="1"/>
  <c r="F75" i="1"/>
  <c r="AA80" i="1" l="1"/>
  <c r="F97" i="1"/>
  <c r="AB80" i="1"/>
  <c r="F83" i="1" s="1"/>
  <c r="K83" i="1" s="1"/>
  <c r="F74" i="1"/>
  <c r="G74" i="1" s="1"/>
  <c r="I97" i="1" l="1"/>
  <c r="F96" i="1"/>
  <c r="G96" i="1" s="1"/>
  <c r="F82" i="1"/>
  <c r="G82" i="1" s="1"/>
  <c r="H82" i="1" s="1"/>
  <c r="H74" i="1"/>
  <c r="H96" i="1" l="1"/>
</calcChain>
</file>

<file path=xl/sharedStrings.xml><?xml version="1.0" encoding="utf-8"?>
<sst xmlns="http://schemas.openxmlformats.org/spreadsheetml/2006/main" count="207" uniqueCount="83">
  <si>
    <t>a. Par le nautical almanach (par interval horaire)</t>
  </si>
  <si>
    <t>Almanach</t>
  </si>
  <si>
    <t>Date UT</t>
  </si>
  <si>
    <t>H. UT Montre</t>
  </si>
  <si>
    <t xml:space="preserve">h </t>
  </si>
  <si>
    <t>m</t>
  </si>
  <si>
    <t>s</t>
  </si>
  <si>
    <t>Err Montre</t>
  </si>
  <si>
    <t>Chrono</t>
  </si>
  <si>
    <t>H. UT Obs</t>
  </si>
  <si>
    <t>Heure decimale</t>
  </si>
  <si>
    <t>Droite de hauteur (Excel en francais - pb de nom de fonctions)</t>
  </si>
  <si>
    <t>Astre observé</t>
  </si>
  <si>
    <t>Hi</t>
  </si>
  <si>
    <t>°</t>
  </si>
  <si>
    <t>Astres observés</t>
  </si>
  <si>
    <t>Soleil</t>
  </si>
  <si>
    <t>G</t>
  </si>
  <si>
    <t>L (φ)</t>
  </si>
  <si>
    <t>Position 
Estimée</t>
  </si>
  <si>
    <t>Collimacon</t>
  </si>
  <si>
    <t>Œil</t>
  </si>
  <si>
    <t>Collimaçon
sextan</t>
  </si>
  <si>
    <t>sens</t>
  </si>
  <si>
    <t>Lune</t>
  </si>
  <si>
    <t>Etoile</t>
  </si>
  <si>
    <t>Polaire</t>
  </si>
  <si>
    <t>xx</t>
  </si>
  <si>
    <t xml:space="preserve">Longitude </t>
  </si>
  <si>
    <t>N</t>
  </si>
  <si>
    <t>S</t>
  </si>
  <si>
    <t>Latitude</t>
  </si>
  <si>
    <t>W</t>
  </si>
  <si>
    <t>E</t>
  </si>
  <si>
    <t>H. UT Basse</t>
  </si>
  <si>
    <t>H. UT Haute</t>
  </si>
  <si>
    <t>Declinaison
(Dec.)</t>
  </si>
  <si>
    <t>Angle horaire local
(GHA)</t>
  </si>
  <si>
    <t>==&gt; heure observation:</t>
  </si>
  <si>
    <t>Y = uX + v</t>
  </si>
  <si>
    <t>u = (Y1 - Y2) / (X1 - X2)</t>
  </si>
  <si>
    <t>v = Y1 - u X1</t>
  </si>
  <si>
    <t>u</t>
  </si>
  <si>
    <t xml:space="preserve">v </t>
  </si>
  <si>
    <t>X obs</t>
  </si>
  <si>
    <t>1. Declinaison et angle horaire</t>
  </si>
  <si>
    <t>2. Hauteur calculee</t>
  </si>
  <si>
    <t>Deg2Rad</t>
  </si>
  <si>
    <t>sin(D)Sin(L)</t>
  </si>
  <si>
    <t>Angle horaire local
(AHL  ou GHA)</t>
  </si>
  <si>
    <t>cos(D)cos(AHL)cos(L)</t>
  </si>
  <si>
    <t>Hc</t>
  </si>
  <si>
    <t>3. Azimut</t>
  </si>
  <si>
    <t>Az</t>
  </si>
  <si>
    <t>Sin(D)</t>
  </si>
  <si>
    <t>sin(L)sin(H)</t>
  </si>
  <si>
    <t>cos(L)cos(H)</t>
  </si>
  <si>
    <t>b. Par Greenwitch + Pas</t>
  </si>
  <si>
    <t>H. UT de reference</t>
  </si>
  <si>
    <t>Pas de Declinaison
(Var. Dec.)</t>
  </si>
  <si>
    <t>Pas de Angle Horaire
(Var. AH)</t>
  </si>
  <si>
    <t>METHODE ?</t>
  </si>
  <si>
    <t>Methode</t>
  </si>
  <si>
    <t>Par almanach nautique</t>
  </si>
  <si>
    <t>Par greenwitch + Pas</t>
  </si>
  <si>
    <t>a</t>
  </si>
  <si>
    <t>b</t>
  </si>
  <si>
    <t>4. Intercept</t>
  </si>
  <si>
    <t>-</t>
  </si>
  <si>
    <t>+</t>
  </si>
  <si>
    <t>Correction (Hauteur œil)</t>
  </si>
  <si>
    <t>Hv</t>
  </si>
  <si>
    <t>Correction bord soleil/Etoile</t>
  </si>
  <si>
    <t>Correction totale additive / bord inf soleil</t>
  </si>
  <si>
    <t>Hi (degre)</t>
  </si>
  <si>
    <t>Elevation œil (m)</t>
  </si>
  <si>
    <t>Pour xls / vlookup &amp; hlookup</t>
  </si>
  <si>
    <t>Bord sup soleil</t>
  </si>
  <si>
    <t>Hauteur Oeil</t>
  </si>
  <si>
    <t>Intercept</t>
  </si>
  <si>
    <t>si &lt; 0 a l'oppose de Pg</t>
  </si>
  <si>
    <t>si &gt; 0 VERS Pg (pied de l'astre sur la terre)</t>
  </si>
  <si>
    <t>AHL &lt; 180?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</si>
</sst>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7" formatCode="0.00000"/>
    <numFmt numFmtId="168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Up">
        <fgColor theme="9" tint="0.599963377788628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2" fillId="4" borderId="31" xfId="0" applyNumberFormat="1" applyFont="1" applyFill="1" applyBorder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2" fontId="2" fillId="4" borderId="17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right" vertical="center"/>
    </xf>
    <xf numFmtId="0" fontId="4" fillId="0" borderId="33" xfId="0" applyFont="1" applyBorder="1" applyAlignment="1">
      <alignment horizontal="right" vertic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7" fontId="2" fillId="4" borderId="31" xfId="0" applyNumberFormat="1" applyFont="1" applyFill="1" applyBorder="1" applyAlignment="1">
      <alignment horizontal="center"/>
    </xf>
    <xf numFmtId="167" fontId="2" fillId="4" borderId="16" xfId="0" applyNumberFormat="1" applyFont="1" applyFill="1" applyBorder="1" applyAlignment="1">
      <alignment horizontal="center"/>
    </xf>
    <xf numFmtId="167" fontId="2" fillId="4" borderId="17" xfId="0" applyNumberFormat="1" applyFont="1" applyFill="1" applyBorder="1" applyAlignment="1">
      <alignment horizontal="center"/>
    </xf>
    <xf numFmtId="168" fontId="2" fillId="4" borderId="31" xfId="0" applyNumberFormat="1" applyFont="1" applyFill="1" applyBorder="1" applyAlignment="1">
      <alignment horizontal="center"/>
    </xf>
    <xf numFmtId="168" fontId="2" fillId="4" borderId="16" xfId="0" applyNumberFormat="1" applyFont="1" applyFill="1" applyBorder="1" applyAlignment="1">
      <alignment horizontal="center"/>
    </xf>
    <xf numFmtId="168" fontId="2" fillId="4" borderId="17" xfId="0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168" fontId="2" fillId="4" borderId="1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0" borderId="20" xfId="0" applyFont="1" applyBorder="1" applyAlignment="1">
      <alignment horizontal="center" vertical="center"/>
    </xf>
    <xf numFmtId="2" fontId="2" fillId="5" borderId="8" xfId="0" applyNumberFormat="1" applyFont="1" applyFill="1" applyBorder="1" applyAlignment="1">
      <alignment horizontal="center"/>
    </xf>
    <xf numFmtId="2" fontId="2" fillId="5" borderId="9" xfId="0" applyNumberFormat="1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2" fontId="2" fillId="5" borderId="1" xfId="0" applyNumberFormat="1" applyFont="1" applyFill="1" applyBorder="1" applyAlignment="1">
      <alignment horizontal="center"/>
    </xf>
    <xf numFmtId="0" fontId="2" fillId="0" borderId="5" xfId="0" applyFont="1" applyBorder="1"/>
    <xf numFmtId="2" fontId="2" fillId="5" borderId="6" xfId="0" applyNumberFormat="1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2" fontId="2" fillId="7" borderId="8" xfId="0" applyNumberFormat="1" applyFont="1" applyFill="1" applyBorder="1" applyAlignment="1">
      <alignment horizontal="center"/>
    </xf>
    <xf numFmtId="2" fontId="2" fillId="7" borderId="9" xfId="0" applyNumberFormat="1" applyFont="1" applyFill="1" applyBorder="1" applyAlignment="1">
      <alignment horizontal="center"/>
    </xf>
    <xf numFmtId="2" fontId="2" fillId="7" borderId="6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30" xfId="0" applyNumberFormat="1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2" fontId="2" fillId="5" borderId="7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2" fillId="0" borderId="0" xfId="0" quotePrefix="1" applyFont="1"/>
    <xf numFmtId="0" fontId="2" fillId="10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7" borderId="16" xfId="0" applyFont="1" applyFill="1" applyBorder="1"/>
    <xf numFmtId="0" fontId="2" fillId="7" borderId="17" xfId="0" applyFont="1" applyFill="1" applyBorder="1"/>
    <xf numFmtId="0" fontId="2" fillId="0" borderId="38" xfId="0" applyFont="1" applyBorder="1"/>
    <xf numFmtId="0" fontId="2" fillId="0" borderId="7" xfId="0" applyFont="1" applyBorder="1"/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2" fillId="5" borderId="8" xfId="0" applyNumberFormat="1" applyFont="1" applyFill="1" applyBorder="1" applyAlignment="1">
      <alignment horizontal="center"/>
    </xf>
    <xf numFmtId="1" fontId="2" fillId="10" borderId="8" xfId="0" applyNumberFormat="1" applyFont="1" applyFill="1" applyBorder="1" applyAlignment="1">
      <alignment horizontal="center"/>
    </xf>
    <xf numFmtId="1" fontId="2" fillId="10" borderId="9" xfId="0" applyNumberFormat="1" applyFont="1" applyFill="1" applyBorder="1" applyAlignment="1">
      <alignment horizontal="center"/>
    </xf>
    <xf numFmtId="0" fontId="0" fillId="10" borderId="0" xfId="0" applyFill="1"/>
    <xf numFmtId="0" fontId="1" fillId="10" borderId="0" xfId="0" applyFont="1" applyFill="1"/>
    <xf numFmtId="0" fontId="2" fillId="0" borderId="1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1" fontId="2" fillId="7" borderId="9" xfId="0" applyNumberFormat="1" applyFont="1" applyFill="1" applyBorder="1" applyAlignment="1">
      <alignment horizontal="center"/>
    </xf>
    <xf numFmtId="1" fontId="2" fillId="5" borderId="6" xfId="0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4" fillId="6" borderId="1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8" fillId="12" borderId="0" xfId="0" applyFont="1" applyFill="1"/>
    <xf numFmtId="0" fontId="9" fillId="12" borderId="0" xfId="0" applyFont="1" applyFill="1"/>
    <xf numFmtId="0" fontId="2" fillId="10" borderId="0" xfId="0" applyFont="1" applyFill="1"/>
    <xf numFmtId="0" fontId="2" fillId="10" borderId="0" xfId="0" applyFont="1" applyFill="1" applyAlignment="1">
      <alignment horizontal="center"/>
    </xf>
    <xf numFmtId="168" fontId="2" fillId="0" borderId="26" xfId="0" applyNumberFormat="1" applyFont="1" applyBorder="1" applyAlignment="1">
      <alignment horizontal="center" vertical="top"/>
    </xf>
    <xf numFmtId="2" fontId="2" fillId="0" borderId="0" xfId="0" applyNumberFormat="1" applyFont="1"/>
    <xf numFmtId="165" fontId="0" fillId="0" borderId="0" xfId="0" applyNumberFormat="1"/>
    <xf numFmtId="0" fontId="0" fillId="0" borderId="0" xfId="0" quotePrefix="1"/>
    <xf numFmtId="0" fontId="1" fillId="6" borderId="24" xfId="0" applyFont="1" applyFill="1" applyBorder="1" applyAlignment="1" applyProtection="1">
      <alignment horizontal="center"/>
      <protection locked="0"/>
    </xf>
    <xf numFmtId="0" fontId="1" fillId="6" borderId="23" xfId="0" applyFont="1" applyFill="1" applyBorder="1" applyAlignment="1" applyProtection="1">
      <alignment horizontal="center"/>
      <protection locked="0"/>
    </xf>
    <xf numFmtId="0" fontId="1" fillId="6" borderId="2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13" borderId="1" xfId="0" applyFill="1" applyBorder="1" applyAlignment="1" applyProtection="1">
      <alignment horizontal="center"/>
      <protection locked="0"/>
    </xf>
    <xf numFmtId="0" fontId="0" fillId="11" borderId="0" xfId="0" applyFill="1" applyProtection="1"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15" borderId="0" xfId="0" applyFill="1"/>
    <xf numFmtId="0" fontId="0" fillId="16" borderId="0" xfId="0" applyFill="1"/>
    <xf numFmtId="0" fontId="0" fillId="16" borderId="0" xfId="0" applyFill="1" applyAlignment="1">
      <alignment horizontal="right"/>
    </xf>
    <xf numFmtId="0" fontId="0" fillId="16" borderId="0" xfId="0" applyFill="1" applyAlignment="1">
      <alignment horizontal="left"/>
    </xf>
    <xf numFmtId="0" fontId="0" fillId="15" borderId="0" xfId="0" applyFill="1" applyAlignment="1">
      <alignment horizontal="right"/>
    </xf>
    <xf numFmtId="0" fontId="0" fillId="15" borderId="0" xfId="0" applyFill="1" applyAlignment="1">
      <alignment horizontal="left"/>
    </xf>
    <xf numFmtId="0" fontId="2" fillId="10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AAD8-A46C-44B2-AE1A-E1A1AF2926B2}">
  <dimension ref="B1:AJ98"/>
  <sheetViews>
    <sheetView tabSelected="1" topLeftCell="A7" workbookViewId="0">
      <selection activeCell="Q19" sqref="Q19"/>
    </sheetView>
  </sheetViews>
  <sheetFormatPr baseColWidth="10" defaultRowHeight="15" x14ac:dyDescent="0.25"/>
  <cols>
    <col min="1" max="1" width="11.42578125" style="1"/>
    <col min="2" max="21" width="6" style="1" customWidth="1"/>
    <col min="22" max="22" width="5.28515625" style="1" customWidth="1"/>
    <col min="23" max="16384" width="11.42578125" style="1"/>
  </cols>
  <sheetData>
    <row r="1" spans="2:36" ht="15.75" thickBot="1" x14ac:dyDescent="0.3"/>
    <row r="2" spans="2:36" ht="63" customHeight="1" thickBot="1" x14ac:dyDescent="0.3">
      <c r="B2" s="2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</row>
    <row r="4" spans="2:36" ht="15.75" thickBot="1" x14ac:dyDescent="0.3"/>
    <row r="5" spans="2:36" ht="53.25" customHeight="1" thickBot="1" x14ac:dyDescent="0.3">
      <c r="B5" s="34" t="s">
        <v>2</v>
      </c>
      <c r="C5" s="35"/>
      <c r="D5" s="35"/>
      <c r="E5" s="35"/>
      <c r="F5" s="36"/>
      <c r="G5" s="36"/>
      <c r="H5" s="36"/>
      <c r="I5" s="36"/>
      <c r="J5" s="36"/>
      <c r="K5" s="36"/>
      <c r="L5" s="36"/>
      <c r="M5" s="37"/>
    </row>
    <row r="6" spans="2:36" x14ac:dyDescent="0.25">
      <c r="B6" s="91" t="s">
        <v>3</v>
      </c>
      <c r="C6" s="92"/>
      <c r="D6" s="93"/>
      <c r="E6" s="91" t="s">
        <v>7</v>
      </c>
      <c r="F6" s="92"/>
      <c r="G6" s="93"/>
      <c r="H6" s="91" t="s">
        <v>8</v>
      </c>
      <c r="I6" s="92"/>
      <c r="J6" s="93"/>
      <c r="K6" s="97" t="s">
        <v>9</v>
      </c>
      <c r="L6" s="98"/>
      <c r="M6" s="99"/>
    </row>
    <row r="7" spans="2:36" x14ac:dyDescent="0.25">
      <c r="B7" s="5" t="s">
        <v>4</v>
      </c>
      <c r="C7" s="6" t="s">
        <v>5</v>
      </c>
      <c r="D7" s="7" t="s">
        <v>6</v>
      </c>
      <c r="E7" s="5" t="s">
        <v>4</v>
      </c>
      <c r="F7" s="6" t="s">
        <v>5</v>
      </c>
      <c r="G7" s="7" t="s">
        <v>6</v>
      </c>
      <c r="H7" s="5" t="s">
        <v>4</v>
      </c>
      <c r="I7" s="6" t="s">
        <v>5</v>
      </c>
      <c r="J7" s="7" t="s">
        <v>6</v>
      </c>
      <c r="K7" s="8" t="s">
        <v>4</v>
      </c>
      <c r="L7" s="9" t="s">
        <v>5</v>
      </c>
      <c r="M7" s="10" t="s">
        <v>6</v>
      </c>
      <c r="AA7" s="1" t="s">
        <v>10</v>
      </c>
      <c r="AD7" s="1" t="s">
        <v>10</v>
      </c>
      <c r="AG7" s="1" t="s">
        <v>10</v>
      </c>
      <c r="AJ7" s="1" t="s">
        <v>10</v>
      </c>
    </row>
    <row r="8" spans="2:36" x14ac:dyDescent="0.25">
      <c r="B8" s="41">
        <v>14</v>
      </c>
      <c r="C8" s="33">
        <v>40</v>
      </c>
      <c r="D8" s="42">
        <v>50</v>
      </c>
      <c r="E8" s="41"/>
      <c r="F8" s="33"/>
      <c r="G8" s="42">
        <v>-1</v>
      </c>
      <c r="H8" s="41"/>
      <c r="I8" s="33"/>
      <c r="J8" s="42">
        <v>1</v>
      </c>
      <c r="K8" s="114">
        <f>INT(AJ8)</f>
        <v>14</v>
      </c>
      <c r="L8" s="115">
        <f>INT(60 * (AJ8-K8))</f>
        <v>40</v>
      </c>
      <c r="M8" s="116">
        <f>INT(3600 * (AJ8-K8-L8/60))</f>
        <v>49</v>
      </c>
      <c r="AA8" s="1">
        <f>B8+C8/60+D8/3600</f>
        <v>14.680555555555555</v>
      </c>
      <c r="AD8" s="1">
        <f>E8+F8/60+G8/3600</f>
        <v>-2.7777777777777778E-4</v>
      </c>
      <c r="AG8" s="1">
        <f>H8+I8/60+J8/3600</f>
        <v>2.7777777777777778E-4</v>
      </c>
      <c r="AJ8" s="1">
        <f>AA8+AD8+AG8</f>
        <v>14.680555555555555</v>
      </c>
    </row>
    <row r="9" spans="2:36" ht="15.75" thickBot="1" x14ac:dyDescent="0.3">
      <c r="B9" s="43"/>
      <c r="C9" s="44"/>
      <c r="D9" s="45"/>
      <c r="E9" s="43"/>
      <c r="F9" s="44"/>
      <c r="G9" s="45"/>
      <c r="H9" s="43"/>
      <c r="I9" s="44"/>
      <c r="J9" s="45"/>
      <c r="K9" s="100">
        <f>K8+L8/60+M8/3600</f>
        <v>14.680277777777777</v>
      </c>
      <c r="L9" s="101"/>
      <c r="M9" s="102"/>
    </row>
    <row r="10" spans="2:36" ht="19.5" customHeight="1" x14ac:dyDescent="0.25">
      <c r="B10" s="26" t="s">
        <v>12</v>
      </c>
      <c r="C10" s="27"/>
      <c r="D10" s="27"/>
      <c r="E10" s="27"/>
      <c r="F10" s="11" t="s">
        <v>16</v>
      </c>
      <c r="G10" s="11"/>
      <c r="H10" s="11"/>
      <c r="I10" s="11"/>
      <c r="J10" s="12"/>
      <c r="K10" s="94" t="s">
        <v>13</v>
      </c>
      <c r="L10" s="94"/>
      <c r="M10" s="95"/>
    </row>
    <row r="11" spans="2:36" x14ac:dyDescent="0.25">
      <c r="B11" s="26"/>
      <c r="C11" s="27"/>
      <c r="D11" s="27"/>
      <c r="E11" s="27"/>
      <c r="F11" s="11"/>
      <c r="G11" s="11"/>
      <c r="H11" s="11"/>
      <c r="I11" s="11"/>
      <c r="J11" s="12"/>
      <c r="K11" s="6" t="s">
        <v>14</v>
      </c>
      <c r="L11" s="6" t="s">
        <v>5</v>
      </c>
      <c r="M11" s="7" t="s">
        <v>6</v>
      </c>
    </row>
    <row r="12" spans="2:36" ht="15.75" thickBot="1" x14ac:dyDescent="0.3">
      <c r="B12" s="26"/>
      <c r="C12" s="27"/>
      <c r="D12" s="27"/>
      <c r="E12" s="27"/>
      <c r="F12" s="11"/>
      <c r="G12" s="11"/>
      <c r="H12" s="11"/>
      <c r="I12" s="11"/>
      <c r="J12" s="12"/>
      <c r="K12" s="81">
        <v>18</v>
      </c>
      <c r="L12" s="81">
        <v>22</v>
      </c>
      <c r="M12" s="96">
        <v>0</v>
      </c>
    </row>
    <row r="13" spans="2:36" ht="15.75" thickBot="1" x14ac:dyDescent="0.3">
      <c r="B13" s="28"/>
      <c r="C13" s="29"/>
      <c r="D13" s="27"/>
      <c r="E13" s="27"/>
      <c r="F13" s="11"/>
      <c r="G13" s="11"/>
      <c r="H13" s="15"/>
      <c r="I13" s="15"/>
      <c r="J13" s="16"/>
      <c r="K13" s="30">
        <f>K12+L12/60+M12/3600</f>
        <v>18.366666666666667</v>
      </c>
      <c r="L13" s="31"/>
      <c r="M13" s="32"/>
    </row>
    <row r="14" spans="2:36" ht="15" customHeight="1" x14ac:dyDescent="0.25">
      <c r="B14" s="17" t="s">
        <v>19</v>
      </c>
      <c r="C14" s="53"/>
      <c r="D14" s="56" t="s">
        <v>18</v>
      </c>
      <c r="E14" s="57"/>
      <c r="F14" s="57"/>
      <c r="G14" s="58"/>
      <c r="H14" s="61" t="s">
        <v>17</v>
      </c>
      <c r="I14" s="52"/>
      <c r="J14" s="52"/>
      <c r="K14" s="62"/>
    </row>
    <row r="15" spans="2:36" x14ac:dyDescent="0.25">
      <c r="B15" s="21"/>
      <c r="C15" s="54"/>
      <c r="D15" s="59" t="s">
        <v>14</v>
      </c>
      <c r="E15" s="14" t="s">
        <v>5</v>
      </c>
      <c r="F15" s="14" t="s">
        <v>6</v>
      </c>
      <c r="G15" s="120" t="s">
        <v>23</v>
      </c>
      <c r="H15" s="5" t="s">
        <v>14</v>
      </c>
      <c r="I15" s="6" t="s">
        <v>5</v>
      </c>
      <c r="J15" s="24" t="s">
        <v>6</v>
      </c>
      <c r="K15" s="119" t="s">
        <v>23</v>
      </c>
    </row>
    <row r="16" spans="2:36" ht="15.75" thickBot="1" x14ac:dyDescent="0.3">
      <c r="B16" s="21"/>
      <c r="C16" s="54"/>
      <c r="D16" s="103">
        <v>48.875495000000001</v>
      </c>
      <c r="E16" s="104">
        <v>0</v>
      </c>
      <c r="F16" s="104">
        <v>0</v>
      </c>
      <c r="G16" s="106" t="s">
        <v>29</v>
      </c>
      <c r="H16" s="103">
        <v>2.0946769999999999</v>
      </c>
      <c r="I16" s="104">
        <v>0</v>
      </c>
      <c r="J16" s="105">
        <v>0</v>
      </c>
      <c r="K16" s="106" t="s">
        <v>32</v>
      </c>
    </row>
    <row r="17" spans="2:15" ht="15.75" thickBot="1" x14ac:dyDescent="0.3">
      <c r="B17" s="22"/>
      <c r="C17" s="55"/>
      <c r="D17" s="60">
        <f>(D16+E16/60+F16/3600) * VLOOKUP(G16,Constante!$D$15:$E$16,2)</f>
        <v>48.875495000000001</v>
      </c>
      <c r="E17" s="50"/>
      <c r="F17" s="51"/>
      <c r="G17" s="107"/>
      <c r="H17" s="60">
        <f>(H16+I16/60+J16/3600) * VLOOKUP(K16,Constante!$D$12:$E$13,2)</f>
        <v>-2.0946769999999999</v>
      </c>
      <c r="I17" s="50"/>
      <c r="J17" s="51"/>
      <c r="K17" s="107"/>
    </row>
    <row r="18" spans="2:15" ht="15" customHeight="1" x14ac:dyDescent="0.25">
      <c r="B18" s="17" t="s">
        <v>22</v>
      </c>
      <c r="C18" s="18"/>
      <c r="D18" s="19" t="s">
        <v>14</v>
      </c>
      <c r="E18" s="19" t="s">
        <v>5</v>
      </c>
      <c r="F18" s="20" t="s">
        <v>6</v>
      </c>
    </row>
    <row r="19" spans="2:15" ht="24.75" customHeight="1" thickBot="1" x14ac:dyDescent="0.3">
      <c r="B19" s="21"/>
      <c r="C19" s="13"/>
      <c r="D19" s="72">
        <v>2</v>
      </c>
      <c r="E19" s="72">
        <v>20</v>
      </c>
      <c r="F19" s="108">
        <v>0</v>
      </c>
    </row>
    <row r="20" spans="2:15" ht="15.75" thickBot="1" x14ac:dyDescent="0.3">
      <c r="B20" s="22"/>
      <c r="C20" s="23"/>
      <c r="D20" s="49">
        <f>D19+E19/60+F19/3600</f>
        <v>2.3333333333333335</v>
      </c>
      <c r="E20" s="50"/>
      <c r="F20" s="51"/>
    </row>
    <row r="21" spans="2:15" ht="15.75" thickBot="1" x14ac:dyDescent="0.3">
      <c r="B21" s="63" t="s">
        <v>21</v>
      </c>
      <c r="C21" s="64"/>
      <c r="D21" s="64"/>
      <c r="E21" s="117">
        <v>0</v>
      </c>
      <c r="F21" s="118" t="s">
        <v>5</v>
      </c>
    </row>
    <row r="24" spans="2:15" ht="15.75" thickBot="1" x14ac:dyDescent="0.3"/>
    <row r="25" spans="2:15" ht="15.75" thickBot="1" x14ac:dyDescent="0.3">
      <c r="B25" s="63" t="s">
        <v>45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5"/>
    </row>
    <row r="26" spans="2:15" ht="15.75" thickBot="1" x14ac:dyDescent="0.3">
      <c r="C26" s="1" t="s">
        <v>0</v>
      </c>
    </row>
    <row r="27" spans="2:15" x14ac:dyDescent="0.25">
      <c r="D27" s="1" t="s">
        <v>1</v>
      </c>
      <c r="G27" s="38" t="s">
        <v>34</v>
      </c>
      <c r="H27" s="39"/>
      <c r="I27" s="40"/>
      <c r="M27" s="38" t="s">
        <v>35</v>
      </c>
      <c r="N27" s="39"/>
      <c r="O27" s="40"/>
    </row>
    <row r="28" spans="2:15" x14ac:dyDescent="0.25">
      <c r="G28" s="5" t="s">
        <v>4</v>
      </c>
      <c r="H28" s="6" t="s">
        <v>5</v>
      </c>
      <c r="I28" s="7" t="s">
        <v>6</v>
      </c>
      <c r="M28" s="5" t="s">
        <v>4</v>
      </c>
      <c r="N28" s="6" t="s">
        <v>5</v>
      </c>
      <c r="O28" s="7" t="s">
        <v>6</v>
      </c>
    </row>
    <row r="29" spans="2:15" x14ac:dyDescent="0.25">
      <c r="G29" s="121">
        <v>14</v>
      </c>
      <c r="H29" s="122">
        <v>0</v>
      </c>
      <c r="I29" s="123">
        <v>0</v>
      </c>
      <c r="M29" s="88">
        <v>15</v>
      </c>
      <c r="N29" s="89">
        <v>0</v>
      </c>
      <c r="O29" s="90">
        <v>0</v>
      </c>
    </row>
    <row r="30" spans="2:15" ht="15.75" thickBot="1" x14ac:dyDescent="0.3">
      <c r="G30" s="100">
        <f>G29+H29/60+I29/3600</f>
        <v>14</v>
      </c>
      <c r="H30" s="101"/>
      <c r="I30" s="102"/>
      <c r="M30" s="100">
        <f>M29+N29/60+O29/3600</f>
        <v>15</v>
      </c>
      <c r="N30" s="101"/>
      <c r="O30" s="102"/>
    </row>
    <row r="31" spans="2:15" ht="15.75" thickBot="1" x14ac:dyDescent="0.3"/>
    <row r="32" spans="2:15" x14ac:dyDescent="0.25">
      <c r="D32" s="110" t="s">
        <v>36</v>
      </c>
      <c r="E32" s="25"/>
      <c r="F32" s="111"/>
      <c r="G32" s="71" t="s">
        <v>14</v>
      </c>
      <c r="H32" s="19" t="s">
        <v>5</v>
      </c>
      <c r="I32" s="19" t="s">
        <v>6</v>
      </c>
      <c r="J32" s="73" t="s">
        <v>23</v>
      </c>
      <c r="L32" s="71" t="s">
        <v>14</v>
      </c>
      <c r="M32" s="19" t="s">
        <v>5</v>
      </c>
      <c r="N32" s="19" t="s">
        <v>6</v>
      </c>
      <c r="O32" s="73" t="s">
        <v>23</v>
      </c>
    </row>
    <row r="33" spans="3:31" ht="15.75" thickBot="1" x14ac:dyDescent="0.3">
      <c r="D33" s="26"/>
      <c r="E33" s="27"/>
      <c r="F33" s="66"/>
      <c r="G33" s="67">
        <v>2</v>
      </c>
      <c r="H33" s="68">
        <v>56.1</v>
      </c>
      <c r="I33" s="68">
        <v>0</v>
      </c>
      <c r="J33" s="69" t="s">
        <v>30</v>
      </c>
      <c r="L33" s="80">
        <v>2</v>
      </c>
      <c r="M33" s="81">
        <v>57</v>
      </c>
      <c r="N33" s="81">
        <v>0</v>
      </c>
      <c r="O33" s="84" t="s">
        <v>30</v>
      </c>
    </row>
    <row r="34" spans="3:31" ht="15.75" thickBot="1" x14ac:dyDescent="0.3">
      <c r="D34" s="28"/>
      <c r="E34" s="29"/>
      <c r="F34" s="112"/>
      <c r="G34" s="60">
        <f>(G33+H33/60+I33/3600) * VLOOKUP(J33,Constante!$D$15:$E$16,2)</f>
        <v>-2.9350000000000001</v>
      </c>
      <c r="H34" s="50"/>
      <c r="I34" s="51"/>
      <c r="J34" s="70"/>
      <c r="L34" s="60">
        <f>(L33+M33/60+N33/3600) * VLOOKUP(O33,Constante!$D$15:$E$16,2)</f>
        <v>-2.95</v>
      </c>
      <c r="M34" s="50"/>
      <c r="N34" s="51"/>
      <c r="O34" s="85"/>
    </row>
    <row r="35" spans="3:31" ht="15.75" thickBot="1" x14ac:dyDescent="0.3">
      <c r="G35" s="77"/>
      <c r="H35" s="78"/>
      <c r="I35" s="78"/>
      <c r="J35" s="79"/>
      <c r="L35" s="77"/>
      <c r="M35" s="78"/>
      <c r="N35" s="78"/>
      <c r="O35" s="79"/>
    </row>
    <row r="36" spans="3:31" x14ac:dyDescent="0.25">
      <c r="D36" s="110" t="s">
        <v>37</v>
      </c>
      <c r="E36" s="25"/>
      <c r="F36" s="111"/>
      <c r="G36" s="71" t="s">
        <v>14</v>
      </c>
      <c r="H36" s="19" t="s">
        <v>5</v>
      </c>
      <c r="I36" s="19" t="s">
        <v>6</v>
      </c>
      <c r="J36" s="73" t="s">
        <v>23</v>
      </c>
      <c r="L36" s="71" t="s">
        <v>14</v>
      </c>
      <c r="M36" s="19" t="s">
        <v>5</v>
      </c>
      <c r="N36" s="19" t="s">
        <v>6</v>
      </c>
      <c r="O36" s="73" t="s">
        <v>23</v>
      </c>
    </row>
    <row r="37" spans="3:31" ht="15.75" thickBot="1" x14ac:dyDescent="0.3">
      <c r="D37" s="26"/>
      <c r="E37" s="27"/>
      <c r="F37" s="66"/>
      <c r="G37" s="74">
        <v>32</v>
      </c>
      <c r="H37" s="72">
        <v>30.5</v>
      </c>
      <c r="I37" s="72">
        <v>0</v>
      </c>
      <c r="J37" s="75" t="s">
        <v>33</v>
      </c>
      <c r="L37" s="82">
        <v>47</v>
      </c>
      <c r="M37" s="83">
        <v>30.7</v>
      </c>
      <c r="N37" s="83">
        <v>0</v>
      </c>
      <c r="O37" s="86" t="s">
        <v>33</v>
      </c>
    </row>
    <row r="38" spans="3:31" ht="15.75" thickBot="1" x14ac:dyDescent="0.3">
      <c r="D38" s="28"/>
      <c r="E38" s="29"/>
      <c r="F38" s="112"/>
      <c r="G38" s="60">
        <f>(G37+H37/60+I37/3600) * VLOOKUP(J37,Constante!$D$12:$E$13,2)</f>
        <v>32.508333333333333</v>
      </c>
      <c r="H38" s="50"/>
      <c r="I38" s="51"/>
      <c r="J38" s="76"/>
      <c r="L38" s="60">
        <f>(L37+M37/60+N37/3600) * VLOOKUP(O37,Constante!$D$12:$E$13,2)</f>
        <v>47.511666666666663</v>
      </c>
      <c r="M38" s="50"/>
      <c r="N38" s="51"/>
      <c r="O38" s="87"/>
    </row>
    <row r="39" spans="3:31" x14ac:dyDescent="0.25">
      <c r="Z39"/>
      <c r="AA39"/>
      <c r="AB39"/>
      <c r="AC39"/>
      <c r="AD39"/>
      <c r="AE39"/>
    </row>
    <row r="40" spans="3:31" x14ac:dyDescent="0.25">
      <c r="Z40"/>
      <c r="AA40"/>
      <c r="AB40"/>
      <c r="AC40"/>
      <c r="AD40"/>
      <c r="AE40"/>
    </row>
    <row r="41" spans="3:31" x14ac:dyDescent="0.25">
      <c r="Z41"/>
      <c r="AA41"/>
      <c r="AB41"/>
      <c r="AC41"/>
      <c r="AD41"/>
      <c r="AE41"/>
    </row>
    <row r="42" spans="3:31" x14ac:dyDescent="0.25">
      <c r="Z42"/>
      <c r="AA42"/>
      <c r="AB42"/>
      <c r="AC42"/>
      <c r="AD42"/>
      <c r="AE42"/>
    </row>
    <row r="43" spans="3:31" ht="15.75" thickBot="1" x14ac:dyDescent="0.3">
      <c r="C43" s="1" t="s">
        <v>57</v>
      </c>
      <c r="L43"/>
      <c r="M43"/>
      <c r="N43"/>
      <c r="O43"/>
      <c r="Z43"/>
      <c r="AA43"/>
      <c r="AB43"/>
      <c r="AC43"/>
      <c r="AD43"/>
      <c r="AE43"/>
    </row>
    <row r="44" spans="3:31" x14ac:dyDescent="0.25">
      <c r="D44" s="1" t="s">
        <v>1</v>
      </c>
      <c r="G44" s="38" t="s">
        <v>58</v>
      </c>
      <c r="H44" s="39"/>
      <c r="I44" s="40"/>
      <c r="L44"/>
      <c r="M44"/>
      <c r="N44"/>
      <c r="O44"/>
      <c r="Z44"/>
      <c r="AA44"/>
      <c r="AB44"/>
      <c r="AC44"/>
      <c r="AD44"/>
      <c r="AE44"/>
    </row>
    <row r="45" spans="3:31" x14ac:dyDescent="0.25">
      <c r="G45" s="5" t="s">
        <v>4</v>
      </c>
      <c r="H45" s="6" t="s">
        <v>5</v>
      </c>
      <c r="I45" s="7" t="s">
        <v>6</v>
      </c>
      <c r="L45"/>
      <c r="M45"/>
      <c r="N45"/>
      <c r="O45"/>
      <c r="Z45"/>
      <c r="AA45"/>
      <c r="AB45"/>
      <c r="AC45"/>
      <c r="AD45"/>
      <c r="AE45"/>
    </row>
    <row r="46" spans="3:31" x14ac:dyDescent="0.25">
      <c r="G46" s="121">
        <v>0</v>
      </c>
      <c r="H46" s="122">
        <v>0</v>
      </c>
      <c r="I46" s="123">
        <v>0</v>
      </c>
      <c r="L46"/>
      <c r="M46"/>
      <c r="N46"/>
      <c r="O46"/>
      <c r="Z46"/>
      <c r="AA46"/>
      <c r="AB46"/>
      <c r="AC46"/>
      <c r="AD46"/>
      <c r="AE46"/>
    </row>
    <row r="47" spans="3:31" ht="15.75" thickBot="1" x14ac:dyDescent="0.3">
      <c r="G47" s="100">
        <f>G46+H46/60+I46/3600</f>
        <v>0</v>
      </c>
      <c r="H47" s="101"/>
      <c r="I47" s="102"/>
      <c r="L47"/>
      <c r="M47"/>
      <c r="N47"/>
      <c r="O47"/>
      <c r="Z47"/>
      <c r="AA47"/>
      <c r="AB47"/>
      <c r="AC47"/>
      <c r="AD47"/>
      <c r="AE47"/>
    </row>
    <row r="48" spans="3:31" ht="15.75" thickBot="1" x14ac:dyDescent="0.3">
      <c r="K48"/>
      <c r="L48"/>
      <c r="M48"/>
      <c r="N48"/>
      <c r="O48"/>
      <c r="P48"/>
      <c r="Z48"/>
      <c r="AA48"/>
      <c r="AB48"/>
      <c r="AC48"/>
      <c r="AD48"/>
      <c r="AE48"/>
    </row>
    <row r="49" spans="3:31" x14ac:dyDescent="0.25">
      <c r="D49" s="110" t="s">
        <v>36</v>
      </c>
      <c r="E49" s="25"/>
      <c r="F49" s="111"/>
      <c r="G49" s="71" t="s">
        <v>14</v>
      </c>
      <c r="H49" s="19" t="s">
        <v>5</v>
      </c>
      <c r="I49" s="19" t="s">
        <v>6</v>
      </c>
      <c r="J49" s="73" t="s">
        <v>23</v>
      </c>
      <c r="K49"/>
      <c r="L49" s="110" t="s">
        <v>59</v>
      </c>
      <c r="M49" s="25"/>
      <c r="N49" s="111"/>
      <c r="O49" s="71" t="s">
        <v>14</v>
      </c>
      <c r="P49" s="19" t="s">
        <v>5</v>
      </c>
      <c r="Q49" s="19" t="s">
        <v>6</v>
      </c>
      <c r="R49" s="73" t="s">
        <v>23</v>
      </c>
      <c r="Z49">
        <f>G51+O51*(K9-G47)</f>
        <v>-6.3536620370370374</v>
      </c>
      <c r="AA49"/>
      <c r="AB49"/>
      <c r="AC49"/>
      <c r="AD49"/>
      <c r="AE49"/>
    </row>
    <row r="50" spans="3:31" ht="15.75" thickBot="1" x14ac:dyDescent="0.3">
      <c r="D50" s="26"/>
      <c r="E50" s="27"/>
      <c r="F50" s="66"/>
      <c r="G50" s="126">
        <v>6</v>
      </c>
      <c r="H50" s="68">
        <v>35.9</v>
      </c>
      <c r="I50" s="68">
        <v>0</v>
      </c>
      <c r="J50" s="69" t="s">
        <v>30</v>
      </c>
      <c r="K50"/>
      <c r="L50" s="26"/>
      <c r="M50" s="27"/>
      <c r="N50" s="66"/>
      <c r="O50" s="67">
        <v>0</v>
      </c>
      <c r="P50" s="68">
        <v>1</v>
      </c>
      <c r="Q50" s="68">
        <v>0</v>
      </c>
      <c r="R50" s="69" t="s">
        <v>29</v>
      </c>
      <c r="Z50"/>
      <c r="AA50"/>
      <c r="AB50"/>
      <c r="AC50"/>
      <c r="AD50"/>
      <c r="AE50"/>
    </row>
    <row r="51" spans="3:31" ht="15.75" thickBot="1" x14ac:dyDescent="0.3">
      <c r="D51" s="28"/>
      <c r="E51" s="29"/>
      <c r="F51" s="112"/>
      <c r="G51" s="60">
        <f>(G50+H50/60+I50/3600) * VLOOKUP(J50,Constante!$D$15:$E$16,2)</f>
        <v>-6.5983333333333336</v>
      </c>
      <c r="H51" s="50"/>
      <c r="I51" s="51"/>
      <c r="J51" s="70"/>
      <c r="K51"/>
      <c r="L51" s="28"/>
      <c r="M51" s="29"/>
      <c r="N51" s="112"/>
      <c r="O51" s="60">
        <f>(O50+P50/60+Q50/3600) * VLOOKUP(R50,Constante!$D$15:$E$16,2)</f>
        <v>1.6666666666666666E-2</v>
      </c>
      <c r="P51" s="50"/>
      <c r="Q51" s="51"/>
      <c r="R51" s="70"/>
      <c r="Z51"/>
      <c r="AA51"/>
      <c r="AB51"/>
      <c r="AC51"/>
      <c r="AD51"/>
      <c r="AE51"/>
    </row>
    <row r="52" spans="3:31" ht="15.75" thickBot="1" x14ac:dyDescent="0.3">
      <c r="G52" s="77"/>
      <c r="H52" s="78"/>
      <c r="I52" s="78"/>
      <c r="J52" s="79"/>
      <c r="K52"/>
      <c r="L52"/>
      <c r="M52"/>
      <c r="N52"/>
      <c r="O52"/>
      <c r="P52"/>
      <c r="Z52"/>
      <c r="AA52"/>
      <c r="AB52"/>
      <c r="AC52"/>
      <c r="AD52"/>
      <c r="AE52"/>
    </row>
    <row r="53" spans="3:31" x14ac:dyDescent="0.25">
      <c r="D53" s="110" t="s">
        <v>37</v>
      </c>
      <c r="E53" s="25"/>
      <c r="F53" s="111"/>
      <c r="G53" s="71" t="s">
        <v>14</v>
      </c>
      <c r="H53" s="19" t="s">
        <v>5</v>
      </c>
      <c r="I53" s="19" t="s">
        <v>6</v>
      </c>
      <c r="J53" s="73" t="s">
        <v>23</v>
      </c>
      <c r="K53"/>
      <c r="L53" s="110" t="s">
        <v>60</v>
      </c>
      <c r="M53" s="25"/>
      <c r="N53" s="111"/>
      <c r="O53" s="71" t="s">
        <v>14</v>
      </c>
      <c r="P53" s="19" t="s">
        <v>5</v>
      </c>
      <c r="Q53" s="19" t="s">
        <v>6</v>
      </c>
      <c r="R53" s="73" t="s">
        <v>23</v>
      </c>
      <c r="Z53">
        <f>IF(AA53&gt;360,AA53-360,IF(AA53&lt;0,AA53+360,AA53))</f>
        <v>37.265193888888916</v>
      </c>
      <c r="AA53">
        <f>G55+O55*(K9-G47)</f>
        <v>397.26519388888892</v>
      </c>
      <c r="AB53"/>
      <c r="AC53"/>
      <c r="AD53"/>
      <c r="AE53"/>
    </row>
    <row r="54" spans="3:31" ht="15.75" thickBot="1" x14ac:dyDescent="0.3">
      <c r="D54" s="26"/>
      <c r="E54" s="27"/>
      <c r="F54" s="66"/>
      <c r="G54" s="134">
        <v>177</v>
      </c>
      <c r="H54" s="72">
        <v>1.9</v>
      </c>
      <c r="I54" s="72">
        <v>0</v>
      </c>
      <c r="J54" s="75" t="s">
        <v>33</v>
      </c>
      <c r="K54"/>
      <c r="L54" s="26"/>
      <c r="M54" s="27"/>
      <c r="N54" s="66"/>
      <c r="O54" s="67">
        <v>15.002000000000001</v>
      </c>
      <c r="P54" s="68">
        <v>0</v>
      </c>
      <c r="Q54" s="68">
        <v>0</v>
      </c>
      <c r="R54" s="69" t="s">
        <v>29</v>
      </c>
      <c r="Z54"/>
      <c r="AA54"/>
      <c r="AB54"/>
      <c r="AC54"/>
      <c r="AD54"/>
      <c r="AE54"/>
    </row>
    <row r="55" spans="3:31" ht="15.75" thickBot="1" x14ac:dyDescent="0.3">
      <c r="D55" s="28"/>
      <c r="E55" s="29"/>
      <c r="F55" s="112"/>
      <c r="G55" s="60">
        <f>(G54+H54/60+I54/3600) * VLOOKUP(J54,Constante!$D$12:$E$13,2)</f>
        <v>177.03166666666667</v>
      </c>
      <c r="H55" s="50"/>
      <c r="I55" s="51"/>
      <c r="J55" s="76"/>
      <c r="K55"/>
      <c r="L55" s="28"/>
      <c r="M55" s="29"/>
      <c r="N55" s="112"/>
      <c r="O55" s="60">
        <f>(O54+P54/60+Q54/3600) * VLOOKUP(R54,Constante!$D$15:$E$16,2)</f>
        <v>15.002000000000001</v>
      </c>
      <c r="P55" s="50"/>
      <c r="Q55" s="51"/>
      <c r="R55" s="70"/>
      <c r="Z55"/>
      <c r="AA55"/>
      <c r="AB55"/>
      <c r="AC55"/>
      <c r="AD55"/>
      <c r="AE55"/>
    </row>
    <row r="56" spans="3:31" x14ac:dyDescent="0.25">
      <c r="Z56"/>
      <c r="AA56"/>
      <c r="AB56"/>
      <c r="AC56"/>
      <c r="AD56"/>
      <c r="AE56"/>
    </row>
    <row r="57" spans="3:31" x14ac:dyDescent="0.25">
      <c r="Z57"/>
      <c r="AA57"/>
      <c r="AB57"/>
      <c r="AC57"/>
      <c r="AD57"/>
      <c r="AE57"/>
    </row>
    <row r="58" spans="3:31" x14ac:dyDescent="0.25">
      <c r="Z58"/>
      <c r="AA58"/>
      <c r="AB58"/>
      <c r="AC58"/>
      <c r="AD58"/>
      <c r="AE58"/>
    </row>
    <row r="59" spans="3:31" x14ac:dyDescent="0.25">
      <c r="C59" s="148" t="s">
        <v>61</v>
      </c>
      <c r="D59" s="149"/>
      <c r="E59" s="149"/>
      <c r="F59" s="149"/>
      <c r="G59" s="149"/>
      <c r="H59" s="151" t="s">
        <v>63</v>
      </c>
      <c r="I59" s="151"/>
      <c r="J59" s="151"/>
      <c r="K59" s="151"/>
      <c r="L59" s="1" t="str">
        <f>VLOOKUP(H59,Constante!D24:E25,2)</f>
        <v>a</v>
      </c>
    </row>
    <row r="60" spans="3:31" ht="15.75" thickBot="1" x14ac:dyDescent="0.3">
      <c r="D60" s="113" t="s">
        <v>38</v>
      </c>
      <c r="AA60" s="1" t="s">
        <v>39</v>
      </c>
      <c r="AC60" s="1" t="s">
        <v>40</v>
      </c>
      <c r="AE60" s="1" t="s">
        <v>41</v>
      </c>
    </row>
    <row r="61" spans="3:31" ht="15.75" customHeight="1" thickBot="1" x14ac:dyDescent="0.3">
      <c r="F61" s="110" t="s">
        <v>36</v>
      </c>
      <c r="G61" s="135"/>
      <c r="H61" s="136"/>
      <c r="I61" s="142">
        <f>IF(L59="a",AA63,Z49)</f>
        <v>-2.9452041666666666</v>
      </c>
      <c r="J61" s="143"/>
      <c r="K61" s="143"/>
      <c r="L61" s="144"/>
      <c r="AC61" s="1" t="s">
        <v>42</v>
      </c>
      <c r="AD61" s="1">
        <f>(G34-L34)/($G$30-$M$30)</f>
        <v>-1.5000000000000124E-2</v>
      </c>
    </row>
    <row r="62" spans="3:31" x14ac:dyDescent="0.25">
      <c r="F62" s="137"/>
      <c r="G62" s="109"/>
      <c r="H62" s="138"/>
      <c r="I62" s="71" t="s">
        <v>14</v>
      </c>
      <c r="J62" s="19" t="s">
        <v>5</v>
      </c>
      <c r="K62" s="19" t="s">
        <v>6</v>
      </c>
      <c r="L62" s="73" t="s">
        <v>23</v>
      </c>
      <c r="AC62" s="1" t="s">
        <v>43</v>
      </c>
      <c r="AD62" s="1">
        <f>G34-AD61*$G$30</f>
        <v>-2.7249999999999983</v>
      </c>
    </row>
    <row r="63" spans="3:31" ht="15.75" thickBot="1" x14ac:dyDescent="0.3">
      <c r="F63" s="139"/>
      <c r="G63" s="140"/>
      <c r="H63" s="141"/>
      <c r="I63" s="127">
        <f>INT(Z63)</f>
        <v>2</v>
      </c>
      <c r="J63" s="128">
        <f>INT(60*(Z63-I63))</f>
        <v>56</v>
      </c>
      <c r="K63" s="128">
        <f>INT(3600*(Z63-I63-J63/60))</f>
        <v>42</v>
      </c>
      <c r="L63" s="130" t="str">
        <f>VLOOKUP(Y63,Constante!$F$15:$G$17,2)</f>
        <v>S</v>
      </c>
      <c r="Y63" s="1">
        <f>IF(AA63&lt;0,-1,1)</f>
        <v>-1</v>
      </c>
      <c r="Z63" s="1">
        <f>ABS(AA63)</f>
        <v>2.9452041666666666</v>
      </c>
      <c r="AA63" s="1">
        <f>AD61*AD63+AD62</f>
        <v>-2.9452041666666666</v>
      </c>
      <c r="AC63" s="1" t="s">
        <v>44</v>
      </c>
      <c r="AD63" s="1">
        <f>$K$9</f>
        <v>14.680277777777777</v>
      </c>
    </row>
    <row r="64" spans="3:31" ht="15.75" thickBot="1" x14ac:dyDescent="0.3">
      <c r="I64" s="145"/>
      <c r="J64" s="146"/>
      <c r="K64" s="146"/>
      <c r="L64" s="147"/>
    </row>
    <row r="65" spans="2:31" ht="15.75" thickBot="1" x14ac:dyDescent="0.3">
      <c r="F65" s="110" t="s">
        <v>49</v>
      </c>
      <c r="G65" s="25"/>
      <c r="H65" s="111"/>
      <c r="I65" s="152">
        <f>IF(L59="a",AA68,Z53)+H17</f>
        <v>40.620090592592582</v>
      </c>
      <c r="J65" s="131"/>
      <c r="K65" s="131"/>
      <c r="L65" s="132"/>
      <c r="AA65" s="1" t="s">
        <v>39</v>
      </c>
      <c r="AC65" s="1" t="s">
        <v>40</v>
      </c>
      <c r="AE65" s="1" t="s">
        <v>41</v>
      </c>
    </row>
    <row r="66" spans="2:31" x14ac:dyDescent="0.25">
      <c r="F66" s="26"/>
      <c r="G66" s="27"/>
      <c r="H66" s="66"/>
      <c r="I66" s="71" t="s">
        <v>14</v>
      </c>
      <c r="J66" s="19" t="s">
        <v>5</v>
      </c>
      <c r="K66" s="19" t="s">
        <v>6</v>
      </c>
      <c r="L66" s="73" t="s">
        <v>23</v>
      </c>
      <c r="AC66" s="1" t="s">
        <v>42</v>
      </c>
      <c r="AD66" s="1">
        <f>(G38-L38)/($G$30-$M$30)</f>
        <v>15.00333333333333</v>
      </c>
    </row>
    <row r="67" spans="2:31" ht="15.75" thickBot="1" x14ac:dyDescent="0.3">
      <c r="F67" s="28"/>
      <c r="G67" s="29"/>
      <c r="H67" s="112"/>
      <c r="I67" s="127">
        <f>INT(Z68)</f>
        <v>42</v>
      </c>
      <c r="J67" s="128">
        <f>INT(60*(Z68-I67))</f>
        <v>42</v>
      </c>
      <c r="K67" s="128">
        <f>INT(3600*(Z68-I67-J67/60))</f>
        <v>53</v>
      </c>
      <c r="L67" s="130" t="str">
        <f>VLOOKUP(Y67,Constante!$F$12:$G$13,2)</f>
        <v>W</v>
      </c>
      <c r="AC67" s="1" t="s">
        <v>43</v>
      </c>
      <c r="AD67" s="1">
        <f>G38-AD66*$G$30</f>
        <v>-177.5383333333333</v>
      </c>
    </row>
    <row r="68" spans="2:31" x14ac:dyDescent="0.25">
      <c r="Y68" s="1">
        <f>IF(AA68&lt;0,-1,1)</f>
        <v>1</v>
      </c>
      <c r="Z68" s="1">
        <f>ABS(AA68)</f>
        <v>42.71476759259258</v>
      </c>
      <c r="AA68" s="1">
        <f>IF(AB68&gt;360,AB68-360,IF(AB68&lt;0,AB68+360,AB68))</f>
        <v>42.71476759259258</v>
      </c>
      <c r="AB68" s="1">
        <f>AD66*AD68+AD67</f>
        <v>42.71476759259258</v>
      </c>
      <c r="AC68" s="1" t="s">
        <v>44</v>
      </c>
      <c r="AD68" s="1">
        <f>$K$9</f>
        <v>14.680277777777777</v>
      </c>
    </row>
    <row r="70" spans="2:31" ht="15.75" thickBot="1" x14ac:dyDescent="0.3"/>
    <row r="71" spans="2:31" ht="15.75" thickBot="1" x14ac:dyDescent="0.3">
      <c r="B71" s="63" t="s">
        <v>46</v>
      </c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5"/>
      <c r="Z71" s="1" t="s">
        <v>48</v>
      </c>
      <c r="AA71" s="1" t="s">
        <v>50</v>
      </c>
    </row>
    <row r="72" spans="2:31" x14ac:dyDescent="0.25">
      <c r="F72" s="94" t="s">
        <v>51</v>
      </c>
      <c r="G72" s="94"/>
      <c r="H72" s="95"/>
      <c r="Z72" s="1">
        <f>SIN(Constante!$D$20*'Droite hauteur'!I61)*SIN(Constante!$D$20*'Droite hauteur'!D17)</f>
        <v>-3.8704297259278139E-2</v>
      </c>
      <c r="AA72" s="1">
        <f>COS(Constante!$D$20*'Droite hauteur'!I61)*COS(Constante!$D$20*'Droite hauteur'!I65)*COS(Constante!$D$20*'Droite hauteur'!D17)</f>
        <v>0.49856130757309908</v>
      </c>
    </row>
    <row r="73" spans="2:31" x14ac:dyDescent="0.25">
      <c r="F73" s="6" t="s">
        <v>14</v>
      </c>
      <c r="G73" s="6" t="s">
        <v>5</v>
      </c>
      <c r="H73" s="7" t="s">
        <v>6</v>
      </c>
    </row>
    <row r="74" spans="2:31" ht="15.75" thickBot="1" x14ac:dyDescent="0.3">
      <c r="F74" s="133">
        <f>INT(ABS(F75))</f>
        <v>27</v>
      </c>
      <c r="G74" s="133">
        <f>INT(60*(ABS(F75)-F74))</f>
        <v>22</v>
      </c>
      <c r="H74" s="96">
        <f>ABS(F75)-F74-G74/60</f>
        <v>1.1214358544610337E-2</v>
      </c>
    </row>
    <row r="75" spans="2:31" ht="15.75" thickBot="1" x14ac:dyDescent="0.3">
      <c r="F75" s="46">
        <f>ASIN(Z72+AA72)/Constante!$D$20</f>
        <v>27.377881025211277</v>
      </c>
      <c r="G75" s="47"/>
      <c r="H75" s="48"/>
    </row>
    <row r="78" spans="2:31" ht="15.75" thickBot="1" x14ac:dyDescent="0.3"/>
    <row r="79" spans="2:31" ht="15.75" thickBot="1" x14ac:dyDescent="0.3">
      <c r="B79" s="63" t="s">
        <v>52</v>
      </c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5"/>
      <c r="Z79" s="1" t="s">
        <v>54</v>
      </c>
      <c r="AA79" s="1" t="s">
        <v>55</v>
      </c>
      <c r="AB79" s="1" t="s">
        <v>56</v>
      </c>
    </row>
    <row r="80" spans="2:31" x14ac:dyDescent="0.25">
      <c r="F80" s="94" t="s">
        <v>53</v>
      </c>
      <c r="G80" s="94"/>
      <c r="H80" s="95"/>
      <c r="Z80" s="1">
        <f>SIN(Constante!D20*'Droite hauteur'!I61)</f>
        <v>-5.1380875414941019E-2</v>
      </c>
      <c r="AA80" s="1">
        <f>SIN(Constante!$D$20*'Droite hauteur'!D17)*SIN(Constante!$D$20*'Droite hauteur'!F75)</f>
        <v>0.34640208599430472</v>
      </c>
      <c r="AB80" s="1">
        <f>COS(Constante!$D$20*'Droite hauteur'!D17)*COS(Constante!$D$20*'Droite hauteur'!F75)</f>
        <v>0.58403074375654951</v>
      </c>
    </row>
    <row r="81" spans="2:30" x14ac:dyDescent="0.25">
      <c r="F81" s="6" t="s">
        <v>14</v>
      </c>
      <c r="G81" s="6" t="s">
        <v>5</v>
      </c>
      <c r="H81" s="7" t="s">
        <v>6</v>
      </c>
    </row>
    <row r="82" spans="2:30" ht="15.75" thickBot="1" x14ac:dyDescent="0.3">
      <c r="F82" s="133">
        <f>INT(ABS(F83))</f>
        <v>132</v>
      </c>
      <c r="G82" s="133">
        <f>INT(60*(ABS(F83)-F82))</f>
        <v>55</v>
      </c>
      <c r="H82" s="96">
        <f>ABS(F83)-F82-G82/60</f>
        <v>1.2943501570523153E-2</v>
      </c>
      <c r="J82" s="1" t="s">
        <v>82</v>
      </c>
    </row>
    <row r="83" spans="2:30" ht="15.75" thickBot="1" x14ac:dyDescent="0.3">
      <c r="F83" s="30">
        <f>ACOS(((Z80-AA80)/AB80))/Constante!$D$20</f>
        <v>132.92961016823719</v>
      </c>
      <c r="G83" s="31"/>
      <c r="H83" s="32"/>
      <c r="K83" s="150">
        <f>IF(I65&lt;180,ABS(F83-360),F83)</f>
        <v>227.07038983176281</v>
      </c>
    </row>
    <row r="85" spans="2:30" ht="15.75" thickBot="1" x14ac:dyDescent="0.3"/>
    <row r="86" spans="2:30" ht="15.75" thickBot="1" x14ac:dyDescent="0.3">
      <c r="B86" s="63" t="s">
        <v>67</v>
      </c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5"/>
    </row>
    <row r="87" spans="2:30" x14ac:dyDescent="0.25">
      <c r="D87" s="1" t="s">
        <v>13</v>
      </c>
      <c r="F87" t="s">
        <v>20</v>
      </c>
      <c r="G87"/>
      <c r="H87"/>
      <c r="I87" s="1" t="s">
        <v>70</v>
      </c>
      <c r="O87" s="94" t="s">
        <v>71</v>
      </c>
      <c r="P87" s="94"/>
      <c r="Q87" s="95"/>
      <c r="Z87" s="1">
        <f>MATCH(K13,Constante!M7:M19,1)</f>
        <v>8</v>
      </c>
    </row>
    <row r="88" spans="2:30" x14ac:dyDescent="0.25">
      <c r="D88" s="153">
        <f>K13</f>
        <v>18.366666666666667</v>
      </c>
      <c r="E88" s="113" t="s">
        <v>68</v>
      </c>
      <c r="F88" s="154">
        <f>D20</f>
        <v>2.3333333333333335</v>
      </c>
      <c r="G88"/>
      <c r="H88" s="155" t="s">
        <v>69</v>
      </c>
      <c r="I88" s="1">
        <f>Z94</f>
        <v>0.22010000000000002</v>
      </c>
      <c r="O88" s="6" t="s">
        <v>14</v>
      </c>
      <c r="P88" s="6" t="s">
        <v>5</v>
      </c>
      <c r="Q88" s="7" t="s">
        <v>6</v>
      </c>
      <c r="Z88" s="1">
        <f>INDEX(Constante!M7:M18,Z87,1)</f>
        <v>15</v>
      </c>
      <c r="AA88" s="1">
        <f>INDEX(Constante!M7:M18,1+Z87,1)</f>
        <v>20</v>
      </c>
    </row>
    <row r="89" spans="2:30" ht="15.75" thickBot="1" x14ac:dyDescent="0.3">
      <c r="F89"/>
      <c r="G89"/>
      <c r="H89" s="155" t="s">
        <v>69</v>
      </c>
      <c r="I89" s="1">
        <v>0</v>
      </c>
      <c r="O89" s="133">
        <f>INT(ABS(O90))</f>
        <v>16</v>
      </c>
      <c r="P89" s="133">
        <f>INT(60*(ABS(O90)-O89))</f>
        <v>15</v>
      </c>
      <c r="Q89" s="96">
        <f>ABS(O90)-O89-P89/60</f>
        <v>3.4333333333336213E-3</v>
      </c>
      <c r="Z89" s="1">
        <f>INDEX(Constante!N7:T19,Z87,1+E21)</f>
        <v>0.21</v>
      </c>
      <c r="AA89" s="1">
        <f>INDEX(Constante!N7:T19,1+Z87,1+E21)</f>
        <v>0.22500000000000001</v>
      </c>
    </row>
    <row r="90" spans="2:30" ht="15.75" thickBot="1" x14ac:dyDescent="0.3">
      <c r="F90"/>
      <c r="G90"/>
      <c r="I90" s="1" t="s">
        <v>72</v>
      </c>
      <c r="O90" s="46">
        <f>D88-F88+I88+I89</f>
        <v>16.253433333333334</v>
      </c>
      <c r="P90" s="47"/>
      <c r="Q90" s="48"/>
    </row>
    <row r="91" spans="2:30" x14ac:dyDescent="0.25">
      <c r="Z91" s="1" t="s">
        <v>39</v>
      </c>
      <c r="AB91" s="1" t="s">
        <v>40</v>
      </c>
      <c r="AD91" s="1" t="s">
        <v>41</v>
      </c>
    </row>
    <row r="92" spans="2:30" x14ac:dyDescent="0.25">
      <c r="AB92" s="1" t="s">
        <v>42</v>
      </c>
      <c r="AC92" s="1">
        <f>(Z89-AA89)/(Z88-AA88)</f>
        <v>3.0000000000000027E-3</v>
      </c>
    </row>
    <row r="93" spans="2:30" x14ac:dyDescent="0.25">
      <c r="D93" s="1" t="s">
        <v>79</v>
      </c>
      <c r="AB93" s="1" t="s">
        <v>43</v>
      </c>
      <c r="AC93" s="1">
        <f>Z89-AC92*Z88</f>
        <v>0.16499999999999995</v>
      </c>
    </row>
    <row r="94" spans="2:30" x14ac:dyDescent="0.25">
      <c r="F94" s="94" t="s">
        <v>79</v>
      </c>
      <c r="G94" s="94"/>
      <c r="H94" s="95"/>
      <c r="Z94" s="1">
        <f>AC92*D88+AC93</f>
        <v>0.22010000000000002</v>
      </c>
      <c r="AB94" s="1" t="s">
        <v>44</v>
      </c>
      <c r="AC94" s="1">
        <f>$K$9</f>
        <v>14.680277777777777</v>
      </c>
    </row>
    <row r="95" spans="2:30" x14ac:dyDescent="0.25">
      <c r="F95" s="6" t="s">
        <v>14</v>
      </c>
      <c r="G95" s="6" t="s">
        <v>5</v>
      </c>
      <c r="H95" s="7" t="s">
        <v>6</v>
      </c>
    </row>
    <row r="96" spans="2:30" ht="15.75" thickBot="1" x14ac:dyDescent="0.3">
      <c r="F96" s="133">
        <f>INT(ABS(F97))</f>
        <v>11</v>
      </c>
      <c r="G96" s="133">
        <f>INT(60*(ABS(F97)-F96))</f>
        <v>7</v>
      </c>
      <c r="H96" s="96">
        <f>ABS(F97)-F96-G96/60</f>
        <v>7.7810252112766876E-3</v>
      </c>
    </row>
    <row r="97" spans="6:12" ht="15.75" thickBot="1" x14ac:dyDescent="0.3">
      <c r="F97" s="46">
        <f>O90-F75</f>
        <v>-11.124447691877943</v>
      </c>
      <c r="G97" s="47"/>
      <c r="H97" s="48"/>
      <c r="I97" s="174">
        <f>F97*60</f>
        <v>-667.46686151267659</v>
      </c>
      <c r="J97" s="151"/>
      <c r="K97" s="151"/>
      <c r="L97" s="1" t="s">
        <v>81</v>
      </c>
    </row>
    <row r="98" spans="6:12" x14ac:dyDescent="0.25">
      <c r="L98" s="1" t="s">
        <v>80</v>
      </c>
    </row>
  </sheetData>
  <mergeCells count="77">
    <mergeCell ref="O87:Q87"/>
    <mergeCell ref="O90:Q90"/>
    <mergeCell ref="F94:H94"/>
    <mergeCell ref="F97:H97"/>
    <mergeCell ref="I97:K97"/>
    <mergeCell ref="L49:N51"/>
    <mergeCell ref="R50:R51"/>
    <mergeCell ref="O51:Q51"/>
    <mergeCell ref="L53:N55"/>
    <mergeCell ref="R54:R55"/>
    <mergeCell ref="O55:Q55"/>
    <mergeCell ref="G51:I51"/>
    <mergeCell ref="G52:J52"/>
    <mergeCell ref="D53:F55"/>
    <mergeCell ref="J54:J55"/>
    <mergeCell ref="G55:I55"/>
    <mergeCell ref="F72:H72"/>
    <mergeCell ref="F75:H75"/>
    <mergeCell ref="F80:H80"/>
    <mergeCell ref="F83:H83"/>
    <mergeCell ref="G44:I44"/>
    <mergeCell ref="G47:I47"/>
    <mergeCell ref="D49:F51"/>
    <mergeCell ref="J50:J51"/>
    <mergeCell ref="I64:L64"/>
    <mergeCell ref="F65:H67"/>
    <mergeCell ref="I61:L61"/>
    <mergeCell ref="I65:L65"/>
    <mergeCell ref="D32:F34"/>
    <mergeCell ref="D36:F38"/>
    <mergeCell ref="F61:H63"/>
    <mergeCell ref="H59:K59"/>
    <mergeCell ref="G30:I30"/>
    <mergeCell ref="M30:O30"/>
    <mergeCell ref="J33:J34"/>
    <mergeCell ref="J37:J38"/>
    <mergeCell ref="G34:I34"/>
    <mergeCell ref="G38:I38"/>
    <mergeCell ref="O33:O34"/>
    <mergeCell ref="L34:N34"/>
    <mergeCell ref="L35:O35"/>
    <mergeCell ref="O37:O38"/>
    <mergeCell ref="L38:N38"/>
    <mergeCell ref="M27:O27"/>
    <mergeCell ref="G35:J35"/>
    <mergeCell ref="B18:C20"/>
    <mergeCell ref="D20:F20"/>
    <mergeCell ref="G27:I27"/>
    <mergeCell ref="K9:M9"/>
    <mergeCell ref="D14:G14"/>
    <mergeCell ref="G16:G17"/>
    <mergeCell ref="K16:K17"/>
    <mergeCell ref="H14:K14"/>
    <mergeCell ref="E8:E9"/>
    <mergeCell ref="F8:F9"/>
    <mergeCell ref="G8:G9"/>
    <mergeCell ref="H8:H9"/>
    <mergeCell ref="I8:I9"/>
    <mergeCell ref="J8:J9"/>
    <mergeCell ref="K13:M13"/>
    <mergeCell ref="B10:E13"/>
    <mergeCell ref="F10:I13"/>
    <mergeCell ref="J10:J13"/>
    <mergeCell ref="D17:F17"/>
    <mergeCell ref="H17:J17"/>
    <mergeCell ref="B14:C17"/>
    <mergeCell ref="B2:Z2"/>
    <mergeCell ref="K10:M10"/>
    <mergeCell ref="B8:B9"/>
    <mergeCell ref="C8:C9"/>
    <mergeCell ref="D8:D9"/>
    <mergeCell ref="B6:D6"/>
    <mergeCell ref="E6:G6"/>
    <mergeCell ref="H6:J6"/>
    <mergeCell ref="K6:M6"/>
    <mergeCell ref="B5:E5"/>
    <mergeCell ref="F5:M5"/>
  </mergeCell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Astre visé" xr:uid="{BD95612F-E8BB-4DD1-9467-34CE77627DCB}">
          <x14:formula1>
            <xm:f>Constante!$D$3:$D$9</xm:f>
          </x14:formula1>
          <xm:sqref>F10</xm:sqref>
        </x14:dataValidation>
        <x14:dataValidation type="list" allowBlank="1" showInputMessage="1" showErrorMessage="1" xr:uid="{C9C3E351-3924-4665-B1E9-88D2405A1495}">
          <x14:formula1>
            <xm:f>Constante!$D$15:$D$16</xm:f>
          </x14:formula1>
          <xm:sqref>G16:G17 J33:J34 O33:O34 J50:J51 R50:R51 R54:R55</xm:sqref>
        </x14:dataValidation>
        <x14:dataValidation type="list" allowBlank="1" showInputMessage="1" showErrorMessage="1" xr:uid="{192889F5-4A39-4BE9-8F54-B8C03D66090F}">
          <x14:formula1>
            <xm:f>Constante!$D$12:$D$13</xm:f>
          </x14:formula1>
          <xm:sqref>K16:K17 J37:J38 O37:O38 J54:J55</xm:sqref>
        </x14:dataValidation>
        <x14:dataValidation type="list" allowBlank="1" showInputMessage="1" showErrorMessage="1" xr:uid="{63242190-BDC8-4466-A208-D970E14905E4}">
          <x14:formula1>
            <xm:f>Constante!$D$24:$D$25</xm:f>
          </x14:formula1>
          <xm:sqref>H59</xm:sqref>
        </x14:dataValidation>
        <x14:dataValidation type="list" allowBlank="1" showInputMessage="1" showErrorMessage="1" xr:uid="{2F4161F8-89D1-44B9-86EE-1936AEE5EF6F}">
          <x14:formula1>
            <xm:f>Constante!$K$3:$K$8</xm:f>
          </x14:formula1>
          <xm:sqref>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DE2F-2E36-4273-A36F-448339427FAA}">
  <dimension ref="C3:U25"/>
  <sheetViews>
    <sheetView workbookViewId="0">
      <selection activeCell="P15" sqref="P15"/>
    </sheetView>
  </sheetViews>
  <sheetFormatPr baseColWidth="10" defaultRowHeight="15" x14ac:dyDescent="0.25"/>
  <cols>
    <col min="3" max="3" width="17" customWidth="1"/>
    <col min="5" max="5" width="3.5703125" customWidth="1"/>
  </cols>
  <sheetData>
    <row r="3" spans="3:21" x14ac:dyDescent="0.25">
      <c r="C3" s="168" t="s">
        <v>15</v>
      </c>
      <c r="D3" s="168" t="s">
        <v>16</v>
      </c>
      <c r="J3" s="129" t="s">
        <v>78</v>
      </c>
      <c r="K3" s="129">
        <v>0</v>
      </c>
      <c r="L3" s="156" t="s">
        <v>73</v>
      </c>
      <c r="M3" s="157"/>
      <c r="N3" s="157"/>
      <c r="O3" s="157"/>
      <c r="P3" s="157"/>
      <c r="Q3" s="157"/>
      <c r="R3" s="157"/>
      <c r="S3" s="158"/>
      <c r="T3" s="159"/>
      <c r="U3" s="159"/>
    </row>
    <row r="4" spans="3:21" x14ac:dyDescent="0.25">
      <c r="C4" s="168"/>
      <c r="D4" s="168" t="s">
        <v>24</v>
      </c>
      <c r="J4" s="129"/>
      <c r="K4" s="129">
        <v>1</v>
      </c>
      <c r="L4" s="159"/>
      <c r="M4" s="160" t="s">
        <v>74</v>
      </c>
      <c r="N4" s="160" t="s">
        <v>75</v>
      </c>
      <c r="O4" s="160"/>
      <c r="P4" s="160"/>
      <c r="Q4" s="160"/>
      <c r="R4" s="160"/>
      <c r="S4" s="161"/>
      <c r="T4" s="159"/>
      <c r="U4" s="159"/>
    </row>
    <row r="5" spans="3:21" x14ac:dyDescent="0.25">
      <c r="C5" s="168"/>
      <c r="D5" s="168" t="s">
        <v>26</v>
      </c>
      <c r="J5" s="129"/>
      <c r="K5" s="129">
        <v>2</v>
      </c>
      <c r="L5" s="159"/>
      <c r="M5" s="160"/>
      <c r="N5" s="162">
        <v>0</v>
      </c>
      <c r="O5" s="162">
        <v>1</v>
      </c>
      <c r="P5" s="162">
        <v>2</v>
      </c>
      <c r="Q5" s="162">
        <v>3</v>
      </c>
      <c r="R5" s="162">
        <v>4</v>
      </c>
      <c r="S5" s="162">
        <v>5</v>
      </c>
      <c r="T5" s="163">
        <v>1000</v>
      </c>
      <c r="U5" s="159"/>
    </row>
    <row r="6" spans="3:21" x14ac:dyDescent="0.25">
      <c r="C6" s="168"/>
      <c r="D6" s="168" t="s">
        <v>27</v>
      </c>
      <c r="J6" s="129"/>
      <c r="K6" s="129">
        <v>3</v>
      </c>
      <c r="L6" s="164" t="s">
        <v>76</v>
      </c>
      <c r="M6" s="165"/>
      <c r="N6" s="165">
        <v>1</v>
      </c>
      <c r="O6" s="165">
        <v>2</v>
      </c>
      <c r="P6" s="165">
        <f>O6+1</f>
        <v>3</v>
      </c>
      <c r="Q6" s="165">
        <f>P6+1</f>
        <v>4</v>
      </c>
      <c r="R6" s="165">
        <f>Q6+1</f>
        <v>5</v>
      </c>
      <c r="S6" s="165">
        <f>R6+1</f>
        <v>6</v>
      </c>
      <c r="T6" s="165">
        <f>S6+1</f>
        <v>7</v>
      </c>
      <c r="U6" s="159"/>
    </row>
    <row r="7" spans="3:21" x14ac:dyDescent="0.25">
      <c r="C7" s="168"/>
      <c r="D7" s="168" t="s">
        <v>27</v>
      </c>
      <c r="J7" s="129"/>
      <c r="K7" s="129">
        <v>4</v>
      </c>
      <c r="L7" s="159"/>
      <c r="M7" s="162">
        <v>0</v>
      </c>
      <c r="N7" s="162">
        <v>0.09</v>
      </c>
      <c r="O7" s="162">
        <v>0.08</v>
      </c>
      <c r="P7" s="162">
        <v>7.0000000000000007E-2</v>
      </c>
      <c r="Q7" s="162">
        <v>0.06</v>
      </c>
      <c r="R7" s="162">
        <v>0.05</v>
      </c>
      <c r="S7" s="162">
        <v>0.04</v>
      </c>
      <c r="T7" s="163">
        <v>0.03</v>
      </c>
      <c r="U7" s="166">
        <v>1</v>
      </c>
    </row>
    <row r="8" spans="3:21" x14ac:dyDescent="0.25">
      <c r="C8" s="168"/>
      <c r="D8" s="168" t="s">
        <v>27</v>
      </c>
      <c r="J8" s="129"/>
      <c r="K8" s="129">
        <v>5</v>
      </c>
      <c r="L8" s="159"/>
      <c r="M8" s="162">
        <v>6</v>
      </c>
      <c r="N8" s="162">
        <v>0.125</v>
      </c>
      <c r="O8" s="162">
        <v>0.125</v>
      </c>
      <c r="P8" s="162">
        <v>8.3333333333333329E-2</v>
      </c>
      <c r="Q8" s="162">
        <v>7.4999999999999997E-2</v>
      </c>
      <c r="R8" s="162">
        <v>6.6666666666666666E-2</v>
      </c>
      <c r="S8" s="162">
        <v>5.8333333333333334E-2</v>
      </c>
      <c r="T8" s="163">
        <v>5.8333333333333334E-2</v>
      </c>
      <c r="U8" s="166">
        <v>1</v>
      </c>
    </row>
    <row r="9" spans="3:21" x14ac:dyDescent="0.25">
      <c r="C9" s="168"/>
      <c r="D9" s="168" t="s">
        <v>27</v>
      </c>
      <c r="L9" s="159"/>
      <c r="M9" s="162">
        <v>7</v>
      </c>
      <c r="N9" s="162">
        <v>0.14499999999999999</v>
      </c>
      <c r="O9" s="162">
        <v>0.14499999999999999</v>
      </c>
      <c r="P9" s="162">
        <v>0.1</v>
      </c>
      <c r="Q9" s="162">
        <v>9.166666666666666E-2</v>
      </c>
      <c r="R9" s="162">
        <v>8.3333333333333329E-2</v>
      </c>
      <c r="S9" s="162">
        <v>7.4999999999999997E-2</v>
      </c>
      <c r="T9" s="163">
        <v>7.4999999999999997E-2</v>
      </c>
      <c r="U9" s="166">
        <f>U8+1</f>
        <v>2</v>
      </c>
    </row>
    <row r="10" spans="3:21" x14ac:dyDescent="0.25">
      <c r="L10" s="159"/>
      <c r="M10" s="162">
        <v>8</v>
      </c>
      <c r="N10" s="162">
        <v>0.16</v>
      </c>
      <c r="O10" s="162">
        <v>0.16</v>
      </c>
      <c r="P10" s="162">
        <v>0.11666666666666667</v>
      </c>
      <c r="Q10" s="162">
        <v>0.10833333333333334</v>
      </c>
      <c r="R10" s="162">
        <v>0.1</v>
      </c>
      <c r="S10" s="162">
        <v>9.166666666666666E-2</v>
      </c>
      <c r="T10" s="163">
        <v>9.166666666666666E-2</v>
      </c>
      <c r="U10" s="166">
        <f t="shared" ref="U10:U19" si="0">U9+1</f>
        <v>3</v>
      </c>
    </row>
    <row r="11" spans="3:21" x14ac:dyDescent="0.25">
      <c r="L11" s="159"/>
      <c r="M11" s="162">
        <v>9</v>
      </c>
      <c r="N11" s="162">
        <v>0.17166666666666669</v>
      </c>
      <c r="O11" s="162">
        <v>0.17166666666666669</v>
      </c>
      <c r="P11" s="162">
        <v>0.13333333333333333</v>
      </c>
      <c r="Q11" s="162">
        <v>0.11666666666666667</v>
      </c>
      <c r="R11" s="162">
        <v>0.10833333333333334</v>
      </c>
      <c r="S11" s="162">
        <v>0.1</v>
      </c>
      <c r="T11" s="163">
        <v>0.1</v>
      </c>
      <c r="U11" s="166">
        <f t="shared" si="0"/>
        <v>4</v>
      </c>
    </row>
    <row r="12" spans="3:21" x14ac:dyDescent="0.25">
      <c r="C12" s="169" t="s">
        <v>28</v>
      </c>
      <c r="D12" s="170" t="s">
        <v>33</v>
      </c>
      <c r="E12" s="171">
        <v>1</v>
      </c>
      <c r="F12" s="169">
        <v>-1</v>
      </c>
      <c r="G12" s="169" t="s">
        <v>32</v>
      </c>
      <c r="L12" s="159"/>
      <c r="M12" s="162">
        <v>10</v>
      </c>
      <c r="N12" s="162">
        <v>0.18000000000000002</v>
      </c>
      <c r="O12" s="162">
        <v>0.18000000000000002</v>
      </c>
      <c r="P12" s="162">
        <v>0.14166666666666666</v>
      </c>
      <c r="Q12" s="162">
        <v>0.13333333333333333</v>
      </c>
      <c r="R12" s="162">
        <v>0.11666666666666667</v>
      </c>
      <c r="S12" s="162">
        <v>0.11666666666666667</v>
      </c>
      <c r="T12" s="163">
        <v>0.11666666666666667</v>
      </c>
      <c r="U12" s="166">
        <f t="shared" si="0"/>
        <v>5</v>
      </c>
    </row>
    <row r="13" spans="3:21" x14ac:dyDescent="0.25">
      <c r="C13" s="169"/>
      <c r="D13" s="170" t="s">
        <v>32</v>
      </c>
      <c r="E13" s="171">
        <v>-1</v>
      </c>
      <c r="F13" s="169">
        <v>1</v>
      </c>
      <c r="G13" s="169" t="s">
        <v>33</v>
      </c>
      <c r="L13" s="159"/>
      <c r="M13" s="162">
        <v>12</v>
      </c>
      <c r="N13" s="162">
        <v>0.19499999999999998</v>
      </c>
      <c r="O13" s="162">
        <v>0.19499999999999998</v>
      </c>
      <c r="P13" s="162">
        <v>0.15</v>
      </c>
      <c r="Q13" s="162">
        <v>0.14166666666666666</v>
      </c>
      <c r="R13" s="162">
        <v>0.13333333333333333</v>
      </c>
      <c r="S13" s="162">
        <v>0.125</v>
      </c>
      <c r="T13" s="163">
        <v>0.125</v>
      </c>
      <c r="U13" s="166">
        <f t="shared" si="0"/>
        <v>6</v>
      </c>
    </row>
    <row r="14" spans="3:21" x14ac:dyDescent="0.25">
      <c r="D14" s="124"/>
      <c r="E14" s="125"/>
      <c r="L14" s="159"/>
      <c r="M14" s="162">
        <v>15</v>
      </c>
      <c r="N14" s="162">
        <v>0.21</v>
      </c>
      <c r="O14" s="162">
        <v>0.21</v>
      </c>
      <c r="P14" s="162">
        <v>0.16666666666666666</v>
      </c>
      <c r="Q14" s="162">
        <v>0.15833333333333333</v>
      </c>
      <c r="R14" s="162">
        <v>0.15</v>
      </c>
      <c r="S14" s="162">
        <v>0.14166666666666666</v>
      </c>
      <c r="T14" s="163">
        <v>0.14166666666666666</v>
      </c>
      <c r="U14" s="166">
        <f t="shared" si="0"/>
        <v>7</v>
      </c>
    </row>
    <row r="15" spans="3:21" x14ac:dyDescent="0.25">
      <c r="C15" s="168" t="s">
        <v>31</v>
      </c>
      <c r="D15" s="172" t="s">
        <v>29</v>
      </c>
      <c r="E15" s="173">
        <v>1</v>
      </c>
      <c r="F15" s="168">
        <v>-1</v>
      </c>
      <c r="G15" s="168" t="s">
        <v>30</v>
      </c>
      <c r="L15" s="159"/>
      <c r="M15" s="162">
        <v>20</v>
      </c>
      <c r="N15" s="162">
        <v>0.22500000000000001</v>
      </c>
      <c r="O15" s="162">
        <v>0.22500000000000001</v>
      </c>
      <c r="P15" s="162">
        <v>0.18333333333333332</v>
      </c>
      <c r="Q15" s="162">
        <v>0.17499999999999999</v>
      </c>
      <c r="R15" s="162">
        <v>0.16666666666666666</v>
      </c>
      <c r="S15" s="162">
        <v>0.15833333333333333</v>
      </c>
      <c r="T15" s="163">
        <v>0.15833333333333333</v>
      </c>
      <c r="U15" s="166">
        <f t="shared" si="0"/>
        <v>8</v>
      </c>
    </row>
    <row r="16" spans="3:21" x14ac:dyDescent="0.25">
      <c r="C16" s="168"/>
      <c r="D16" s="172" t="s">
        <v>30</v>
      </c>
      <c r="E16" s="173">
        <v>-1</v>
      </c>
      <c r="F16" s="168">
        <v>1</v>
      </c>
      <c r="G16" s="168" t="s">
        <v>29</v>
      </c>
      <c r="L16" s="159"/>
      <c r="M16" s="162">
        <v>30</v>
      </c>
      <c r="N16" s="162">
        <v>0.24166666666666667</v>
      </c>
      <c r="O16" s="162">
        <v>0.24166666666666667</v>
      </c>
      <c r="P16" s="162">
        <v>0.2</v>
      </c>
      <c r="Q16" s="162">
        <v>0.18333333333333332</v>
      </c>
      <c r="R16" s="162">
        <v>0.18333333333333332</v>
      </c>
      <c r="S16" s="162">
        <v>0.17499999999999999</v>
      </c>
      <c r="T16" s="163">
        <v>0.17499999999999999</v>
      </c>
      <c r="U16" s="166">
        <f t="shared" si="0"/>
        <v>9</v>
      </c>
    </row>
    <row r="17" spans="3:21" x14ac:dyDescent="0.25">
      <c r="L17" s="159"/>
      <c r="M17" s="162">
        <v>50</v>
      </c>
      <c r="N17" s="162">
        <v>0.255</v>
      </c>
      <c r="O17" s="162">
        <v>0.255</v>
      </c>
      <c r="P17" s="162">
        <v>0.21666666666666667</v>
      </c>
      <c r="Q17" s="162">
        <v>0.2</v>
      </c>
      <c r="R17" s="162">
        <v>0.2</v>
      </c>
      <c r="S17" s="162">
        <v>0.18333333333333332</v>
      </c>
      <c r="T17" s="163">
        <v>0.18333333333333332</v>
      </c>
      <c r="U17" s="166">
        <f t="shared" si="0"/>
        <v>10</v>
      </c>
    </row>
    <row r="18" spans="3:21" x14ac:dyDescent="0.25">
      <c r="L18" s="159"/>
      <c r="M18" s="162">
        <v>90</v>
      </c>
      <c r="N18" s="162">
        <v>0.26666666666666666</v>
      </c>
      <c r="O18" s="162">
        <v>0.26666666666666666</v>
      </c>
      <c r="P18" s="162">
        <v>0.22500000000000001</v>
      </c>
      <c r="Q18" s="162">
        <v>0.21666666666666667</v>
      </c>
      <c r="R18" s="162">
        <v>0.2</v>
      </c>
      <c r="S18" s="162">
        <v>0.2</v>
      </c>
      <c r="T18" s="163">
        <v>0.2</v>
      </c>
      <c r="U18" s="166">
        <f t="shared" si="0"/>
        <v>11</v>
      </c>
    </row>
    <row r="19" spans="3:21" x14ac:dyDescent="0.25">
      <c r="L19" s="159"/>
      <c r="M19" s="163">
        <v>180</v>
      </c>
      <c r="N19" s="163">
        <v>0.26666666666666666</v>
      </c>
      <c r="O19" s="163">
        <v>0.26666666666666666</v>
      </c>
      <c r="P19" s="163">
        <v>0.22500000000000001</v>
      </c>
      <c r="Q19" s="163">
        <v>0.21666666666666667</v>
      </c>
      <c r="R19" s="163">
        <v>0.2</v>
      </c>
      <c r="S19" s="163">
        <v>0.2</v>
      </c>
      <c r="T19" s="163">
        <v>0.2</v>
      </c>
      <c r="U19" s="166">
        <f t="shared" si="0"/>
        <v>12</v>
      </c>
    </row>
    <row r="20" spans="3:21" x14ac:dyDescent="0.25">
      <c r="C20" s="169" t="s">
        <v>47</v>
      </c>
      <c r="D20" s="169">
        <f>PI()/180</f>
        <v>1.7453292519943295E-2</v>
      </c>
      <c r="L20" s="159"/>
      <c r="M20" s="167" t="s">
        <v>25</v>
      </c>
      <c r="N20" s="167">
        <v>-0.26666666666</v>
      </c>
      <c r="O20" s="159"/>
      <c r="P20" s="159"/>
      <c r="Q20" s="159"/>
      <c r="R20" s="159"/>
      <c r="S20" s="159"/>
      <c r="T20" s="159"/>
      <c r="U20" s="159"/>
    </row>
    <row r="21" spans="3:21" x14ac:dyDescent="0.25">
      <c r="M21" s="167" t="s">
        <v>77</v>
      </c>
      <c r="N21" s="167">
        <v>-0.53333333333300004</v>
      </c>
      <c r="O21" s="159"/>
      <c r="P21" s="159"/>
      <c r="Q21" s="159"/>
      <c r="R21" s="159"/>
      <c r="S21" s="159"/>
      <c r="T21" s="159"/>
      <c r="U21" s="159"/>
    </row>
    <row r="24" spans="3:21" x14ac:dyDescent="0.25">
      <c r="C24" s="168" t="s">
        <v>62</v>
      </c>
      <c r="D24" s="168" t="s">
        <v>63</v>
      </c>
      <c r="E24" s="168" t="s">
        <v>65</v>
      </c>
    </row>
    <row r="25" spans="3:21" x14ac:dyDescent="0.25">
      <c r="C25" s="168"/>
      <c r="D25" s="168" t="s">
        <v>64</v>
      </c>
      <c r="E25" s="168" t="s">
        <v>66</v>
      </c>
    </row>
  </sheetData>
  <mergeCells count="3">
    <mergeCell ref="L3:S3"/>
    <mergeCell ref="M4:M5"/>
    <mergeCell ref="N4:R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Droite hauteur</vt:lpstr>
      <vt:lpstr>Constante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dcterms:created xsi:type="dcterms:W3CDTF">2022-10-01T13:56:08Z</dcterms:created>
  <dcterms:modified xsi:type="dcterms:W3CDTF">2022-10-01T21:47:43Z</dcterms:modified>
</cp:coreProperties>
</file>