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WorkSpaces\WS\GitHub\NavAstro\NavAstro\XLS\"/>
    </mc:Choice>
  </mc:AlternateContent>
  <bookViews>
    <workbookView xWindow="0" yWindow="0" windowWidth="28770" windowHeight="12420" activeTab="1"/>
  </bookViews>
  <sheets>
    <sheet name="Outils" sheetId="4" r:id="rId1"/>
    <sheet name="Meridienne" sheetId="1" r:id="rId2"/>
    <sheet name="MeridienneCalculs" sheetId="5" r:id="rId3"/>
    <sheet name="Droite hauteur" sheetId="3" r:id="rId4"/>
    <sheet name="Constant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H9" i="5"/>
  <c r="T9" i="5" s="1"/>
  <c r="Y9" i="5" s="1"/>
  <c r="AE9" i="5" s="1"/>
  <c r="H6" i="5"/>
  <c r="AE6" i="5" s="1"/>
  <c r="AL6" i="5" s="1"/>
  <c r="AE58" i="5"/>
  <c r="AL58" i="5" s="1"/>
  <c r="X58" i="5"/>
  <c r="W58" i="5"/>
  <c r="V58" i="5"/>
  <c r="U58" i="5"/>
  <c r="T58" i="5"/>
  <c r="Y58" i="5" s="1"/>
  <c r="R58" i="5"/>
  <c r="AG55" i="5"/>
  <c r="AC55" i="5"/>
  <c r="AI55" i="5" s="1"/>
  <c r="Y55" i="5"/>
  <c r="AE55" i="5" s="1"/>
  <c r="U55" i="5"/>
  <c r="W55" i="5" s="1"/>
  <c r="T55" i="5"/>
  <c r="R37" i="5"/>
  <c r="P37" i="5"/>
  <c r="R34" i="5"/>
  <c r="P34" i="5"/>
  <c r="AE27" i="5"/>
  <c r="AG27" i="5" s="1"/>
  <c r="X27" i="5"/>
  <c r="W27" i="5"/>
  <c r="V27" i="5"/>
  <c r="U27" i="5"/>
  <c r="T27" i="5"/>
  <c r="Y27" i="5" s="1"/>
  <c r="R27" i="5"/>
  <c r="AE24" i="5"/>
  <c r="AL24" i="5" s="1"/>
  <c r="X24" i="5"/>
  <c r="W24" i="5"/>
  <c r="V24" i="5"/>
  <c r="Y24" i="5" s="1"/>
  <c r="U24" i="5"/>
  <c r="T24" i="5"/>
  <c r="R24" i="5"/>
  <c r="R6" i="5"/>
  <c r="R5" i="5"/>
  <c r="AC9" i="5" l="1"/>
  <c r="AJ9" i="5" s="1"/>
  <c r="U9" i="5"/>
  <c r="U6" i="5"/>
  <c r="W6" i="5"/>
  <c r="T6" i="5"/>
  <c r="X6" i="5"/>
  <c r="V6" i="5"/>
  <c r="Y6" i="5" s="1"/>
  <c r="Z6" i="5" s="1"/>
  <c r="AC6" i="5" s="1"/>
  <c r="AA27" i="5"/>
  <c r="AD27" i="5" s="1"/>
  <c r="Z27" i="5"/>
  <c r="AC27" i="5" s="1"/>
  <c r="AB27" i="5"/>
  <c r="AB58" i="5"/>
  <c r="Z58" i="5"/>
  <c r="AC58" i="5" s="1"/>
  <c r="Z24" i="5"/>
  <c r="AC24" i="5" s="1"/>
  <c r="AB24" i="5"/>
  <c r="AA24" i="5"/>
  <c r="AD24" i="5" s="1"/>
  <c r="X55" i="5"/>
  <c r="AG24" i="5"/>
  <c r="AH27" i="5"/>
  <c r="AJ55" i="5"/>
  <c r="AL55" i="5" s="1"/>
  <c r="AM58" i="5"/>
  <c r="AM6" i="5"/>
  <c r="AK55" i="5"/>
  <c r="W9" i="5"/>
  <c r="AI24" i="5"/>
  <c r="AG58" i="5"/>
  <c r="AM24" i="5"/>
  <c r="AG6" i="5"/>
  <c r="AH6" i="5"/>
  <c r="AI6" i="5"/>
  <c r="AI27" i="5"/>
  <c r="AK6" i="5"/>
  <c r="AK27" i="5"/>
  <c r="AH58" i="5"/>
  <c r="AJ58" i="5" s="1"/>
  <c r="AH24" i="5"/>
  <c r="AJ24" i="5" s="1"/>
  <c r="AK24" i="5"/>
  <c r="AN24" i="5" s="1"/>
  <c r="AL27" i="5"/>
  <c r="AF55" i="5"/>
  <c r="AH55" i="5" s="1"/>
  <c r="AD55" i="5" s="1"/>
  <c r="P55" i="5" s="1"/>
  <c r="AI58" i="5"/>
  <c r="AM27" i="5"/>
  <c r="AK58" i="5"/>
  <c r="AN58" i="5" s="1"/>
  <c r="AB6" i="5" l="1"/>
  <c r="AG9" i="5"/>
  <c r="AI9" i="5"/>
  <c r="AK9" i="5"/>
  <c r="AF9" i="5"/>
  <c r="AA6" i="5"/>
  <c r="AD6" i="5" s="1"/>
  <c r="AN6" i="5"/>
  <c r="AJ6" i="5"/>
  <c r="AJ27" i="5"/>
  <c r="AF27" i="5" s="1"/>
  <c r="P27" i="5" s="1"/>
  <c r="AA58" i="5"/>
  <c r="AD58" i="5" s="1"/>
  <c r="AF58" i="5" s="1"/>
  <c r="P58" i="5" s="1"/>
  <c r="X9" i="5"/>
  <c r="AF24" i="5"/>
  <c r="P24" i="5" s="1"/>
  <c r="AN27" i="5"/>
  <c r="AL9" i="5" l="1"/>
  <c r="AD9" i="5" s="1"/>
  <c r="P9" i="5" s="1"/>
  <c r="J9" i="1" s="1"/>
  <c r="AF6" i="5"/>
  <c r="P6" i="5" s="1"/>
  <c r="J6" i="1" s="1"/>
  <c r="AH9" i="5"/>
  <c r="AA30" i="5"/>
  <c r="P12" i="5" l="1"/>
  <c r="P16" i="5" s="1"/>
  <c r="T16" i="5" s="1"/>
  <c r="U16" i="5" s="1"/>
  <c r="P50" i="5"/>
  <c r="T50" i="5" s="1"/>
  <c r="P15" i="5"/>
  <c r="T15" i="5" s="1"/>
  <c r="T12" i="5"/>
  <c r="U12" i="5" s="1"/>
  <c r="Y30" i="5"/>
  <c r="U30" i="5"/>
  <c r="AA31" i="5"/>
  <c r="P61" i="5" l="1"/>
  <c r="T61" i="5" s="1"/>
  <c r="U61" i="5" s="1"/>
  <c r="Y32" i="5"/>
  <c r="P30" i="5" s="1"/>
  <c r="P41" i="5" s="1"/>
  <c r="P42" i="5" s="1"/>
  <c r="V12" i="5"/>
  <c r="W12" i="5" s="1"/>
  <c r="J12" i="1" s="1"/>
  <c r="Y31" i="5"/>
  <c r="U31" i="5"/>
  <c r="U15" i="5"/>
  <c r="V15" i="5" s="1"/>
  <c r="W15" i="5" s="1"/>
  <c r="H15" i="5" s="1"/>
  <c r="J15" i="1" s="1"/>
  <c r="V16" i="5"/>
  <c r="W16" i="5" s="1"/>
  <c r="H16" i="5" s="1"/>
  <c r="J16" i="1" s="1"/>
  <c r="U50" i="5"/>
  <c r="V50" i="5" s="1"/>
  <c r="V61" i="5" l="1"/>
  <c r="W61" i="5" s="1"/>
  <c r="H61" i="5" s="1"/>
  <c r="W50" i="5"/>
  <c r="H50" i="5" s="1"/>
  <c r="P26" i="2" l="1"/>
  <c r="P27" i="2" s="1"/>
  <c r="N5" i="2"/>
  <c r="O5" i="2" s="1"/>
  <c r="P5" i="2" s="1"/>
  <c r="Q5" i="2" s="1"/>
  <c r="R5" i="2" s="1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N23" i="2"/>
  <c r="N24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Q4" i="4"/>
  <c r="O4" i="4" s="1"/>
  <c r="R4" i="4"/>
  <c r="R5" i="4"/>
  <c r="R6" i="4"/>
  <c r="Q10" i="4"/>
  <c r="R10" i="4"/>
  <c r="R11" i="4"/>
  <c r="R12" i="4"/>
  <c r="R15" i="4"/>
  <c r="O15" i="4" s="1"/>
  <c r="R16" i="4"/>
  <c r="R17" i="4"/>
  <c r="P29" i="2" l="1"/>
  <c r="O10" i="4"/>
  <c r="V15" i="4"/>
  <c r="W15" i="4" s="1"/>
  <c r="X15" i="4" s="1"/>
  <c r="V16" i="4"/>
  <c r="P30" i="2" l="1"/>
  <c r="P33" i="2" s="1"/>
  <c r="P32" i="2"/>
  <c r="Y34" i="2" s="1"/>
  <c r="P36" i="2"/>
  <c r="W16" i="4"/>
  <c r="X16" i="4" s="1"/>
  <c r="P37" i="2" l="1"/>
  <c r="P34" i="2"/>
  <c r="T16" i="4"/>
  <c r="H61" i="1" l="1"/>
  <c r="P38" i="2"/>
  <c r="H50" i="1" l="1"/>
</calcChain>
</file>

<file path=xl/comments1.xml><?xml version="1.0" encoding="utf-8"?>
<comments xmlns="http://schemas.openxmlformats.org/spreadsheetml/2006/main">
  <authors>
    <author>FAGES Pierre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Le soleil est 'presque fixe' et la terre tourne
le soleil est a son apogee quand il est en face -&gt; c'est la meridienne
le decalage / greenwitch donne la longitude directement
Attention l'apogee duree longtemps trouver l'heure es impossible il faut faire un interval
par contre la hauteur est fiable (la declinaison du soleil)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Valeur lues sur le limbe pour que les images coincides (dans les calcul cela sera SOUSTRAIT)
Mettre directement la valeur lu sur le sextan
</t>
        </r>
      </text>
    </comment>
  </commentList>
</comments>
</file>

<file path=xl/sharedStrings.xml><?xml version="1.0" encoding="utf-8"?>
<sst xmlns="http://schemas.openxmlformats.org/spreadsheetml/2006/main" count="265" uniqueCount="119">
  <si>
    <t>sens</t>
  </si>
  <si>
    <t>degre</t>
  </si>
  <si>
    <t>°</t>
  </si>
  <si>
    <t>minute</t>
  </si>
  <si>
    <t>'</t>
  </si>
  <si>
    <t>secondes</t>
  </si>
  <si>
    <t>"</t>
  </si>
  <si>
    <t>Sens latitude</t>
  </si>
  <si>
    <t>N</t>
  </si>
  <si>
    <t>S</t>
  </si>
  <si>
    <t>Latitude angle</t>
  </si>
  <si>
    <t>Latitude decimale</t>
  </si>
  <si>
    <t>x</t>
  </si>
  <si>
    <t>Valeur</t>
  </si>
  <si>
    <t>=&gt;</t>
  </si>
  <si>
    <t>Longitude angle</t>
  </si>
  <si>
    <t>Longitude decimale</t>
  </si>
  <si>
    <t>W</t>
  </si>
  <si>
    <t>E</t>
  </si>
  <si>
    <t>Sens longitude</t>
  </si>
  <si>
    <t>MERIDIENNE</t>
  </si>
  <si>
    <t>Position estimée</t>
  </si>
  <si>
    <t>L</t>
  </si>
  <si>
    <t>G</t>
  </si>
  <si>
    <t>Heure culmination GreenWitch</t>
  </si>
  <si>
    <t>Outils</t>
  </si>
  <si>
    <t>Heure</t>
  </si>
  <si>
    <t>:</t>
  </si>
  <si>
    <t>h</t>
  </si>
  <si>
    <t>Hc</t>
  </si>
  <si>
    <t>Mesure realisées</t>
  </si>
  <si>
    <t>Angle a l'apogee</t>
  </si>
  <si>
    <t>Serie 1</t>
  </si>
  <si>
    <t>Montee</t>
  </si>
  <si>
    <t>Descente</t>
  </si>
  <si>
    <t>Serie 2</t>
  </si>
  <si>
    <t>Erreur instrumentale</t>
  </si>
  <si>
    <t>Correction</t>
  </si>
  <si>
    <t>Hi</t>
  </si>
  <si>
    <t>Correction totale additive / bord inf soleil</t>
  </si>
  <si>
    <t>Hi (degre)</t>
  </si>
  <si>
    <t>Elevation œil (m)</t>
  </si>
  <si>
    <t>Etoile</t>
  </si>
  <si>
    <t>Bord sup soleil</t>
  </si>
  <si>
    <t>Ex:</t>
  </si>
  <si>
    <t xml:space="preserve">Hi </t>
  </si>
  <si>
    <t xml:space="preserve">H </t>
  </si>
  <si>
    <t>Pour xls / vlookup &amp; hlookup</t>
  </si>
  <si>
    <t>Colone tableau (valeur inferieure)</t>
  </si>
  <si>
    <t>Correction min</t>
  </si>
  <si>
    <t>Correction max</t>
  </si>
  <si>
    <t>m</t>
  </si>
  <si>
    <t>Œil</t>
  </si>
  <si>
    <t>Ligne (valeur min)</t>
  </si>
  <si>
    <t>Valeur hauteur oeil min</t>
  </si>
  <si>
    <t>Valeur Hi min</t>
  </si>
  <si>
    <t>Valeur Hi max</t>
  </si>
  <si>
    <t>Taux</t>
  </si>
  <si>
    <t>Ei</t>
  </si>
  <si>
    <t>Erreur Instrumental</t>
  </si>
  <si>
    <t>+</t>
  </si>
  <si>
    <t>-</t>
  </si>
  <si>
    <t>Correction hauteur œil</t>
  </si>
  <si>
    <t xml:space="preserve">Correction pour </t>
  </si>
  <si>
    <t>Correction moyenne</t>
  </si>
  <si>
    <t>Correctionbord inf</t>
  </si>
  <si>
    <t>Bord Soleil</t>
  </si>
  <si>
    <t>Inferieur</t>
  </si>
  <si>
    <t>Superieur</t>
  </si>
  <si>
    <t>Correction Etoile</t>
  </si>
  <si>
    <t>Non</t>
  </si>
  <si>
    <t>Oui</t>
  </si>
  <si>
    <r>
      <t>E</t>
    </r>
    <r>
      <rPr>
        <vertAlign val="subscript"/>
        <sz val="11"/>
        <color theme="1"/>
        <rFont val="Calibri"/>
        <family val="2"/>
        <scheme val="minor"/>
      </rPr>
      <t>oeil</t>
    </r>
  </si>
  <si>
    <r>
      <t>E</t>
    </r>
    <r>
      <rPr>
        <vertAlign val="subscript"/>
        <sz val="11"/>
        <color theme="1"/>
        <rFont val="Calibri"/>
        <family val="2"/>
        <scheme val="minor"/>
      </rPr>
      <t>bord soleil</t>
    </r>
  </si>
  <si>
    <r>
      <t>E</t>
    </r>
    <r>
      <rPr>
        <vertAlign val="subscript"/>
        <sz val="11"/>
        <color theme="1"/>
        <rFont val="Calibri"/>
        <family val="2"/>
        <scheme val="minor"/>
      </rPr>
      <t>Etoile</t>
    </r>
  </si>
  <si>
    <t>==&gt; Heure estimée de culmination a ma longitude</t>
  </si>
  <si>
    <t>Latitude de la meridienne</t>
  </si>
  <si>
    <t>LATITUDE MERIDIENNE</t>
  </si>
  <si>
    <t>Longitude de la meridienne</t>
  </si>
  <si>
    <t>Longitude Meridienne</t>
  </si>
  <si>
    <t>Calculs</t>
  </si>
  <si>
    <t>Hi - Correction = Hv =</t>
  </si>
  <si>
    <t>Latitude =</t>
  </si>
  <si>
    <t>isSexadecimale</t>
  </si>
  <si>
    <t>IsSemiDecimale</t>
  </si>
  <si>
    <t>IsDecimale</t>
  </si>
  <si>
    <t>hasDoubleQuote</t>
  </si>
  <si>
    <t>HasSimpleQuote</t>
  </si>
  <si>
    <t>HasDegre</t>
  </si>
  <si>
    <t>isSexaValide</t>
  </si>
  <si>
    <t>isSemiDecimalValid</t>
  </si>
  <si>
    <t>isDecimalValid</t>
  </si>
  <si>
    <t>valeur</t>
  </si>
  <si>
    <t>,</t>
  </si>
  <si>
    <t>REGION</t>
  </si>
  <si>
    <t>.</t>
  </si>
  <si>
    <t>Separator regional</t>
  </si>
  <si>
    <t>semi sexa</t>
  </si>
  <si>
    <t>decimal</t>
  </si>
  <si>
    <t>has1Colon</t>
  </si>
  <si>
    <t>HasAutreColon</t>
  </si>
  <si>
    <t>sexa</t>
  </si>
  <si>
    <t>10:59:59</t>
  </si>
  <si>
    <t>seconde</t>
  </si>
  <si>
    <t>Complete</t>
  </si>
  <si>
    <t>2°2.1'</t>
  </si>
  <si>
    <t>HasDegreAtLast</t>
  </si>
  <si>
    <t>HasQuoteAtLast</t>
  </si>
  <si>
    <t>2°54.23'</t>
  </si>
  <si>
    <t>10°45.2</t>
  </si>
  <si>
    <t>==&gt; Heure des mesures proposees +/-</t>
  </si>
  <si>
    <t>H</t>
  </si>
  <si>
    <t>Hauteur soleil a retrouver</t>
  </si>
  <si>
    <t>H estimée</t>
  </si>
  <si>
    <t>H trouvee</t>
  </si>
  <si>
    <t>Culmination estimée:</t>
  </si>
  <si>
    <t>9:30</t>
  </si>
  <si>
    <t>Interval estimé pour les meusure de hauteur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</si>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</sst>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E+00"/>
    <numFmt numFmtId="165" formatCode="0.00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EFB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BDB8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20" applyNumberFormat="0" applyAlignment="0" applyProtection="0"/>
    <xf numFmtId="0" fontId="7" fillId="17" borderId="21" applyNumberFormat="0" applyFont="0" applyAlignment="0" applyProtection="0"/>
  </cellStyleXfs>
  <cellXfs count="15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0" fontId="0" fillId="0" borderId="0" xfId="0" quotePrefix="1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0" fillId="6" borderId="0" xfId="0" applyFill="1" applyAlignment="1" applyProtection="1">
      <alignment horizontal="right"/>
      <protection locked="0"/>
    </xf>
    <xf numFmtId="20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quotePrefix="1" applyFill="1" applyAlignment="1" applyProtection="1">
      <alignment horizontal="right" vertical="center"/>
      <protection locked="0"/>
    </xf>
    <xf numFmtId="0" fontId="1" fillId="0" borderId="0" xfId="1" applyFill="1" applyAlignment="1" applyProtection="1">
      <alignment horizontal="right" vertical="center"/>
    </xf>
    <xf numFmtId="0" fontId="1" fillId="0" borderId="0" xfId="1" applyFill="1" applyAlignment="1" applyProtection="1">
      <alignment horizontal="left" vertical="center"/>
    </xf>
    <xf numFmtId="164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0" fillId="4" borderId="0" xfId="0" applyFill="1" applyAlignment="1" applyProtection="1">
      <alignment horizontal="right"/>
      <protection locked="0"/>
    </xf>
    <xf numFmtId="0" fontId="0" fillId="0" borderId="5" xfId="0" applyBorder="1" applyProtection="1">
      <protection locked="0"/>
    </xf>
    <xf numFmtId="0" fontId="0" fillId="0" borderId="5" xfId="0" quotePrefix="1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3" fillId="0" borderId="5" xfId="0" applyFont="1" applyBorder="1" applyProtection="1"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0" fontId="0" fillId="7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0" fillId="9" borderId="4" xfId="0" applyFill="1" applyBorder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0" xfId="0" applyFill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11" borderId="0" xfId="0" quotePrefix="1" applyFill="1" applyProtection="1">
      <protection locked="0"/>
    </xf>
    <xf numFmtId="0" fontId="0" fillId="11" borderId="0" xfId="0" applyFill="1" applyProtection="1"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0" fillId="0" borderId="0" xfId="0" quotePrefix="1" applyFill="1" applyBorder="1" applyProtection="1">
      <protection locked="0"/>
    </xf>
    <xf numFmtId="0" fontId="0" fillId="0" borderId="0" xfId="0" quotePrefix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1" fillId="0" borderId="0" xfId="1" applyFill="1" applyBorder="1" applyAlignment="1" applyProtection="1">
      <alignment vertical="center"/>
    </xf>
    <xf numFmtId="0" fontId="0" fillId="0" borderId="9" xfId="0" quotePrefix="1" applyBorder="1" applyProtection="1">
      <protection locked="0"/>
    </xf>
    <xf numFmtId="0" fontId="0" fillId="0" borderId="9" xfId="0" quotePrefix="1" applyBorder="1" applyAlignment="1" applyProtection="1">
      <alignment vertical="center"/>
      <protection locked="0"/>
    </xf>
    <xf numFmtId="0" fontId="1" fillId="2" borderId="9" xfId="1" applyBorder="1" applyAlignment="1" applyProtection="1">
      <alignment vertical="center"/>
    </xf>
    <xf numFmtId="0" fontId="1" fillId="2" borderId="10" xfId="1" applyBorder="1" applyAlignment="1" applyProtection="1">
      <alignment vertical="center"/>
    </xf>
    <xf numFmtId="0" fontId="3" fillId="0" borderId="0" xfId="0" applyFont="1" applyFill="1" applyProtection="1"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quotePrefix="1" applyFill="1" applyBorder="1" applyAlignment="1" applyProtection="1">
      <alignment horizontal="right" vertical="center"/>
      <protection locked="0"/>
    </xf>
    <xf numFmtId="0" fontId="1" fillId="0" borderId="0" xfId="1" applyFill="1" applyBorder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right"/>
      <protection locked="0"/>
    </xf>
    <xf numFmtId="0" fontId="0" fillId="0" borderId="9" xfId="0" applyFill="1" applyBorder="1" applyProtection="1">
      <protection locked="0"/>
    </xf>
    <xf numFmtId="0" fontId="0" fillId="0" borderId="9" xfId="0" quotePrefix="1" applyFill="1" applyBorder="1" applyProtection="1">
      <protection locked="0"/>
    </xf>
    <xf numFmtId="0" fontId="0" fillId="0" borderId="9" xfId="0" quotePrefix="1" applyFill="1" applyBorder="1" applyAlignment="1" applyProtection="1">
      <alignment vertical="center"/>
      <protection locked="0"/>
    </xf>
    <xf numFmtId="0" fontId="1" fillId="10" borderId="9" xfId="1" applyFill="1" applyBorder="1" applyAlignment="1" applyProtection="1">
      <alignment vertical="center"/>
    </xf>
    <xf numFmtId="0" fontId="1" fillId="10" borderId="10" xfId="1" applyFill="1" applyBorder="1" applyAlignment="1" applyProtection="1">
      <alignment vertical="center"/>
    </xf>
    <xf numFmtId="0" fontId="0" fillId="13" borderId="0" xfId="0" applyFill="1" applyProtection="1">
      <protection locked="0"/>
    </xf>
    <xf numFmtId="0" fontId="3" fillId="5" borderId="0" xfId="0" applyFont="1" applyFill="1" applyBorder="1" applyAlignment="1" applyProtection="1">
      <alignment horizontal="center" vertical="center" textRotation="255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4" borderId="4" xfId="0" applyFill="1" applyBorder="1" applyAlignment="1" applyProtection="1">
      <alignment vertical="center"/>
      <protection locked="0"/>
    </xf>
    <xf numFmtId="0" fontId="1" fillId="2" borderId="0" xfId="1" applyAlignment="1" applyProtection="1">
      <alignment vertical="center"/>
    </xf>
    <xf numFmtId="0" fontId="1" fillId="14" borderId="0" xfId="1" applyFill="1" applyAlignment="1" applyProtection="1">
      <alignment vertical="center"/>
    </xf>
    <xf numFmtId="0" fontId="0" fillId="0" borderId="0" xfId="0" quotePrefix="1" applyFill="1" applyProtection="1"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8" fillId="15" borderId="0" xfId="2" applyProtection="1">
      <protection locked="0"/>
    </xf>
    <xf numFmtId="0" fontId="9" fillId="16" borderId="20" xfId="3"/>
    <xf numFmtId="0" fontId="9" fillId="16" borderId="20" xfId="3" applyProtection="1">
      <protection locked="0"/>
    </xf>
    <xf numFmtId="0" fontId="0" fillId="17" borderId="21" xfId="4" applyFont="1" applyProtection="1">
      <protection locked="0"/>
    </xf>
    <xf numFmtId="0" fontId="9" fillId="17" borderId="21" xfId="4" applyFont="1"/>
    <xf numFmtId="165" fontId="1" fillId="14" borderId="0" xfId="1" applyNumberFormat="1" applyFill="1" applyAlignment="1" applyProtection="1">
      <alignment vertical="center"/>
    </xf>
    <xf numFmtId="0" fontId="0" fillId="12" borderId="0" xfId="0" applyFill="1" applyAlignment="1" applyProtection="1">
      <alignment horizontal="right"/>
      <protection locked="0"/>
    </xf>
    <xf numFmtId="0" fontId="0" fillId="12" borderId="0" xfId="0" applyFill="1" applyProtection="1">
      <protection locked="0"/>
    </xf>
    <xf numFmtId="21" fontId="0" fillId="0" borderId="0" xfId="0" applyNumberFormat="1" applyProtection="1">
      <protection locked="0"/>
    </xf>
    <xf numFmtId="49" fontId="0" fillId="6" borderId="7" xfId="0" applyNumberFormat="1" applyFill="1" applyBorder="1" applyAlignment="1">
      <alignment horizontal="center"/>
    </xf>
    <xf numFmtId="49" fontId="0" fillId="6" borderId="8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6" fontId="0" fillId="6" borderId="0" xfId="0" applyNumberFormat="1" applyFill="1" applyProtection="1">
      <protection locked="0"/>
    </xf>
    <xf numFmtId="166" fontId="1" fillId="2" borderId="0" xfId="1" applyNumberFormat="1" applyAlignment="1" applyProtection="1">
      <alignment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Fill="1" applyAlignment="1" applyProtection="1">
      <alignment horizontal="right"/>
      <protection locked="0"/>
    </xf>
    <xf numFmtId="0" fontId="0" fillId="3" borderId="0" xfId="0" quotePrefix="1" applyFill="1" applyProtection="1">
      <protection locked="0"/>
    </xf>
    <xf numFmtId="0" fontId="0" fillId="3" borderId="0" xfId="0" applyFill="1" applyProtection="1">
      <protection locked="0"/>
    </xf>
    <xf numFmtId="0" fontId="10" fillId="18" borderId="0" xfId="0" applyFont="1" applyFill="1" applyAlignment="1" applyProtection="1">
      <alignment horizontal="right"/>
      <protection locked="0"/>
    </xf>
    <xf numFmtId="0" fontId="0" fillId="0" borderId="5" xfId="0" quotePrefix="1" applyBorder="1" applyAlignment="1" applyProtection="1">
      <alignment vertical="center"/>
      <protection locked="0"/>
    </xf>
    <xf numFmtId="0" fontId="1" fillId="2" borderId="6" xfId="1" applyBorder="1" applyAlignment="1" applyProtection="1">
      <alignment vertical="center"/>
    </xf>
    <xf numFmtId="0" fontId="0" fillId="0" borderId="5" xfId="0" applyFill="1" applyBorder="1" applyAlignment="1" applyProtection="1">
      <alignment horizontal="right"/>
      <protection locked="0"/>
    </xf>
    <xf numFmtId="0" fontId="0" fillId="0" borderId="5" xfId="0" applyFill="1" applyBorder="1" applyProtection="1">
      <protection locked="0"/>
    </xf>
    <xf numFmtId="0" fontId="0" fillId="0" borderId="5" xfId="0" quotePrefix="1" applyFill="1" applyBorder="1" applyProtection="1"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11" borderId="0" xfId="0" applyFill="1" applyAlignment="1" applyProtection="1">
      <alignment horizontal="center" vertical="center"/>
    </xf>
    <xf numFmtId="0" fontId="0" fillId="11" borderId="0" xfId="0" applyFill="1" applyAlignment="1" applyProtection="1">
      <alignment horizontal="center"/>
      <protection locked="0"/>
    </xf>
    <xf numFmtId="0" fontId="0" fillId="4" borderId="8" xfId="0" applyFill="1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8" xfId="0" applyFill="1" applyBorder="1" applyProtection="1"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0" xfId="0" applyFill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0" fillId="18" borderId="0" xfId="0" applyFont="1" applyFill="1" applyBorder="1" applyAlignment="1" applyProtection="1">
      <alignment horizontal="left"/>
      <protection locked="0"/>
    </xf>
    <xf numFmtId="0" fontId="10" fillId="18" borderId="0" xfId="0" applyFont="1" applyFill="1" applyBorder="1" applyAlignment="1" applyProtection="1">
      <alignment horizontal="center"/>
      <protection locked="0"/>
    </xf>
    <xf numFmtId="0" fontId="0" fillId="4" borderId="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1" applyAlignment="1" applyProtection="1">
      <alignment horizontal="right" vertical="center"/>
    </xf>
    <xf numFmtId="0" fontId="0" fillId="6" borderId="0" xfId="0" applyFill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right" vertical="center"/>
      <protection locked="0"/>
    </xf>
    <xf numFmtId="0" fontId="1" fillId="2" borderId="0" xfId="1" applyAlignment="1" applyProtection="1">
      <alignment horizontal="left" vertical="center"/>
    </xf>
    <xf numFmtId="0" fontId="0" fillId="6" borderId="0" xfId="0" applyFill="1" applyAlignment="1" applyProtection="1">
      <alignment vertical="center"/>
      <protection locked="0"/>
    </xf>
    <xf numFmtId="0" fontId="10" fillId="18" borderId="0" xfId="0" quotePrefix="1" applyFont="1" applyFill="1" applyAlignment="1" applyProtection="1">
      <alignment horizontal="center"/>
      <protection locked="0"/>
    </xf>
    <xf numFmtId="0" fontId="3" fillId="5" borderId="17" xfId="0" applyFont="1" applyFill="1" applyBorder="1" applyAlignment="1" applyProtection="1">
      <alignment horizontal="center" vertical="center" textRotation="255"/>
      <protection locked="0"/>
    </xf>
    <xf numFmtId="0" fontId="3" fillId="5" borderId="18" xfId="0" applyFont="1" applyFill="1" applyBorder="1" applyAlignment="1" applyProtection="1">
      <alignment horizontal="center" vertical="center" textRotation="255"/>
      <protection locked="0"/>
    </xf>
    <xf numFmtId="0" fontId="3" fillId="5" borderId="19" xfId="0" applyFont="1" applyFill="1" applyBorder="1" applyAlignment="1" applyProtection="1">
      <alignment horizontal="center" vertical="center" textRotation="255"/>
      <protection locked="0"/>
    </xf>
    <xf numFmtId="0" fontId="0" fillId="9" borderId="2" xfId="0" applyFill="1" applyBorder="1" applyAlignment="1" applyProtection="1">
      <alignment horizontal="center"/>
      <protection locked="0"/>
    </xf>
    <xf numFmtId="0" fontId="0" fillId="9" borderId="3" xfId="0" applyFill="1" applyBorder="1" applyAlignment="1" applyProtection="1">
      <alignment horizontal="center"/>
      <protection locked="0"/>
    </xf>
    <xf numFmtId="0" fontId="3" fillId="9" borderId="17" xfId="0" applyFont="1" applyFill="1" applyBorder="1" applyAlignment="1" applyProtection="1">
      <alignment horizontal="center" vertical="center" textRotation="255"/>
      <protection locked="0"/>
    </xf>
    <xf numFmtId="0" fontId="3" fillId="9" borderId="18" xfId="0" applyFont="1" applyFill="1" applyBorder="1" applyAlignment="1" applyProtection="1">
      <alignment horizontal="center" vertical="center" textRotation="255"/>
      <protection locked="0"/>
    </xf>
    <xf numFmtId="0" fontId="3" fillId="9" borderId="19" xfId="0" applyFont="1" applyFill="1" applyBorder="1" applyAlignment="1" applyProtection="1">
      <alignment horizontal="center" vertical="center" textRotation="255"/>
      <protection locked="0"/>
    </xf>
    <xf numFmtId="0" fontId="9" fillId="16" borderId="20" xfId="3" applyAlignment="1" applyProtection="1">
      <alignment horizontal="center"/>
      <protection locked="0"/>
    </xf>
    <xf numFmtId="0" fontId="0" fillId="17" borderId="24" xfId="4" applyFont="1" applyBorder="1" applyAlignment="1" applyProtection="1">
      <alignment horizontal="center"/>
      <protection locked="0"/>
    </xf>
    <xf numFmtId="0" fontId="0" fillId="17" borderId="22" xfId="4" applyFont="1" applyBorder="1" applyAlignment="1" applyProtection="1">
      <alignment horizontal="center"/>
      <protection locked="0"/>
    </xf>
    <xf numFmtId="0" fontId="0" fillId="17" borderId="23" xfId="4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10" borderId="4" xfId="0" applyFill="1" applyBorder="1" applyAlignment="1" applyProtection="1">
      <alignment horizontal="center"/>
      <protection locked="0"/>
    </xf>
    <xf numFmtId="0" fontId="3" fillId="7" borderId="8" xfId="0" applyFont="1" applyFill="1" applyBorder="1" applyAlignment="1" applyProtection="1">
      <alignment horizontal="center"/>
      <protection locked="0"/>
    </xf>
    <xf numFmtId="0" fontId="3" fillId="7" borderId="9" xfId="0" applyFont="1" applyFill="1" applyBorder="1" applyAlignment="1" applyProtection="1">
      <alignment horizontal="center"/>
      <protection locked="0"/>
    </xf>
    <xf numFmtId="0" fontId="3" fillId="7" borderId="10" xfId="0" applyFont="1" applyFill="1" applyBorder="1" applyAlignment="1" applyProtection="1">
      <alignment horizontal="center"/>
      <protection locked="0"/>
    </xf>
    <xf numFmtId="0" fontId="10" fillId="18" borderId="0" xfId="0" quotePrefix="1" applyFont="1" applyFill="1" applyAlignment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8" borderId="0" xfId="0" applyFill="1" applyProtection="1">
      <protection locked="0"/>
    </xf>
    <xf numFmtId="0" fontId="0" fillId="18" borderId="0" xfId="0" applyFill="1"/>
    <xf numFmtId="0" fontId="0" fillId="18" borderId="0" xfId="0" quotePrefix="1" applyFill="1" applyAlignment="1" applyProtection="1">
      <alignment horizontal="right"/>
      <protection locked="0"/>
    </xf>
    <xf numFmtId="0" fontId="0" fillId="19" borderId="0" xfId="0" applyFill="1" applyProtection="1">
      <protection locked="0"/>
    </xf>
  </cellXfs>
  <cellStyles count="5"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99FF"/>
      <color rgb="FF3EFB25"/>
      <color rgb="FF00FFFF"/>
      <color rgb="FFFEBDB8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55</xdr:row>
      <xdr:rowOff>0</xdr:rowOff>
    </xdr:from>
    <xdr:to>
      <xdr:col>8</xdr:col>
      <xdr:colOff>83343</xdr:colOff>
      <xdr:row>57</xdr:row>
      <xdr:rowOff>119062</xdr:rowOff>
    </xdr:to>
    <xdr:cxnSp macro="">
      <xdr:nvCxnSpPr>
        <xdr:cNvPr id="6" name="Straight Arrow Connector 5"/>
        <xdr:cNvCxnSpPr/>
      </xdr:nvCxnSpPr>
      <xdr:spPr>
        <a:xfrm>
          <a:off x="4202906" y="10560844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29</xdr:row>
      <xdr:rowOff>133350</xdr:rowOff>
    </xdr:from>
    <xdr:to>
      <xdr:col>24</xdr:col>
      <xdr:colOff>47625</xdr:colOff>
      <xdr:row>31</xdr:row>
      <xdr:rowOff>133350</xdr:rowOff>
    </xdr:to>
    <xdr:cxnSp macro="">
      <xdr:nvCxnSpPr>
        <xdr:cNvPr id="4" name="Straight Arrow Connector 3"/>
        <xdr:cNvCxnSpPr/>
      </xdr:nvCxnSpPr>
      <xdr:spPr>
        <a:xfrm flipH="1" flipV="1">
          <a:off x="7524750" y="5695950"/>
          <a:ext cx="6219825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0</xdr:rowOff>
    </xdr:from>
    <xdr:to>
      <xdr:col>20</xdr:col>
      <xdr:colOff>142875</xdr:colOff>
      <xdr:row>29</xdr:row>
      <xdr:rowOff>190500</xdr:rowOff>
    </xdr:to>
    <xdr:cxnSp macro="">
      <xdr:nvCxnSpPr>
        <xdr:cNvPr id="5" name="Straight Arrow Connector 4"/>
        <xdr:cNvCxnSpPr/>
      </xdr:nvCxnSpPr>
      <xdr:spPr>
        <a:xfrm>
          <a:off x="6896100" y="5181600"/>
          <a:ext cx="2562225" cy="571500"/>
        </a:xfrm>
        <a:prstGeom prst="straightConnector1">
          <a:avLst/>
        </a:prstGeom>
        <a:ln>
          <a:solidFill>
            <a:srgbClr val="3EFB2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</xdr:colOff>
      <xdr:row>55</xdr:row>
      <xdr:rowOff>0</xdr:rowOff>
    </xdr:from>
    <xdr:to>
      <xdr:col>8</xdr:col>
      <xdr:colOff>83343</xdr:colOff>
      <xdr:row>57</xdr:row>
      <xdr:rowOff>119062</xdr:rowOff>
    </xdr:to>
    <xdr:cxnSp macro="">
      <xdr:nvCxnSpPr>
        <xdr:cNvPr id="6" name="Straight Arrow Connector 5"/>
        <xdr:cNvCxnSpPr/>
      </xdr:nvCxnSpPr>
      <xdr:spPr>
        <a:xfrm>
          <a:off x="4224337" y="10572750"/>
          <a:ext cx="11906" cy="500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"/>
  <sheetViews>
    <sheetView workbookViewId="0">
      <selection activeCell="H4" sqref="H4:R6"/>
    </sheetView>
  </sheetViews>
  <sheetFormatPr defaultRowHeight="15" x14ac:dyDescent="0.25"/>
  <sheetData>
    <row r="1" spans="2:24" s="1" customFormat="1" ht="15.75" thickBot="1" x14ac:dyDescent="0.3">
      <c r="H1" s="2"/>
      <c r="J1" s="2"/>
      <c r="M1" s="2"/>
    </row>
    <row r="2" spans="2:24" s="1" customFormat="1" ht="15.75" thickBot="1" x14ac:dyDescent="0.3">
      <c r="B2" s="121" t="s">
        <v>25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3"/>
    </row>
    <row r="3" spans="2:24" s="1" customFormat="1" x14ac:dyDescent="0.25">
      <c r="G3" s="1" t="s">
        <v>0</v>
      </c>
      <c r="H3" s="2" t="s">
        <v>1</v>
      </c>
      <c r="J3" s="2" t="s">
        <v>3</v>
      </c>
      <c r="L3" s="1" t="s">
        <v>5</v>
      </c>
      <c r="N3" s="2"/>
      <c r="O3" s="1" t="s">
        <v>13</v>
      </c>
    </row>
    <row r="4" spans="2:24" s="1" customFormat="1" x14ac:dyDescent="0.25">
      <c r="F4" s="2" t="s">
        <v>10</v>
      </c>
      <c r="G4" s="124" t="s">
        <v>9</v>
      </c>
      <c r="H4" s="19" t="s">
        <v>12</v>
      </c>
      <c r="I4" s="1" t="s">
        <v>2</v>
      </c>
      <c r="J4" s="19" t="s">
        <v>12</v>
      </c>
      <c r="K4" s="5" t="s">
        <v>4</v>
      </c>
      <c r="L4" s="4" t="s">
        <v>12</v>
      </c>
      <c r="M4" s="5" t="s">
        <v>6</v>
      </c>
      <c r="N4" s="127" t="s">
        <v>14</v>
      </c>
      <c r="O4" s="125">
        <f>IF(AND(NOT(ISBLANK(L4)), (L4 &lt;&gt; "x")),R4,IF(AND(NOT(ISBLANK(J5)),J5&lt;&gt;"x"),R5,R6)) * Q4</f>
        <v>-2.9876666666666667</v>
      </c>
      <c r="P4" s="128" t="s">
        <v>2</v>
      </c>
      <c r="Q4" s="124">
        <f>IF(G4=Constantes!$D$2,1,-1)</f>
        <v>-1</v>
      </c>
      <c r="R4" s="1" t="e">
        <f>H4+(L4/60 + J4)/60</f>
        <v>#VALUE!</v>
      </c>
    </row>
    <row r="5" spans="2:24" s="1" customFormat="1" x14ac:dyDescent="0.25">
      <c r="F5" s="2" t="s">
        <v>11</v>
      </c>
      <c r="G5" s="124"/>
      <c r="H5" s="19">
        <v>2</v>
      </c>
      <c r="I5" s="1" t="s">
        <v>2</v>
      </c>
      <c r="J5" s="19">
        <v>59.26</v>
      </c>
      <c r="K5" s="5" t="s">
        <v>4</v>
      </c>
      <c r="L5" s="1" t="s">
        <v>12</v>
      </c>
      <c r="N5" s="127"/>
      <c r="O5" s="125"/>
      <c r="P5" s="128"/>
      <c r="Q5" s="124"/>
      <c r="R5" s="1">
        <f>H5+J5/60</f>
        <v>2.9876666666666667</v>
      </c>
    </row>
    <row r="6" spans="2:24" s="1" customFormat="1" x14ac:dyDescent="0.25">
      <c r="F6" s="2" t="s">
        <v>11</v>
      </c>
      <c r="G6" s="124"/>
      <c r="H6" s="19" t="s">
        <v>12</v>
      </c>
      <c r="I6" s="1" t="s">
        <v>2</v>
      </c>
      <c r="J6" s="2" t="s">
        <v>12</v>
      </c>
      <c r="N6" s="127"/>
      <c r="O6" s="125"/>
      <c r="P6" s="128"/>
      <c r="Q6" s="124"/>
      <c r="R6" s="1" t="str">
        <f>H6</f>
        <v>x</v>
      </c>
    </row>
    <row r="7" spans="2:24" s="1" customFormat="1" x14ac:dyDescent="0.25">
      <c r="H7" s="2"/>
      <c r="J7" s="2"/>
      <c r="N7" s="2"/>
    </row>
    <row r="8" spans="2:24" s="1" customFormat="1" x14ac:dyDescent="0.25">
      <c r="H8" s="2"/>
      <c r="J8" s="2"/>
      <c r="N8" s="2"/>
    </row>
    <row r="9" spans="2:24" s="1" customFormat="1" x14ac:dyDescent="0.25">
      <c r="G9" s="1" t="s">
        <v>0</v>
      </c>
      <c r="H9" s="2" t="s">
        <v>1</v>
      </c>
      <c r="J9" s="2" t="s">
        <v>3</v>
      </c>
      <c r="L9" s="1" t="s">
        <v>5</v>
      </c>
      <c r="N9" s="2"/>
      <c r="O9" s="1" t="s">
        <v>13</v>
      </c>
    </row>
    <row r="10" spans="2:24" s="1" customFormat="1" x14ac:dyDescent="0.25">
      <c r="F10" s="2" t="s">
        <v>15</v>
      </c>
      <c r="G10" s="124" t="s">
        <v>17</v>
      </c>
      <c r="H10" s="19" t="s">
        <v>12</v>
      </c>
      <c r="I10" s="1" t="s">
        <v>2</v>
      </c>
      <c r="J10" s="19" t="s">
        <v>12</v>
      </c>
      <c r="K10" s="5" t="s">
        <v>4</v>
      </c>
      <c r="L10" s="4" t="s">
        <v>12</v>
      </c>
      <c r="M10" s="5" t="s">
        <v>6</v>
      </c>
      <c r="N10" s="127" t="s">
        <v>14</v>
      </c>
      <c r="O10" s="125">
        <f>IF(AND(NOT(ISBLANK(L10)), (L10 &lt;&gt; "x")),R10,IF(AND(NOT(ISBLANK(J11)),J11&lt;&gt;"x"),R11,R12)) * Q10</f>
        <v>-2.4998333333333331</v>
      </c>
      <c r="P10" s="128" t="s">
        <v>2</v>
      </c>
      <c r="Q10" s="124">
        <f>IF(G10=Constantes!$G$2,1,-1)</f>
        <v>-1</v>
      </c>
      <c r="R10" s="1" t="e">
        <f>H10+(L10/60 + J10)/60</f>
        <v>#VALUE!</v>
      </c>
    </row>
    <row r="11" spans="2:24" s="1" customFormat="1" x14ac:dyDescent="0.25">
      <c r="F11" s="2" t="s">
        <v>16</v>
      </c>
      <c r="G11" s="124"/>
      <c r="H11" s="19">
        <v>2</v>
      </c>
      <c r="I11" s="1" t="s">
        <v>2</v>
      </c>
      <c r="J11" s="19">
        <v>29.99</v>
      </c>
      <c r="K11" s="5" t="s">
        <v>4</v>
      </c>
      <c r="L11" s="1" t="s">
        <v>12</v>
      </c>
      <c r="N11" s="127"/>
      <c r="O11" s="125"/>
      <c r="P11" s="128"/>
      <c r="Q11" s="124"/>
      <c r="R11" s="1">
        <f>H11+J11/60</f>
        <v>2.4998333333333331</v>
      </c>
    </row>
    <row r="12" spans="2:24" s="1" customFormat="1" x14ac:dyDescent="0.25">
      <c r="F12" s="2" t="s">
        <v>16</v>
      </c>
      <c r="G12" s="124"/>
      <c r="H12" s="19" t="s">
        <v>12</v>
      </c>
      <c r="I12" s="1" t="s">
        <v>2</v>
      </c>
      <c r="J12" s="2" t="s">
        <v>12</v>
      </c>
      <c r="N12" s="127"/>
      <c r="O12" s="125"/>
      <c r="P12" s="128"/>
      <c r="Q12" s="124"/>
      <c r="R12" s="1" t="str">
        <f>H12</f>
        <v>x</v>
      </c>
    </row>
    <row r="13" spans="2:24" s="1" customFormat="1" x14ac:dyDescent="0.25">
      <c r="H13" s="2"/>
      <c r="J13" s="2"/>
      <c r="M13" s="2"/>
    </row>
    <row r="14" spans="2:24" s="1" customFormat="1" x14ac:dyDescent="0.25">
      <c r="H14" s="2"/>
      <c r="J14" s="2"/>
      <c r="M14" s="2"/>
    </row>
    <row r="15" spans="2:24" s="1" customFormat="1" x14ac:dyDescent="0.25">
      <c r="F15" s="126" t="s">
        <v>26</v>
      </c>
      <c r="H15" s="19">
        <v>12</v>
      </c>
      <c r="I15" s="1" t="s">
        <v>27</v>
      </c>
      <c r="J15" s="19">
        <v>6</v>
      </c>
      <c r="K15" s="1" t="s">
        <v>27</v>
      </c>
      <c r="L15" s="4">
        <v>0</v>
      </c>
      <c r="M15" s="2"/>
      <c r="N15" s="127" t="s">
        <v>14</v>
      </c>
      <c r="O15" s="125">
        <f>IF(AND(NOT(ISBLANK(L15)), (L15 &lt;&gt; "x")),R15,IF(AND(NOT(ISBLANK(J16)),J16&lt;&gt;"x"),R16,R17)) * Q15</f>
        <v>12.1</v>
      </c>
      <c r="P15" s="128" t="s">
        <v>28</v>
      </c>
      <c r="Q15" s="124">
        <v>1</v>
      </c>
      <c r="R15" s="1">
        <f>H15+(L15/60 + J15)/60</f>
        <v>12.1</v>
      </c>
      <c r="U15" s="129" t="s">
        <v>26</v>
      </c>
      <c r="V15" s="1">
        <f>INT(O15)</f>
        <v>12</v>
      </c>
      <c r="W15" s="17">
        <f>((O15-V15)*60)</f>
        <v>5.9999999999999787</v>
      </c>
      <c r="X15" s="1">
        <f>O15*3600 - V15*3600 - W15*60</f>
        <v>1.2505552149377763E-12</v>
      </c>
    </row>
    <row r="16" spans="2:24" s="1" customFormat="1" x14ac:dyDescent="0.25">
      <c r="F16" s="126"/>
      <c r="H16" s="19">
        <v>2</v>
      </c>
      <c r="I16" s="1" t="s">
        <v>27</v>
      </c>
      <c r="J16" s="19">
        <v>59.99</v>
      </c>
      <c r="L16" s="1" t="s">
        <v>12</v>
      </c>
      <c r="M16" s="2"/>
      <c r="N16" s="127"/>
      <c r="O16" s="125"/>
      <c r="P16" s="128"/>
      <c r="Q16" s="124"/>
      <c r="R16" s="1">
        <f>H16+J16/60</f>
        <v>2.9998333333333331</v>
      </c>
      <c r="T16" s="8" t="str">
        <f>CONCATENATE(V16, ":", TEXT(W16,"00"), ":", TEXT(X16,"00"))</f>
        <v>12:06:00</v>
      </c>
      <c r="U16" s="129"/>
      <c r="V16" s="1">
        <f>INT(O15)</f>
        <v>12</v>
      </c>
      <c r="W16" s="1">
        <f>INT(0.0000001 + (O15-V16)*60)</f>
        <v>6</v>
      </c>
      <c r="X16" s="1">
        <f>O15*3600 - V16*3600 - W16*60</f>
        <v>0</v>
      </c>
    </row>
    <row r="17" spans="6:21" s="1" customFormat="1" x14ac:dyDescent="0.25">
      <c r="F17" s="126"/>
      <c r="H17" s="19">
        <v>2.99</v>
      </c>
      <c r="J17" s="2" t="s">
        <v>12</v>
      </c>
      <c r="L17" s="1" t="s">
        <v>12</v>
      </c>
      <c r="M17" s="2"/>
      <c r="N17" s="127"/>
      <c r="O17" s="125"/>
      <c r="P17" s="128"/>
      <c r="Q17" s="124"/>
      <c r="R17" s="1">
        <f>H17</f>
        <v>2.99</v>
      </c>
      <c r="U17" s="129"/>
    </row>
    <row r="18" spans="6:21" s="1" customFormat="1" x14ac:dyDescent="0.25">
      <c r="F18" s="6"/>
      <c r="H18" s="13"/>
      <c r="I18" s="12"/>
      <c r="J18" s="13"/>
      <c r="K18" s="12"/>
      <c r="L18" s="12"/>
      <c r="M18" s="13"/>
      <c r="N18" s="14"/>
      <c r="O18" s="15"/>
      <c r="P18" s="16"/>
      <c r="Q18" s="3"/>
    </row>
    <row r="19" spans="6:21" s="1" customFormat="1" x14ac:dyDescent="0.25">
      <c r="F19" s="6"/>
      <c r="H19" s="13"/>
      <c r="I19" s="12"/>
      <c r="J19" s="13"/>
      <c r="K19" s="12"/>
      <c r="L19" s="12"/>
      <c r="M19" s="13"/>
      <c r="N19" s="14"/>
      <c r="O19" s="15"/>
      <c r="P19" s="16"/>
      <c r="Q19" s="3"/>
    </row>
    <row r="20" spans="6:21" s="1" customFormat="1" x14ac:dyDescent="0.25">
      <c r="H20" s="2"/>
      <c r="J20" s="2"/>
      <c r="M20" s="2"/>
    </row>
  </sheetData>
  <mergeCells count="17">
    <mergeCell ref="U15:U17"/>
    <mergeCell ref="O15:O17"/>
    <mergeCell ref="P15:P17"/>
    <mergeCell ref="B2:O2"/>
    <mergeCell ref="G4:G6"/>
    <mergeCell ref="O4:O6"/>
    <mergeCell ref="F15:F17"/>
    <mergeCell ref="Q4:Q6"/>
    <mergeCell ref="N4:N6"/>
    <mergeCell ref="P4:P6"/>
    <mergeCell ref="Q15:Q17"/>
    <mergeCell ref="G10:G12"/>
    <mergeCell ref="N10:N12"/>
    <mergeCell ref="O10:O12"/>
    <mergeCell ref="P10:P12"/>
    <mergeCell ref="Q10:Q12"/>
    <mergeCell ref="N15:N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Constantes!$G$2:$G$3</xm:f>
          </x14:formula1>
          <xm:sqref>G10:G12</xm:sqref>
        </x14:dataValidation>
        <x14:dataValidation type="list" allowBlank="1" showInputMessage="1" showErrorMessage="1">
          <x14:formula1>
            <xm:f>Constantes!$D$2:$D$3</xm:f>
          </x14:formula1>
          <xm:sqref>G4:G6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75"/>
  <sheetViews>
    <sheetView tabSelected="1" topLeftCell="A22" zoomScaleNormal="100" workbookViewId="0">
      <selection activeCell="T38" sqref="T38"/>
    </sheetView>
  </sheetViews>
  <sheetFormatPr defaultRowHeight="15" x14ac:dyDescent="0.25"/>
  <cols>
    <col min="1" max="1" width="9.140625" style="1"/>
    <col min="2" max="2" width="2.7109375" style="1" customWidth="1"/>
    <col min="3" max="5" width="4" style="1" customWidth="1"/>
    <col min="6" max="6" width="22" style="1" customWidth="1"/>
    <col min="7" max="7" width="4" style="1" customWidth="1"/>
    <col min="8" max="8" width="12.85546875" style="87" customWidth="1"/>
    <col min="9" max="9" width="4" style="2" customWidth="1"/>
    <col min="10" max="10" width="12.85546875" style="1" customWidth="1"/>
    <col min="11" max="11" width="8.28515625" style="2" customWidth="1"/>
    <col min="12" max="13" width="8.28515625" style="1" customWidth="1"/>
    <col min="14" max="14" width="8.28515625" style="2" customWidth="1"/>
    <col min="15" max="16384" width="9.140625" style="1"/>
  </cols>
  <sheetData>
    <row r="1" spans="1:25" ht="15.75" thickBot="1" x14ac:dyDescent="0.3"/>
    <row r="2" spans="1:25" ht="15.75" thickBot="1" x14ac:dyDescent="0.3">
      <c r="C2" s="121" t="s">
        <v>20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4" spans="1:25" x14ac:dyDescent="0.25">
      <c r="C4" s="18" t="s">
        <v>21</v>
      </c>
      <c r="D4" s="18"/>
      <c r="E4" s="18"/>
    </row>
    <row r="5" spans="1:25" x14ac:dyDescent="0.25">
      <c r="F5" s="64" t="s">
        <v>22</v>
      </c>
      <c r="G5" s="75" t="s">
        <v>12</v>
      </c>
      <c r="H5" s="75" t="s">
        <v>12</v>
      </c>
    </row>
    <row r="6" spans="1:25" x14ac:dyDescent="0.25">
      <c r="A6" s="2"/>
      <c r="B6" s="2"/>
      <c r="C6" s="67"/>
      <c r="D6" s="11"/>
      <c r="E6" s="11"/>
      <c r="F6" s="64" t="s">
        <v>23</v>
      </c>
      <c r="G6" s="72" t="s">
        <v>18</v>
      </c>
      <c r="H6" s="85" t="s">
        <v>108</v>
      </c>
      <c r="I6" s="13"/>
      <c r="J6" s="12">
        <f>MeridienneCalculs!P6</f>
        <v>-2.903833333333333</v>
      </c>
      <c r="K6" s="152" t="s">
        <v>2</v>
      </c>
      <c r="L6" s="71"/>
      <c r="M6" s="12"/>
      <c r="N6" s="5"/>
    </row>
    <row r="8" spans="1:25" x14ac:dyDescent="0.25">
      <c r="C8" s="18" t="s">
        <v>24</v>
      </c>
      <c r="D8" s="18"/>
      <c r="E8" s="18"/>
    </row>
    <row r="9" spans="1:25" x14ac:dyDescent="0.25">
      <c r="F9" s="68" t="s">
        <v>29</v>
      </c>
      <c r="G9" s="27"/>
      <c r="H9" s="86" t="s">
        <v>102</v>
      </c>
      <c r="I9"/>
      <c r="J9">
        <f>MeridienneCalculs!P9</f>
        <v>10.999722222222221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25"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5">
      <c r="H11" s="1"/>
      <c r="I11" s="1"/>
      <c r="K11" s="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5">
      <c r="F12" s="12"/>
      <c r="H12" s="12"/>
      <c r="I12" s="13"/>
      <c r="J12" s="156" t="str">
        <f>MeridienneCalculs!W12</f>
        <v>11:11:35.92</v>
      </c>
      <c r="K12" s="151" t="s">
        <v>75</v>
      </c>
      <c r="L12" s="153"/>
      <c r="M12" s="153"/>
      <c r="N12" s="154"/>
      <c r="O12" s="154"/>
      <c r="P12" s="154"/>
      <c r="Q12" s="154"/>
      <c r="R12"/>
      <c r="S12"/>
      <c r="T12"/>
      <c r="U12"/>
      <c r="V12"/>
      <c r="W12"/>
      <c r="X12"/>
      <c r="Y12"/>
    </row>
    <row r="13" spans="1:25" x14ac:dyDescent="0.25">
      <c r="C13" s="12" t="s">
        <v>117</v>
      </c>
      <c r="G13" s="12"/>
      <c r="H13" s="90"/>
      <c r="I13" s="13"/>
      <c r="J13" s="12"/>
      <c r="K13" s="13"/>
      <c r="L13" s="12"/>
      <c r="M13" s="12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F14" s="1" t="s">
        <v>118</v>
      </c>
      <c r="H14" s="9">
        <v>2</v>
      </c>
      <c r="I14" s="1" t="s">
        <v>28</v>
      </c>
      <c r="K14" s="1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5">
      <c r="H15" s="1"/>
      <c r="J15" s="156" t="str">
        <f>MeridienneCalculs!H15</f>
        <v>09:11:35.92</v>
      </c>
      <c r="K15" s="151" t="s">
        <v>110</v>
      </c>
      <c r="L15" s="151"/>
      <c r="M15" s="151"/>
      <c r="N15" s="155"/>
      <c r="O15" s="153"/>
      <c r="P15" s="153"/>
      <c r="Q15" s="153"/>
    </row>
    <row r="16" spans="1:25" x14ac:dyDescent="0.25">
      <c r="H16" s="1"/>
      <c r="I16" s="13"/>
      <c r="J16" s="156" t="str">
        <f>MeridienneCalculs!H16</f>
        <v>13:11:35.92</v>
      </c>
      <c r="K16" s="1"/>
      <c r="L16"/>
      <c r="M16" s="12"/>
      <c r="N16" s="91"/>
    </row>
    <row r="17" spans="2:14" x14ac:dyDescent="0.25">
      <c r="F17" s="12"/>
      <c r="G17" s="12"/>
      <c r="H17" s="90"/>
      <c r="I17" s="13"/>
      <c r="J17" s="12"/>
      <c r="K17" s="1"/>
      <c r="L17"/>
      <c r="M17" s="12"/>
      <c r="N17" s="13"/>
    </row>
    <row r="18" spans="2:14" ht="15.75" thickBot="1" x14ac:dyDescent="0.3"/>
    <row r="19" spans="2:14" ht="15.75" thickBot="1" x14ac:dyDescent="0.3">
      <c r="B19" s="131" t="s">
        <v>77</v>
      </c>
      <c r="C19" s="122" t="s">
        <v>76</v>
      </c>
      <c r="D19" s="122"/>
      <c r="E19" s="122"/>
      <c r="F19" s="122"/>
      <c r="G19" s="122"/>
      <c r="H19" s="122"/>
      <c r="I19" s="122"/>
      <c r="J19" s="122"/>
      <c r="K19" s="122"/>
      <c r="L19" s="123"/>
    </row>
    <row r="20" spans="2:14" x14ac:dyDescent="0.25">
      <c r="B20" s="132"/>
    </row>
    <row r="21" spans="2:14" x14ac:dyDescent="0.25">
      <c r="B21" s="132"/>
    </row>
    <row r="22" spans="2:14" x14ac:dyDescent="0.25">
      <c r="B22" s="132"/>
      <c r="C22" s="18" t="s">
        <v>30</v>
      </c>
    </row>
    <row r="23" spans="2:14" x14ac:dyDescent="0.25">
      <c r="B23" s="132"/>
      <c r="C23" s="18"/>
      <c r="D23" s="1" t="s">
        <v>36</v>
      </c>
      <c r="I23" s="13"/>
      <c r="J23" s="12"/>
      <c r="K23" s="13"/>
      <c r="L23" s="12"/>
      <c r="M23" s="12"/>
    </row>
    <row r="24" spans="2:14" x14ac:dyDescent="0.25">
      <c r="B24" s="132"/>
      <c r="C24" s="18"/>
      <c r="F24" s="68" t="s">
        <v>58</v>
      </c>
      <c r="G24" s="101" t="s">
        <v>60</v>
      </c>
      <c r="H24" s="100" t="s">
        <v>105</v>
      </c>
      <c r="I24" s="97"/>
      <c r="J24" s="98"/>
      <c r="K24" s="97"/>
      <c r="L24" s="99"/>
      <c r="M24" s="98"/>
      <c r="N24" s="21"/>
    </row>
    <row r="25" spans="2:14" x14ac:dyDescent="0.25">
      <c r="B25" s="132"/>
      <c r="C25" s="18"/>
      <c r="I25" s="13"/>
      <c r="J25" s="12"/>
      <c r="K25" s="13"/>
      <c r="L25" s="12"/>
      <c r="M25" s="12"/>
    </row>
    <row r="26" spans="2:14" x14ac:dyDescent="0.25">
      <c r="B26" s="132"/>
      <c r="D26" s="18" t="s">
        <v>31</v>
      </c>
      <c r="G26" s="10"/>
      <c r="I26" s="13"/>
      <c r="J26" s="12"/>
      <c r="K26" s="13"/>
      <c r="L26" s="12"/>
      <c r="M26" s="12"/>
    </row>
    <row r="27" spans="2:14" ht="15" customHeight="1" x14ac:dyDescent="0.25">
      <c r="B27" s="132"/>
      <c r="F27" s="68" t="s">
        <v>38</v>
      </c>
      <c r="G27" s="101"/>
      <c r="H27" s="73" t="s">
        <v>109</v>
      </c>
      <c r="I27" s="97"/>
      <c r="J27" s="98"/>
      <c r="K27" s="97"/>
      <c r="L27" s="99"/>
      <c r="M27" s="98"/>
      <c r="N27" s="21"/>
    </row>
    <row r="28" spans="2:14" x14ac:dyDescent="0.25">
      <c r="B28" s="132"/>
      <c r="I28" s="13"/>
      <c r="J28" s="12"/>
      <c r="K28" s="13"/>
      <c r="L28" s="12"/>
      <c r="M28" s="12"/>
    </row>
    <row r="29" spans="2:14" x14ac:dyDescent="0.25">
      <c r="B29" s="132"/>
      <c r="C29" s="18"/>
      <c r="D29" s="1" t="s">
        <v>62</v>
      </c>
      <c r="I29" s="13"/>
      <c r="J29" s="12"/>
      <c r="K29" s="13"/>
      <c r="L29" s="12"/>
      <c r="M29" s="12"/>
    </row>
    <row r="30" spans="2:14" ht="18" x14ac:dyDescent="0.25">
      <c r="B30" s="132"/>
      <c r="C30" s="18"/>
      <c r="F30" s="106" t="s">
        <v>72</v>
      </c>
      <c r="G30" s="107"/>
      <c r="H30" s="110">
        <v>3</v>
      </c>
      <c r="I30" s="108" t="s">
        <v>51</v>
      </c>
      <c r="J30" s="57"/>
      <c r="K30" s="56"/>
      <c r="L30" s="58"/>
      <c r="M30" s="57"/>
      <c r="N30" s="47"/>
    </row>
    <row r="31" spans="2:14" x14ac:dyDescent="0.25">
      <c r="B31" s="132"/>
      <c r="C31" s="18"/>
      <c r="F31" s="40"/>
      <c r="G31" s="45"/>
      <c r="H31" s="52"/>
      <c r="I31" s="41"/>
      <c r="J31" s="42"/>
      <c r="K31" s="41"/>
      <c r="L31" s="43"/>
      <c r="M31" s="42"/>
      <c r="N31" s="42"/>
    </row>
    <row r="32" spans="2:14" x14ac:dyDescent="0.25">
      <c r="B32" s="132"/>
      <c r="C32" s="18"/>
      <c r="F32" s="40"/>
      <c r="G32" s="45"/>
      <c r="I32" s="1"/>
      <c r="J32" s="42"/>
      <c r="K32" s="41"/>
      <c r="L32" s="42"/>
      <c r="M32" s="42"/>
      <c r="N32" s="42"/>
    </row>
    <row r="33" spans="2:14" x14ac:dyDescent="0.25">
      <c r="B33" s="132"/>
      <c r="C33" s="18"/>
      <c r="D33" s="1" t="s">
        <v>65</v>
      </c>
    </row>
    <row r="34" spans="2:14" s="12" customFormat="1" ht="18" x14ac:dyDescent="0.25">
      <c r="B34" s="132"/>
      <c r="C34" s="51"/>
      <c r="F34" s="106" t="s">
        <v>73</v>
      </c>
      <c r="G34" s="109"/>
      <c r="H34" s="111" t="s">
        <v>67</v>
      </c>
      <c r="I34" s="56"/>
      <c r="J34" s="57"/>
      <c r="K34" s="56"/>
      <c r="L34" s="58"/>
      <c r="M34" s="57"/>
      <c r="N34" s="58"/>
    </row>
    <row r="35" spans="2:14" s="12" customFormat="1" x14ac:dyDescent="0.25">
      <c r="B35" s="132"/>
      <c r="C35" s="51"/>
      <c r="F35" s="52"/>
      <c r="G35" s="45"/>
      <c r="H35" s="52"/>
      <c r="I35" s="41"/>
      <c r="J35" s="42"/>
      <c r="K35" s="41"/>
      <c r="L35" s="42"/>
      <c r="M35" s="42"/>
      <c r="N35" s="42"/>
    </row>
    <row r="36" spans="2:14" x14ac:dyDescent="0.25">
      <c r="B36" s="132"/>
      <c r="C36" s="18"/>
      <c r="D36" s="1" t="s">
        <v>69</v>
      </c>
    </row>
    <row r="37" spans="2:14" ht="18" x14ac:dyDescent="0.25">
      <c r="B37" s="132"/>
      <c r="C37" s="18"/>
      <c r="F37" s="106" t="s">
        <v>74</v>
      </c>
      <c r="G37" s="107"/>
      <c r="H37" s="111" t="s">
        <v>70</v>
      </c>
      <c r="I37" s="56"/>
      <c r="J37" s="57"/>
      <c r="K37" s="56"/>
      <c r="L37" s="58"/>
      <c r="M37" s="57"/>
      <c r="N37" s="58"/>
    </row>
    <row r="38" spans="2:14" ht="15.75" thickBot="1" x14ac:dyDescent="0.3">
      <c r="B38" s="133"/>
      <c r="C38" s="18"/>
    </row>
    <row r="39" spans="2:14" x14ac:dyDescent="0.25">
      <c r="B39" s="63"/>
      <c r="C39" s="18"/>
    </row>
    <row r="40" spans="2:14" x14ac:dyDescent="0.25">
      <c r="B40" s="63"/>
      <c r="C40" s="18"/>
      <c r="E40" s="1" t="s">
        <v>80</v>
      </c>
    </row>
    <row r="41" spans="2:14" x14ac:dyDescent="0.25">
      <c r="B41" s="63"/>
      <c r="C41" s="18"/>
      <c r="F41" s="1" t="s">
        <v>81</v>
      </c>
    </row>
    <row r="42" spans="2:14" x14ac:dyDescent="0.25">
      <c r="B42" s="63"/>
      <c r="C42" s="18"/>
      <c r="F42" s="8" t="s">
        <v>82</v>
      </c>
      <c r="G42" s="8"/>
      <c r="H42" s="73"/>
      <c r="I42" s="9"/>
      <c r="J42" s="8"/>
      <c r="K42" s="9"/>
      <c r="L42" s="8"/>
      <c r="M42" s="8"/>
      <c r="N42" s="9"/>
    </row>
    <row r="43" spans="2:14" x14ac:dyDescent="0.25">
      <c r="B43" s="63"/>
      <c r="C43" s="18"/>
    </row>
    <row r="44" spans="2:14" x14ac:dyDescent="0.25">
      <c r="B44" s="63"/>
      <c r="C44" s="18"/>
    </row>
    <row r="45" spans="2:14" x14ac:dyDescent="0.25">
      <c r="B45" s="63"/>
      <c r="C45" s="18"/>
    </row>
    <row r="46" spans="2:14" x14ac:dyDescent="0.25">
      <c r="B46" s="63"/>
      <c r="C46" s="18"/>
    </row>
    <row r="47" spans="2:14" ht="15.75" thickBot="1" x14ac:dyDescent="0.3">
      <c r="B47" s="63"/>
      <c r="C47" s="18"/>
    </row>
    <row r="48" spans="2:14" ht="13.5" customHeight="1" thickBot="1" x14ac:dyDescent="0.3">
      <c r="B48" s="136" t="s">
        <v>79</v>
      </c>
      <c r="C48" s="134" t="s">
        <v>78</v>
      </c>
      <c r="D48" s="134"/>
      <c r="E48" s="134"/>
      <c r="F48" s="134"/>
      <c r="G48" s="134"/>
      <c r="H48" s="134"/>
      <c r="I48" s="134"/>
      <c r="J48" s="134"/>
      <c r="K48" s="134"/>
      <c r="L48" s="135"/>
    </row>
    <row r="49" spans="2:14" ht="13.5" customHeight="1" x14ac:dyDescent="0.25">
      <c r="B49" s="137"/>
      <c r="C49" s="115"/>
      <c r="D49" s="115"/>
      <c r="E49" s="115"/>
      <c r="F49" s="115"/>
      <c r="G49" s="115"/>
      <c r="H49" s="115"/>
      <c r="I49" s="115"/>
      <c r="J49" s="115"/>
      <c r="K49" s="115"/>
      <c r="L49" s="115"/>
    </row>
    <row r="50" spans="2:14" ht="13.5" customHeight="1" x14ac:dyDescent="0.25">
      <c r="B50" s="137"/>
      <c r="C50" s="115"/>
      <c r="D50" s="116" t="s">
        <v>115</v>
      </c>
      <c r="E50" s="117"/>
      <c r="F50" s="117"/>
      <c r="G50" s="117"/>
      <c r="H50" s="12" t="e">
        <f>#REF!</f>
        <v>#REF!</v>
      </c>
      <c r="I50" s="115"/>
      <c r="J50" s="115"/>
      <c r="K50" s="115"/>
      <c r="L50" s="115"/>
    </row>
    <row r="51" spans="2:14" ht="13.5" customHeight="1" x14ac:dyDescent="0.25">
      <c r="B51" s="137"/>
      <c r="C51" s="115"/>
      <c r="D51" s="115"/>
      <c r="E51" s="115"/>
      <c r="F51" s="115"/>
      <c r="G51" s="115"/>
      <c r="H51" s="1"/>
      <c r="I51" s="115"/>
      <c r="J51" s="115"/>
      <c r="K51" s="115"/>
      <c r="L51" s="115"/>
    </row>
    <row r="52" spans="2:14" x14ac:dyDescent="0.25">
      <c r="B52" s="137"/>
      <c r="D52" s="18" t="s">
        <v>32</v>
      </c>
    </row>
    <row r="53" spans="2:14" x14ac:dyDescent="0.25">
      <c r="B53" s="137"/>
      <c r="D53" s="20"/>
      <c r="E53" s="24"/>
      <c r="F53" s="20"/>
      <c r="G53" s="20"/>
      <c r="H53" s="74"/>
      <c r="I53" s="20"/>
      <c r="J53" s="20"/>
      <c r="K53" s="20"/>
      <c r="L53" s="20"/>
      <c r="M53" s="20"/>
      <c r="N53" s="20"/>
    </row>
    <row r="54" spans="2:14" x14ac:dyDescent="0.25">
      <c r="B54" s="137"/>
      <c r="D54" s="22"/>
      <c r="E54" s="130" t="s">
        <v>33</v>
      </c>
      <c r="F54" s="130"/>
      <c r="G54" s="130"/>
      <c r="H54" s="113"/>
      <c r="I54" s="22"/>
      <c r="J54" s="22"/>
      <c r="K54" s="22"/>
      <c r="L54" s="22"/>
      <c r="M54" s="22"/>
      <c r="N54" s="22"/>
    </row>
    <row r="55" spans="2:14" x14ac:dyDescent="0.25">
      <c r="B55" s="137"/>
      <c r="F55" s="68" t="s">
        <v>111</v>
      </c>
      <c r="G55" s="27"/>
      <c r="H55" s="86" t="s">
        <v>116</v>
      </c>
      <c r="I55" s="82"/>
      <c r="J55" s="83"/>
      <c r="K55" s="82"/>
      <c r="L55" s="83"/>
      <c r="M55" s="83"/>
    </row>
    <row r="56" spans="2:14" x14ac:dyDescent="0.25">
      <c r="B56" s="137"/>
      <c r="D56" s="22"/>
      <c r="E56" s="112"/>
      <c r="F56" s="22"/>
      <c r="G56" s="22"/>
      <c r="H56" s="113"/>
      <c r="I56" s="22"/>
      <c r="J56" s="22"/>
      <c r="K56" s="22"/>
      <c r="L56" s="22"/>
      <c r="M56" s="22"/>
      <c r="N56" s="22"/>
    </row>
    <row r="57" spans="2:14" x14ac:dyDescent="0.25">
      <c r="B57" s="137"/>
      <c r="D57" s="22"/>
      <c r="E57" s="130" t="s">
        <v>112</v>
      </c>
      <c r="F57" s="130"/>
      <c r="G57" s="130"/>
      <c r="H57" s="113"/>
      <c r="I57" s="22"/>
      <c r="J57" s="22"/>
      <c r="K57" s="22"/>
      <c r="L57" s="22"/>
      <c r="M57" s="22"/>
      <c r="N57" s="22"/>
    </row>
    <row r="58" spans="2:14" ht="15" customHeight="1" x14ac:dyDescent="0.25">
      <c r="B58" s="137"/>
      <c r="F58" s="68" t="s">
        <v>38</v>
      </c>
      <c r="G58" s="101"/>
      <c r="H58" s="73" t="s">
        <v>109</v>
      </c>
      <c r="I58" s="97"/>
      <c r="J58" s="98"/>
      <c r="K58" s="97"/>
      <c r="L58" s="99"/>
      <c r="M58" s="98"/>
      <c r="N58" s="21" t="s">
        <v>6</v>
      </c>
    </row>
    <row r="59" spans="2:14" x14ac:dyDescent="0.25">
      <c r="B59" s="137"/>
      <c r="D59" s="22"/>
      <c r="E59" s="112"/>
      <c r="F59" s="22"/>
      <c r="G59" s="22"/>
      <c r="H59" s="113"/>
      <c r="I59" s="22"/>
      <c r="J59" s="22"/>
      <c r="K59" s="22"/>
      <c r="L59" s="22"/>
      <c r="M59" s="22"/>
      <c r="N59" s="22"/>
    </row>
    <row r="60" spans="2:14" x14ac:dyDescent="0.25">
      <c r="B60" s="137"/>
      <c r="D60" s="22"/>
      <c r="E60" s="130" t="s">
        <v>34</v>
      </c>
      <c r="F60" s="130"/>
      <c r="G60" s="130"/>
      <c r="H60" s="113"/>
      <c r="I60" s="22"/>
      <c r="J60" s="22"/>
      <c r="K60" s="22"/>
      <c r="L60" s="22"/>
      <c r="M60" s="22"/>
      <c r="N60" s="22"/>
    </row>
    <row r="61" spans="2:14" x14ac:dyDescent="0.25">
      <c r="B61" s="137"/>
      <c r="F61" s="68" t="s">
        <v>113</v>
      </c>
      <c r="G61" s="118"/>
      <c r="H61" s="4" t="e">
        <f>#REF!</f>
        <v>#REF!</v>
      </c>
      <c r="I61" s="82"/>
      <c r="J61" s="83"/>
      <c r="K61" s="82"/>
      <c r="L61" s="83"/>
      <c r="M61" s="83"/>
    </row>
    <row r="62" spans="2:14" x14ac:dyDescent="0.25">
      <c r="B62" s="137"/>
      <c r="D62" s="22"/>
      <c r="E62" s="112"/>
      <c r="F62" s="119" t="s">
        <v>114</v>
      </c>
      <c r="G62" s="22"/>
      <c r="H62" s="120"/>
      <c r="I62" s="22"/>
      <c r="J62" s="22"/>
      <c r="K62" s="22"/>
      <c r="L62" s="22"/>
      <c r="M62" s="22"/>
      <c r="N62" s="22"/>
    </row>
    <row r="63" spans="2:14" x14ac:dyDescent="0.25">
      <c r="B63" s="137"/>
      <c r="E63" s="18"/>
      <c r="I63" s="1"/>
      <c r="K63" s="1"/>
      <c r="N63" s="1"/>
    </row>
    <row r="64" spans="2:14" x14ac:dyDescent="0.25">
      <c r="B64" s="137"/>
      <c r="D64" s="18" t="s">
        <v>35</v>
      </c>
    </row>
    <row r="65" spans="2:14" x14ac:dyDescent="0.25">
      <c r="B65" s="137"/>
      <c r="D65" s="20"/>
      <c r="E65" s="24"/>
      <c r="F65" s="20"/>
      <c r="G65" s="20"/>
      <c r="H65" s="74"/>
      <c r="I65" s="20"/>
      <c r="J65" s="20"/>
      <c r="K65" s="20"/>
      <c r="L65" s="20"/>
      <c r="M65" s="20"/>
      <c r="N65" s="20"/>
    </row>
    <row r="66" spans="2:14" x14ac:dyDescent="0.25">
      <c r="B66" s="137"/>
    </row>
    <row r="67" spans="2:14" x14ac:dyDescent="0.25">
      <c r="B67" s="137"/>
    </row>
    <row r="68" spans="2:14" x14ac:dyDescent="0.25">
      <c r="B68" s="137"/>
    </row>
    <row r="69" spans="2:14" x14ac:dyDescent="0.25">
      <c r="B69" s="137"/>
    </row>
    <row r="70" spans="2:14" x14ac:dyDescent="0.25">
      <c r="B70" s="137"/>
    </row>
    <row r="71" spans="2:14" x14ac:dyDescent="0.25">
      <c r="B71" s="137"/>
    </row>
    <row r="72" spans="2:14" x14ac:dyDescent="0.25">
      <c r="B72" s="137"/>
    </row>
    <row r="73" spans="2:14" x14ac:dyDescent="0.25">
      <c r="B73" s="137"/>
    </row>
    <row r="74" spans="2:14" x14ac:dyDescent="0.25">
      <c r="B74" s="137"/>
    </row>
    <row r="75" spans="2:14" ht="15.75" thickBot="1" x14ac:dyDescent="0.3">
      <c r="B75" s="138"/>
    </row>
  </sheetData>
  <sheetProtection selectLockedCells="1"/>
  <mergeCells count="8">
    <mergeCell ref="B19:B38"/>
    <mergeCell ref="C48:L48"/>
    <mergeCell ref="B48:B75"/>
    <mergeCell ref="C2:N2"/>
    <mergeCell ref="C19:L19"/>
    <mergeCell ref="E57:G57"/>
    <mergeCell ref="E60:G60"/>
    <mergeCell ref="E54:G54"/>
  </mergeCells>
  <dataValidations count="2">
    <dataValidation allowBlank="1" showInputMessage="1" showErrorMessage="1" promptTitle="Saisir un angle ----------------" prompt="Saisir un angle au format :                           _x000a_  sexa          2°59'59&quot;_x000a_  semi sexa 2°59.98' ou 2°59.98 _x000a_  decimal    2.9825°" sqref="H6"/>
    <dataValidation allowBlank="1" showInputMessage="1" showErrorMessage="1" promptTitle="Saisie une heure" prompt="Attention mettre la cellule au format Text_x000a_Format horaire possible_x000a_   - hh:mm:ss_x000a_   - hh:mm.ss_x000a_   - hh.mmss" sqref="H9 H55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Constantes!$G$2:$G$3</xm:f>
          </x14:formula1>
          <xm:sqref>G6 C6:E6 G27 G58</xm:sqref>
        </x14:dataValidation>
        <x14:dataValidation type="list" allowBlank="1" showInputMessage="1" showErrorMessage="1">
          <x14:formula1>
            <xm:f>Constantes!$M$4:$Q$4</xm:f>
          </x14:formula1>
          <xm:sqref>H30</xm:sqref>
        </x14:dataValidation>
        <x14:dataValidation type="list" allowBlank="1" showInputMessage="1" showErrorMessage="1">
          <x14:formula1>
            <xm:f>Constantes!$D$6:$D$7</xm:f>
          </x14:formula1>
          <xm:sqref>G24 H31 H35</xm:sqref>
        </x14:dataValidation>
        <x14:dataValidation type="list" allowBlank="1" showInputMessage="1" showErrorMessage="1">
          <x14:formula1>
            <xm:f>Constantes!$D$9:$D$10</xm:f>
          </x14:formula1>
          <xm:sqref>H34</xm:sqref>
        </x14:dataValidation>
        <x14:dataValidation type="list" allowBlank="1" showInputMessage="1" showErrorMessage="1">
          <x14:formula1>
            <xm:f>Constantes!$D$12:$D$13</xm:f>
          </x14:formula1>
          <xm:sqref>H37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workbookViewId="0">
      <selection activeCell="H15" sqref="H15:H16"/>
    </sheetView>
  </sheetViews>
  <sheetFormatPr defaultRowHeight="15" x14ac:dyDescent="0.25"/>
  <cols>
    <col min="1" max="1" width="9.140625" style="1"/>
    <col min="2" max="2" width="2.7109375" style="1" customWidth="1"/>
    <col min="3" max="5" width="4" style="1" customWidth="1"/>
    <col min="6" max="6" width="22" style="1" customWidth="1"/>
    <col min="7" max="7" width="4.140625" style="1" customWidth="1"/>
    <col min="8" max="8" width="12.28515625" style="103" customWidth="1"/>
    <col min="9" max="9" width="5.7109375" style="2" customWidth="1"/>
    <col min="10" max="10" width="1.5703125" style="1" customWidth="1"/>
    <col min="11" max="11" width="7.28515625" style="2" customWidth="1"/>
    <col min="12" max="12" width="1.5703125" style="1" customWidth="1"/>
    <col min="13" max="13" width="4.28515625" style="1" customWidth="1"/>
    <col min="14" max="14" width="1.5703125" style="2" customWidth="1"/>
    <col min="15" max="15" width="9.140625" style="1"/>
    <col min="16" max="16" width="10" style="1" customWidth="1"/>
    <col min="17" max="17" width="1.85546875" style="1" customWidth="1"/>
    <col min="18" max="18" width="7.140625" style="1" customWidth="1"/>
    <col min="19" max="19" width="11.85546875" style="1" customWidth="1"/>
    <col min="20" max="20" width="15.42578125" style="1" customWidth="1"/>
    <col min="21" max="24" width="16.42578125" style="1" customWidth="1"/>
    <col min="25" max="25" width="11.42578125" style="1" customWidth="1"/>
    <col min="26" max="26" width="9" style="1" customWidth="1"/>
    <col min="27" max="27" width="19.5703125" style="1" customWidth="1"/>
    <col min="28" max="28" width="16.7109375" style="1" customWidth="1"/>
    <col min="29" max="29" width="13.42578125" style="1" customWidth="1"/>
    <col min="30" max="30" width="10.28515625" style="1" customWidth="1"/>
    <col min="31" max="31" width="9.140625" style="1" customWidth="1"/>
    <col min="32" max="32" width="11.28515625" style="1" customWidth="1"/>
    <col min="33" max="40" width="9.140625" style="1" customWidth="1"/>
    <col min="41" max="16384" width="9.140625" style="1"/>
  </cols>
  <sheetData>
    <row r="1" spans="1:40" ht="15.75" thickBot="1" x14ac:dyDescent="0.3"/>
    <row r="2" spans="1:40" ht="15.75" thickBot="1" x14ac:dyDescent="0.3">
      <c r="C2" s="121" t="s">
        <v>20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</row>
    <row r="4" spans="1:40" x14ac:dyDescent="0.25">
      <c r="C4" s="18" t="s">
        <v>21</v>
      </c>
      <c r="D4" s="18"/>
      <c r="E4" s="18"/>
    </row>
    <row r="5" spans="1:40" x14ac:dyDescent="0.25">
      <c r="F5" s="64" t="s">
        <v>22</v>
      </c>
      <c r="G5" s="75" t="s">
        <v>12</v>
      </c>
      <c r="H5" s="75" t="s">
        <v>12</v>
      </c>
      <c r="R5" s="102">
        <f>VLOOKUP($G5,Constantes!$G$2:$I$3,2)</f>
        <v>1</v>
      </c>
      <c r="T5" s="1" t="s">
        <v>86</v>
      </c>
      <c r="U5" s="1" t="s">
        <v>87</v>
      </c>
      <c r="V5" s="1" t="s">
        <v>88</v>
      </c>
      <c r="W5" s="1" t="s">
        <v>106</v>
      </c>
      <c r="X5" s="1" t="s">
        <v>107</v>
      </c>
      <c r="Y5" s="1" t="s">
        <v>83</v>
      </c>
      <c r="Z5" s="1" t="s">
        <v>84</v>
      </c>
      <c r="AA5" s="1" t="s">
        <v>85</v>
      </c>
      <c r="AB5" s="1" t="s">
        <v>89</v>
      </c>
      <c r="AC5" s="1" t="s">
        <v>90</v>
      </c>
      <c r="AD5" s="1" t="s">
        <v>91</v>
      </c>
      <c r="AE5" s="1" t="s">
        <v>94</v>
      </c>
      <c r="AF5" s="8" t="s">
        <v>92</v>
      </c>
      <c r="AG5" s="76" t="s">
        <v>98</v>
      </c>
      <c r="AH5" s="139" t="s">
        <v>97</v>
      </c>
      <c r="AI5" s="139"/>
      <c r="AJ5" s="139"/>
      <c r="AK5" s="140" t="s">
        <v>101</v>
      </c>
      <c r="AL5" s="141"/>
      <c r="AM5" s="141"/>
      <c r="AN5" s="142"/>
    </row>
    <row r="6" spans="1:40" x14ac:dyDescent="0.25">
      <c r="A6" s="2"/>
      <c r="B6" s="2"/>
      <c r="C6" s="67"/>
      <c r="D6" s="102"/>
      <c r="E6" s="102"/>
      <c r="F6" s="64" t="s">
        <v>23</v>
      </c>
      <c r="G6" s="72" t="s">
        <v>18</v>
      </c>
      <c r="H6" s="85" t="str">
        <f>Meridienne!H6</f>
        <v>2°54.23'</v>
      </c>
      <c r="I6" s="13"/>
      <c r="J6" s="12"/>
      <c r="K6" s="13"/>
      <c r="L6" s="71"/>
      <c r="M6" s="12"/>
      <c r="N6" s="5"/>
      <c r="O6" s="66" t="s">
        <v>14</v>
      </c>
      <c r="P6" s="81">
        <f>$AF6*IF($G6="E",-1,1)</f>
        <v>-2.903833333333333</v>
      </c>
      <c r="Q6" s="70" t="s">
        <v>2</v>
      </c>
      <c r="R6" s="102">
        <f>VLOOKUP($G6,Constantes!$G$2:$I$3,2)</f>
        <v>-1</v>
      </c>
      <c r="T6" s="1" t="b">
        <f>ISNUMBER(SEARCH("""",$H6,1))</f>
        <v>0</v>
      </c>
      <c r="U6" s="1" t="b">
        <f>ISNUMBER(SEARCH("'",$H6,1))</f>
        <v>1</v>
      </c>
      <c r="V6" s="1" t="b">
        <f>ISNUMBER(SEARCH("°",$H6,1))</f>
        <v>1</v>
      </c>
      <c r="W6" s="1" t="b">
        <f>IF(SEARCH("°",$H6,1)=LEN($H6),TRUE, FALSE)</f>
        <v>0</v>
      </c>
      <c r="X6" s="1" t="b">
        <f>IF(NOT(ISNUMBER(SEARCH("'",$H6,1))), FALSE, IF(SEARCH("'",$H6,1)=LEN($H6),TRUE, FALSE))</f>
        <v>1</v>
      </c>
      <c r="Y6" s="1" t="b">
        <f>IF(AND($T6,$U6,$V6),TRUE,FALSE)</f>
        <v>0</v>
      </c>
      <c r="Z6" s="1" t="b">
        <f>IF(AND(NOT($Y6),$V6,NOT($T6),NOT($W6)),TRUE,FALSE)</f>
        <v>1</v>
      </c>
      <c r="AA6" s="1" t="b">
        <f>IF(AND(NOT($Y6),NOT($Z6),$W6),TRUE,FALSE)</f>
        <v>0</v>
      </c>
      <c r="AB6" s="1" t="b">
        <f>IF(AND($Y6,RIGHT($H6)=""""),TRUE, FALSE)</f>
        <v>0</v>
      </c>
      <c r="AC6" s="1" t="b">
        <f>IF($Z6,TRUE, FALSE)</f>
        <v>1</v>
      </c>
      <c r="AD6" s="1" t="b">
        <f>IF(AND($AA6,RIGHT($H6)="°"),TRUE, FALSE)</f>
        <v>0</v>
      </c>
      <c r="AE6" s="1" t="str">
        <f>SUBSTITUTE($H6,Constantes!$D$15,Constantes!$E$15)</f>
        <v>2°54.23'</v>
      </c>
      <c r="AF6" s="8">
        <f>IF($AD6,$AG6,IF($AC6,$AJ6,IF($AB6,$AN6,361)))</f>
        <v>2.903833333333333</v>
      </c>
      <c r="AG6" s="76" t="str">
        <f>LEFT($AE6, SEARCH("°",$AE6,1)-1)</f>
        <v>2</v>
      </c>
      <c r="AH6" s="77" t="str">
        <f>LEFT($AE6, SEARCH("°",$AE6,1)-1)</f>
        <v>2</v>
      </c>
      <c r="AI6" s="77" t="str">
        <f>MID($AE6, SEARCH("°",$AE6,1) +1, IF($U6,SEARCH("'",$AE6,1) - SEARCH("°",$AE6,1) -1,LEN($AE6)-SEARCH("°",$AE6,1)))</f>
        <v>54.23</v>
      </c>
      <c r="AJ6" s="78">
        <f>$AH6+$AI6*1/60</f>
        <v>2.903833333333333</v>
      </c>
      <c r="AK6" s="80" t="str">
        <f>LEFT($AE6, SEARCH("°",$AE6,1)-1)</f>
        <v>2</v>
      </c>
      <c r="AL6" s="79" t="str">
        <f>MID($AE6,SEARCH("°",$AE6,1)+1,SEARCH("'",$AE6,1)-SEARCH("°",$AE6,1)-1)</f>
        <v>54.23</v>
      </c>
      <c r="AM6" s="79" t="e">
        <f>MID($AE6,SEARCH("'",$AE6,1)+1,SEARCH("""",$AE6,1)-SEARCH("'",$AE6,1)-1)</f>
        <v>#VALUE!</v>
      </c>
      <c r="AN6" s="79" t="e">
        <f>$AK6+$AL6/60+$AM6/3600</f>
        <v>#VALUE!</v>
      </c>
    </row>
    <row r="8" spans="1:40" x14ac:dyDescent="0.25">
      <c r="C8" s="18" t="s">
        <v>24</v>
      </c>
      <c r="D8" s="18"/>
      <c r="E8" s="18"/>
      <c r="O8" s="12"/>
      <c r="P8" s="12"/>
      <c r="T8" s="1" t="s">
        <v>99</v>
      </c>
      <c r="U8" s="1" t="s">
        <v>100</v>
      </c>
      <c r="W8" s="1" t="s">
        <v>83</v>
      </c>
      <c r="X8" s="1" t="s">
        <v>84</v>
      </c>
      <c r="Y8" s="1" t="s">
        <v>85</v>
      </c>
      <c r="AC8" s="1" t="s">
        <v>94</v>
      </c>
      <c r="AD8" s="8" t="s">
        <v>92</v>
      </c>
      <c r="AE8" s="76" t="s">
        <v>98</v>
      </c>
      <c r="AF8" s="139" t="s">
        <v>97</v>
      </c>
      <c r="AG8" s="139"/>
      <c r="AH8" s="139"/>
      <c r="AI8" s="140" t="s">
        <v>97</v>
      </c>
      <c r="AJ8" s="141"/>
      <c r="AK8" s="141"/>
      <c r="AL8" s="142"/>
    </row>
    <row r="9" spans="1:40" x14ac:dyDescent="0.25">
      <c r="F9" s="68" t="s">
        <v>29</v>
      </c>
      <c r="G9" s="27"/>
      <c r="H9" s="86" t="str">
        <f>Meridienne!H9</f>
        <v>10:59:59</v>
      </c>
      <c r="I9" s="82"/>
      <c r="J9" s="83"/>
      <c r="K9" s="82"/>
      <c r="L9" s="83"/>
      <c r="M9" s="83"/>
      <c r="O9" s="66" t="s">
        <v>14</v>
      </c>
      <c r="P9" s="89">
        <f>$AD9</f>
        <v>10.999722222222221</v>
      </c>
      <c r="Q9" s="69" t="s">
        <v>28</v>
      </c>
      <c r="R9" s="102"/>
      <c r="T9" s="1" t="b">
        <f>ISNUMBER(SEARCH(":",$H9,1))</f>
        <v>1</v>
      </c>
      <c r="U9" s="1" t="b">
        <f>ISNUMBER(SEARCH(":",$H9, 1+SEARCH(":",$H9,1)))</f>
        <v>1</v>
      </c>
      <c r="W9" s="1" t="b">
        <f>AND($T9,$U9)</f>
        <v>1</v>
      </c>
      <c r="X9" s="1" t="b">
        <f>AND(NOT($W9), $T9)</f>
        <v>0</v>
      </c>
      <c r="Y9" s="1" t="b">
        <f>NOT($T9)</f>
        <v>0</v>
      </c>
      <c r="AC9" s="1" t="str">
        <f>SUBSTITUTE($H9,Constantes!$D$15,Constantes!$E$15)</f>
        <v>10:59:59</v>
      </c>
      <c r="AD9" s="88">
        <f>IF($W9,$AL9,IF($X9,$AH9,IF($Y9,$AE9,361)))</f>
        <v>10.999722222222221</v>
      </c>
      <c r="AE9" s="76">
        <f>IF($Y9,$H9,0)</f>
        <v>0</v>
      </c>
      <c r="AF9" s="77" t="str">
        <f>LEFT($AC9, SEARCH(":",$AC9,1)-1)</f>
        <v>10</v>
      </c>
      <c r="AG9" s="77" t="str">
        <f>MID($AC9, SEARCH(":",$AC9,1) +1, LEN($AC9))</f>
        <v>59:59</v>
      </c>
      <c r="AH9" s="78">
        <f>AF9+AG9*1/60</f>
        <v>10.041655092592592</v>
      </c>
      <c r="AI9" s="80" t="str">
        <f>LEFT($AC9, SEARCH(":",$AC9,1)-1)</f>
        <v>10</v>
      </c>
      <c r="AJ9" s="79" t="str">
        <f>MID($AC9,SEARCH(":",$AC9,1)+1,SEARCH(":",$AC9,SEARCH(":",$AC9,1)+1)-SEARCH(":",$AC9,1)-1)</f>
        <v>59</v>
      </c>
      <c r="AK9" s="79" t="str">
        <f>MID($AC9,1+SEARCH(":",$AC9,SEARCH(":",$AC9,1)+1),LEN($AC9)-SEARCH(":",$AC9,SEARCH(":",$AC9,1)+1))</f>
        <v>59</v>
      </c>
      <c r="AL9" s="79">
        <f>$AI9+$AJ9/60+$AK9/3600</f>
        <v>10.999722222222221</v>
      </c>
    </row>
    <row r="11" spans="1:40" x14ac:dyDescent="0.25">
      <c r="F11" s="92" t="s">
        <v>75</v>
      </c>
      <c r="G11" s="93"/>
      <c r="H11" s="7"/>
      <c r="I11" s="13"/>
      <c r="J11" s="12"/>
      <c r="K11" s="13"/>
      <c r="L11" s="12"/>
      <c r="M11" s="12"/>
      <c r="N11" s="13"/>
      <c r="O11" s="12"/>
      <c r="T11" s="84" t="s">
        <v>26</v>
      </c>
      <c r="U11" s="1" t="s">
        <v>3</v>
      </c>
      <c r="V11" s="1" t="s">
        <v>103</v>
      </c>
      <c r="W11" s="1" t="s">
        <v>104</v>
      </c>
    </row>
    <row r="12" spans="1:40" x14ac:dyDescent="0.25">
      <c r="F12" s="12"/>
      <c r="H12" s="12"/>
      <c r="I12" s="13"/>
      <c r="J12" s="12"/>
      <c r="K12" s="13"/>
      <c r="L12" s="12"/>
      <c r="M12" s="12"/>
      <c r="N12" s="91"/>
      <c r="O12" s="12"/>
      <c r="P12" s="1">
        <f>P9-P6/15</f>
        <v>11.193311111111111</v>
      </c>
      <c r="Q12" s="1" t="s">
        <v>28</v>
      </c>
      <c r="T12" s="1">
        <f>INT($P12)</f>
        <v>11</v>
      </c>
      <c r="U12" s="1">
        <f>INT((($P12-$T12) * 100) * 60/100)</f>
        <v>11</v>
      </c>
      <c r="V12" s="1">
        <f>($P12-($T12+($U12*100/60) / 100))*3600</f>
        <v>35.919999999998709</v>
      </c>
      <c r="W12" s="1" t="str">
        <f>CONCATENATE(TEXT($T12,"00"),":",TEXT($U12,"00"),":",TEXT($V12,"00.00"))</f>
        <v>11:11:35.92</v>
      </c>
    </row>
    <row r="13" spans="1:40" x14ac:dyDescent="0.25">
      <c r="F13" s="12"/>
      <c r="G13" s="12"/>
      <c r="H13" s="90"/>
      <c r="I13" s="13"/>
      <c r="J13" s="12"/>
      <c r="K13" s="13"/>
      <c r="L13" s="12"/>
      <c r="M13" s="12"/>
      <c r="N13" s="13"/>
      <c r="O13" s="12"/>
    </row>
    <row r="14" spans="1:40" x14ac:dyDescent="0.25">
      <c r="F14" s="130" t="s">
        <v>110</v>
      </c>
      <c r="G14" s="130"/>
      <c r="H14" s="130"/>
      <c r="I14" s="9">
        <f>Meridienne!H14</f>
        <v>2</v>
      </c>
      <c r="J14" s="8" t="s">
        <v>28</v>
      </c>
      <c r="K14" s="13"/>
      <c r="L14" s="12"/>
      <c r="M14" s="12"/>
      <c r="N14" s="13"/>
      <c r="O14" s="12"/>
    </row>
    <row r="15" spans="1:40" x14ac:dyDescent="0.25">
      <c r="F15" s="12"/>
      <c r="H15" s="94" t="str">
        <f>W15</f>
        <v>09:11:35.92</v>
      </c>
      <c r="K15" s="13"/>
      <c r="L15" s="12"/>
      <c r="M15" s="12"/>
      <c r="N15" s="91"/>
      <c r="O15" s="12"/>
      <c r="P15" s="1">
        <f>P12-I14</f>
        <v>9.193311111111111</v>
      </c>
      <c r="T15" s="1">
        <f>INT($P15)</f>
        <v>9</v>
      </c>
      <c r="U15" s="1">
        <f>INT((($P15-$T15) * 100) * 60/100)</f>
        <v>11</v>
      </c>
      <c r="V15" s="1">
        <f>($P15-($T15+($U15*100/60) / 100))*3600</f>
        <v>35.919999999998709</v>
      </c>
      <c r="W15" s="1" t="str">
        <f>CONCATENATE(TEXT($T15,"00"),":",TEXT($U15,"00"),":",TEXT($V15,"00.00"))</f>
        <v>09:11:35.92</v>
      </c>
    </row>
    <row r="16" spans="1:40" x14ac:dyDescent="0.25">
      <c r="F16" s="12"/>
      <c r="H16" s="94" t="str">
        <f>W16</f>
        <v>13:11:35.92</v>
      </c>
      <c r="I16" s="13"/>
      <c r="J16" s="12"/>
      <c r="K16" s="13"/>
      <c r="L16" s="12"/>
      <c r="M16" s="12"/>
      <c r="N16" s="91"/>
      <c r="O16" s="12"/>
      <c r="P16" s="1">
        <f>P12+I14</f>
        <v>13.193311111111111</v>
      </c>
      <c r="T16" s="1">
        <f>INT($P16)</f>
        <v>13</v>
      </c>
      <c r="U16" s="1">
        <f>INT((($P16-$T16) * 100) * 60/100)</f>
        <v>11</v>
      </c>
      <c r="V16" s="1">
        <f>($P16-($T16+($U16*100/60) / 100))*3600</f>
        <v>35.919999999998709</v>
      </c>
      <c r="W16" s="1" t="str">
        <f>CONCATENATE(TEXT($T16,"00"),":",TEXT($U16,"00"),":",TEXT($V16,"00.00"))</f>
        <v>13:11:35.92</v>
      </c>
    </row>
    <row r="17" spans="2:40" x14ac:dyDescent="0.25">
      <c r="F17" s="12"/>
      <c r="G17" s="12"/>
      <c r="H17" s="90"/>
      <c r="I17" s="13"/>
      <c r="J17" s="12"/>
      <c r="K17" s="13"/>
      <c r="L17" s="12"/>
      <c r="M17" s="12"/>
      <c r="N17" s="13"/>
      <c r="O17" s="12"/>
    </row>
    <row r="18" spans="2:40" ht="15.75" thickBot="1" x14ac:dyDescent="0.3"/>
    <row r="19" spans="2:40" ht="15.75" thickBot="1" x14ac:dyDescent="0.3">
      <c r="B19" s="131" t="s">
        <v>77</v>
      </c>
      <c r="C19" s="122" t="s">
        <v>76</v>
      </c>
      <c r="D19" s="122"/>
      <c r="E19" s="122"/>
      <c r="F19" s="122"/>
      <c r="G19" s="122"/>
      <c r="H19" s="122"/>
      <c r="I19" s="122"/>
      <c r="J19" s="122"/>
      <c r="K19" s="122"/>
      <c r="L19" s="123"/>
    </row>
    <row r="20" spans="2:40" x14ac:dyDescent="0.25">
      <c r="B20" s="132"/>
    </row>
    <row r="21" spans="2:40" x14ac:dyDescent="0.25">
      <c r="B21" s="132"/>
    </row>
    <row r="22" spans="2:40" x14ac:dyDescent="0.25">
      <c r="B22" s="132"/>
      <c r="C22" s="18" t="s">
        <v>30</v>
      </c>
    </row>
    <row r="23" spans="2:40" x14ac:dyDescent="0.25">
      <c r="B23" s="132"/>
      <c r="C23" s="18"/>
      <c r="D23" s="1" t="s">
        <v>36</v>
      </c>
      <c r="I23" s="13"/>
      <c r="J23" s="12"/>
      <c r="K23" s="13"/>
      <c r="L23" s="12"/>
      <c r="M23" s="12"/>
    </row>
    <row r="24" spans="2:40" x14ac:dyDescent="0.25">
      <c r="B24" s="132"/>
      <c r="C24" s="18"/>
      <c r="F24" s="68" t="s">
        <v>58</v>
      </c>
      <c r="G24" s="101" t="s">
        <v>60</v>
      </c>
      <c r="H24" s="100" t="s">
        <v>105</v>
      </c>
      <c r="I24" s="97"/>
      <c r="J24" s="98"/>
      <c r="K24" s="97"/>
      <c r="L24" s="99"/>
      <c r="M24" s="98"/>
      <c r="N24" s="21" t="s">
        <v>6</v>
      </c>
      <c r="O24" s="95" t="s">
        <v>14</v>
      </c>
      <c r="P24" s="81">
        <f>$R24*$AF24</f>
        <v>2.0350000000000001</v>
      </c>
      <c r="Q24" s="96" t="s">
        <v>2</v>
      </c>
      <c r="R24" s="102">
        <f>VLOOKUP($G24,Constantes!D6:E7,2)</f>
        <v>1</v>
      </c>
      <c r="T24" s="1" t="b">
        <f>ISNUMBER(SEARCH("""",$H24,1))</f>
        <v>0</v>
      </c>
      <c r="U24" s="1" t="b">
        <f>ISNUMBER(SEARCH("'",$H24,1))</f>
        <v>1</v>
      </c>
      <c r="V24" s="1" t="b">
        <f>ISNUMBER(SEARCH("°",$H24,1))</f>
        <v>1</v>
      </c>
      <c r="W24" s="1" t="b">
        <f>IF(SEARCH("°",$H24,1)=LEN($H24),TRUE, FALSE)</f>
        <v>0</v>
      </c>
      <c r="X24" s="1" t="b">
        <f>IF(NOT(ISNUMBER(SEARCH("'",$H24,1))), FALSE, IF(SEARCH("'",$H24,1)=LEN($H24),TRUE, FALSE))</f>
        <v>1</v>
      </c>
      <c r="Y24" s="1" t="b">
        <f>IF(AND($T24,$U24,$V24),TRUE,FALSE)</f>
        <v>0</v>
      </c>
      <c r="Z24" s="1" t="b">
        <f>IF(AND(NOT($Y24),$V24,NOT($T24),NOT($W24)),TRUE,FALSE)</f>
        <v>1</v>
      </c>
      <c r="AA24" s="1" t="b">
        <f>IF(AND(NOT($Y24),NOT($Z24),$W24),TRUE,FALSE)</f>
        <v>0</v>
      </c>
      <c r="AB24" s="1" t="b">
        <f>IF(AND($Y24,RIGHT($H24)=""""),TRUE, FALSE)</f>
        <v>0</v>
      </c>
      <c r="AC24" s="1" t="b">
        <f>IF($Z24,TRUE, FALSE)</f>
        <v>1</v>
      </c>
      <c r="AD24" s="1" t="b">
        <f>IF(AND($AA24,RIGHT($H24)="°"),TRUE, FALSE)</f>
        <v>0</v>
      </c>
      <c r="AE24" s="1" t="str">
        <f>SUBSTITUTE($H24,Constantes!$D$15,Constantes!$E$15)</f>
        <v>2°2.1'</v>
      </c>
      <c r="AF24" s="8">
        <f>IF($AD24,$AG24,IF($AC24,$AJ24,IF($AB24,$AN24,361)))</f>
        <v>2.0350000000000001</v>
      </c>
      <c r="AG24" s="76" t="str">
        <f>LEFT($AE24, SEARCH("°",$AE24,1)-1)</f>
        <v>2</v>
      </c>
      <c r="AH24" s="77" t="str">
        <f>LEFT($AE24, SEARCH("°",$AE24,1)-1)</f>
        <v>2</v>
      </c>
      <c r="AI24" s="77" t="str">
        <f>MID($AE24, SEARCH("°",$AE24,1) +1, IF($U24,SEARCH("'",$AE24,1) - SEARCH("°",$AE24,1) -1,LEN($AE24)-SEARCH("°",$AE24,1)))</f>
        <v>2.1</v>
      </c>
      <c r="AJ24" s="78">
        <f>$AH24+$AI24*1/60</f>
        <v>2.0350000000000001</v>
      </c>
      <c r="AK24" s="80" t="str">
        <f>LEFT($AE24, SEARCH("°",$AE24,1)-1)</f>
        <v>2</v>
      </c>
      <c r="AL24" s="79" t="str">
        <f>MID($AE24,SEARCH("°",$AE24,1)+1,SEARCH("'",$AE24,1)-SEARCH("°",$AE24,1)-1)</f>
        <v>2.1</v>
      </c>
      <c r="AM24" s="79" t="e">
        <f>MID($AE24,SEARCH("'",$AE24,1)+1,SEARCH("""",$AE24,1)-SEARCH("'",$AE24,1)-1)</f>
        <v>#VALUE!</v>
      </c>
      <c r="AN24" s="79" t="e">
        <f>$AK24+$AL24/60+$AM24/3600</f>
        <v>#VALUE!</v>
      </c>
    </row>
    <row r="25" spans="2:40" x14ac:dyDescent="0.25">
      <c r="B25" s="132"/>
      <c r="C25" s="18"/>
      <c r="I25" s="13"/>
      <c r="J25" s="12"/>
      <c r="K25" s="13"/>
      <c r="L25" s="12"/>
      <c r="M25" s="12"/>
    </row>
    <row r="26" spans="2:40" x14ac:dyDescent="0.25">
      <c r="B26" s="132"/>
      <c r="D26" s="18" t="s">
        <v>31</v>
      </c>
      <c r="G26" s="10"/>
      <c r="I26" s="13"/>
      <c r="J26" s="12"/>
      <c r="K26" s="13"/>
      <c r="L26" s="12"/>
      <c r="M26" s="12"/>
    </row>
    <row r="27" spans="2:40" ht="15" customHeight="1" x14ac:dyDescent="0.25">
      <c r="B27" s="132"/>
      <c r="F27" s="68" t="s">
        <v>38</v>
      </c>
      <c r="G27" s="101" t="s">
        <v>17</v>
      </c>
      <c r="H27" s="73" t="s">
        <v>109</v>
      </c>
      <c r="I27" s="97"/>
      <c r="J27" s="98"/>
      <c r="K27" s="97"/>
      <c r="L27" s="99"/>
      <c r="M27" s="98"/>
      <c r="N27" s="21" t="s">
        <v>6</v>
      </c>
      <c r="O27" s="95" t="s">
        <v>14</v>
      </c>
      <c r="P27" s="81">
        <f>$AF27*IF($G27="E",-1,1)</f>
        <v>10.753333333333334</v>
      </c>
      <c r="Q27" s="70" t="s">
        <v>2</v>
      </c>
      <c r="R27" s="102">
        <f>VLOOKUP($G27,Constantes!$G$2:$I$3,2)</f>
        <v>1</v>
      </c>
      <c r="T27" s="1" t="b">
        <f>ISNUMBER(SEARCH("""",$H27,1))</f>
        <v>0</v>
      </c>
      <c r="U27" s="1" t="b">
        <f>ISNUMBER(SEARCH("'",$H27,1))</f>
        <v>0</v>
      </c>
      <c r="V27" s="1" t="b">
        <f>ISNUMBER(SEARCH("°",$H27,1))</f>
        <v>1</v>
      </c>
      <c r="W27" s="1" t="b">
        <f>IF(SEARCH("°",$H27,1)=LEN($H27),TRUE, FALSE)</f>
        <v>0</v>
      </c>
      <c r="X27" s="1" t="b">
        <f>IF(NOT(ISNUMBER(SEARCH("'",$H27,1))), FALSE, IF(SEARCH("'",$H27,1)=LEN($H27),TRUE, FALSE))</f>
        <v>0</v>
      </c>
      <c r="Y27" s="1" t="b">
        <f>IF(AND($T27,$U27,$V27),TRUE,FALSE)</f>
        <v>0</v>
      </c>
      <c r="Z27" s="1" t="b">
        <f>IF(AND(NOT($Y27),$V27,NOT($T27),NOT($W27)),TRUE,FALSE)</f>
        <v>1</v>
      </c>
      <c r="AA27" s="1" t="b">
        <f>IF(AND(NOT($Y27),NOT($Z27),$W27),TRUE,FALSE)</f>
        <v>0</v>
      </c>
      <c r="AB27" s="1" t="b">
        <f>IF(AND($Y27,RIGHT($H27)=""""),TRUE, FALSE)</f>
        <v>0</v>
      </c>
      <c r="AC27" s="1" t="b">
        <f>IF($Z27,TRUE, FALSE)</f>
        <v>1</v>
      </c>
      <c r="AD27" s="1" t="b">
        <f>IF(AND($AA27,RIGHT($H27)="°"),TRUE, FALSE)</f>
        <v>0</v>
      </c>
      <c r="AE27" s="1" t="str">
        <f>SUBSTITUTE($H27,Constantes!$D$15,Constantes!$E$15)</f>
        <v>10°45.2</v>
      </c>
      <c r="AF27" s="8">
        <f>IF($AD27,$AG27,IF($AC27,$AJ27,IF($AB27,$AN27,361)))</f>
        <v>10.753333333333334</v>
      </c>
      <c r="AG27" s="76" t="str">
        <f>LEFT($AE27, SEARCH("°",$AE27,1)-1)</f>
        <v>10</v>
      </c>
      <c r="AH27" s="77" t="str">
        <f>LEFT($AE27, SEARCH("°",$AE27,1)-1)</f>
        <v>10</v>
      </c>
      <c r="AI27" s="77" t="str">
        <f>MID($AE27, SEARCH("°",$AE27,1) +1, IF($U27,SEARCH("'",$AE27,1) - SEARCH("°",$AE27,1) -1,LEN($AE27)-SEARCH("°",$AE27,1)))</f>
        <v>45.2</v>
      </c>
      <c r="AJ27" s="78">
        <f>$AH27+$AI27*1/60</f>
        <v>10.753333333333334</v>
      </c>
      <c r="AK27" s="80" t="str">
        <f>LEFT($AE27, SEARCH("°",$AE27,1)-1)</f>
        <v>10</v>
      </c>
      <c r="AL27" s="79" t="e">
        <f>MID($AE27,SEARCH("°",$AE27,1)+1,SEARCH("'",$AE27,1)-SEARCH("°",$AE27,1)-1)</f>
        <v>#VALUE!</v>
      </c>
      <c r="AM27" s="79" t="e">
        <f>MID($AE27,SEARCH("'",$AE27,1)+1,SEARCH("""",$AE27,1)-SEARCH("'",$AE27,1)-1)</f>
        <v>#VALUE!</v>
      </c>
      <c r="AN27" s="79" t="e">
        <f>$AK27+$AL27/60+$AM27/3600</f>
        <v>#VALUE!</v>
      </c>
    </row>
    <row r="28" spans="2:40" x14ac:dyDescent="0.25">
      <c r="B28" s="132"/>
      <c r="I28" s="13"/>
      <c r="J28" s="12"/>
      <c r="K28" s="13"/>
      <c r="L28" s="12"/>
      <c r="M28" s="12"/>
    </row>
    <row r="29" spans="2:40" x14ac:dyDescent="0.25">
      <c r="B29" s="132"/>
      <c r="C29" s="18"/>
      <c r="D29" s="1" t="s">
        <v>62</v>
      </c>
      <c r="I29" s="13"/>
      <c r="J29" s="12"/>
      <c r="K29" s="13"/>
      <c r="L29" s="12"/>
      <c r="M29" s="12"/>
      <c r="S29" s="12"/>
      <c r="T29" s="12"/>
      <c r="U29" s="12"/>
      <c r="V29" s="12"/>
      <c r="W29" s="12"/>
    </row>
    <row r="30" spans="2:40" ht="18" x14ac:dyDescent="0.25">
      <c r="B30" s="132"/>
      <c r="C30" s="18"/>
      <c r="F30" s="106" t="s">
        <v>72</v>
      </c>
      <c r="G30" s="107"/>
      <c r="H30" s="110">
        <v>3</v>
      </c>
      <c r="I30" s="108" t="s">
        <v>51</v>
      </c>
      <c r="J30" s="57"/>
      <c r="K30" s="56"/>
      <c r="L30" s="58"/>
      <c r="M30" s="57"/>
      <c r="N30" s="47"/>
      <c r="O30" s="48" t="s">
        <v>14</v>
      </c>
      <c r="P30" s="49">
        <f>Y32</f>
        <v>0.13647222222222222</v>
      </c>
      <c r="Q30" s="50" t="s">
        <v>2</v>
      </c>
      <c r="R30" s="124"/>
      <c r="S30" s="12"/>
      <c r="T30" s="62" t="s">
        <v>63</v>
      </c>
      <c r="U30" s="62">
        <f>INDEX(Constantes!$K$6:$R$17, AA30,1)</f>
        <v>10</v>
      </c>
      <c r="V30" s="62" t="s">
        <v>2</v>
      </c>
      <c r="W30" s="62"/>
      <c r="X30" s="62"/>
      <c r="Y30" s="62">
        <f>INDEX(Constantes!$K$6:$R$17, AA30,$H$30+2)</f>
        <v>0.13333333333333333</v>
      </c>
      <c r="Z30" s="62" t="s">
        <v>2</v>
      </c>
      <c r="AA30" s="62">
        <f>VLOOKUP(ABS($P$27),Constantes!$K$6:$S$17,9)</f>
        <v>5</v>
      </c>
    </row>
    <row r="31" spans="2:40" x14ac:dyDescent="0.25">
      <c r="B31" s="132"/>
      <c r="C31" s="18"/>
      <c r="F31" s="40"/>
      <c r="G31" s="45"/>
      <c r="H31" s="52"/>
      <c r="I31" s="41"/>
      <c r="J31" s="42"/>
      <c r="K31" s="41"/>
      <c r="L31" s="43"/>
      <c r="M31" s="42"/>
      <c r="N31" s="42"/>
      <c r="O31" s="44"/>
      <c r="P31" s="46"/>
      <c r="Q31" s="46"/>
      <c r="R31" s="124"/>
      <c r="S31" s="12"/>
      <c r="T31" s="62" t="s">
        <v>63</v>
      </c>
      <c r="U31" s="62">
        <f>INDEX(Constantes!$K$6:$R$17, AA31,1)</f>
        <v>12</v>
      </c>
      <c r="V31" s="62" t="s">
        <v>2</v>
      </c>
      <c r="W31" s="62"/>
      <c r="X31" s="62"/>
      <c r="Y31" s="62">
        <f>INDEX(Constantes!$K$6:$R$17, AA31,$H$30+2)</f>
        <v>0.14166666666666666</v>
      </c>
      <c r="Z31" s="62" t="s">
        <v>2</v>
      </c>
      <c r="AA31" s="62">
        <f>AA30+1</f>
        <v>6</v>
      </c>
    </row>
    <row r="32" spans="2:40" x14ac:dyDescent="0.25">
      <c r="B32" s="132"/>
      <c r="C32" s="18"/>
      <c r="F32" s="40"/>
      <c r="G32" s="45"/>
      <c r="I32" s="1"/>
      <c r="J32" s="42"/>
      <c r="K32" s="41"/>
      <c r="L32" s="42"/>
      <c r="M32" s="42"/>
      <c r="N32" s="42"/>
      <c r="O32" s="44"/>
      <c r="P32" s="46"/>
      <c r="Q32" s="46"/>
      <c r="R32" s="124"/>
      <c r="S32" s="12"/>
      <c r="T32" s="62" t="s">
        <v>64</v>
      </c>
      <c r="U32" s="62"/>
      <c r="V32" s="62"/>
      <c r="W32" s="62"/>
      <c r="X32" s="62"/>
      <c r="Y32" s="62">
        <f>Y30+((ABS(P27)-U30)/(U31-U30))*(Y31-Y30)</f>
        <v>0.13647222222222222</v>
      </c>
      <c r="Z32" s="62"/>
      <c r="AA32" s="62"/>
    </row>
    <row r="33" spans="2:30" x14ac:dyDescent="0.25">
      <c r="B33" s="132"/>
      <c r="C33" s="18"/>
      <c r="D33" s="1" t="s">
        <v>65</v>
      </c>
    </row>
    <row r="34" spans="2:30" s="12" customFormat="1" ht="18" x14ac:dyDescent="0.25">
      <c r="B34" s="132"/>
      <c r="C34" s="51"/>
      <c r="F34" s="106" t="s">
        <v>73</v>
      </c>
      <c r="G34" s="109"/>
      <c r="H34" s="111" t="s">
        <v>67</v>
      </c>
      <c r="I34" s="56"/>
      <c r="J34" s="57"/>
      <c r="K34" s="56"/>
      <c r="L34" s="58"/>
      <c r="M34" s="57"/>
      <c r="N34" s="58"/>
      <c r="O34" s="59" t="s">
        <v>14</v>
      </c>
      <c r="P34" s="60">
        <f>IF(H34="Superieur",Constantes!L19,0)</f>
        <v>0</v>
      </c>
      <c r="Q34" s="61" t="s">
        <v>2</v>
      </c>
      <c r="R34" s="55" t="e">
        <f>IF(#REF!=Constantes!$D$2,1,-1)</f>
        <v>#REF!</v>
      </c>
      <c r="AD34" s="1"/>
    </row>
    <row r="35" spans="2:30" s="12" customFormat="1" x14ac:dyDescent="0.25">
      <c r="B35" s="132"/>
      <c r="C35" s="51"/>
      <c r="F35" s="52"/>
      <c r="G35" s="45"/>
      <c r="H35" s="52"/>
      <c r="I35" s="41"/>
      <c r="J35" s="42"/>
      <c r="K35" s="41"/>
      <c r="L35" s="42"/>
      <c r="M35" s="42"/>
      <c r="N35" s="42"/>
      <c r="O35" s="53"/>
      <c r="P35" s="15"/>
      <c r="Q35" s="54"/>
      <c r="R35" s="55"/>
    </row>
    <row r="36" spans="2:30" x14ac:dyDescent="0.25">
      <c r="B36" s="132"/>
      <c r="C36" s="18"/>
      <c r="D36" s="1" t="s">
        <v>69</v>
      </c>
    </row>
    <row r="37" spans="2:30" ht="18" x14ac:dyDescent="0.25">
      <c r="B37" s="132"/>
      <c r="C37" s="18"/>
      <c r="F37" s="106" t="s">
        <v>74</v>
      </c>
      <c r="G37" s="107"/>
      <c r="H37" s="111" t="s">
        <v>70</v>
      </c>
      <c r="I37" s="56"/>
      <c r="J37" s="57"/>
      <c r="K37" s="56"/>
      <c r="L37" s="58"/>
      <c r="M37" s="57"/>
      <c r="N37" s="58"/>
      <c r="O37" s="59" t="s">
        <v>14</v>
      </c>
      <c r="P37" s="49">
        <f>IF(H37="Oui", Constantes!L18, 0)</f>
        <v>0</v>
      </c>
      <c r="Q37" s="50" t="s">
        <v>2</v>
      </c>
      <c r="R37" s="102" t="e">
        <f>IF(#REF!=Constantes!$D$2,1,-1)</f>
        <v>#REF!</v>
      </c>
    </row>
    <row r="38" spans="2:30" ht="15.75" thickBot="1" x14ac:dyDescent="0.3">
      <c r="B38" s="133"/>
      <c r="C38" s="18"/>
    </row>
    <row r="39" spans="2:30" x14ac:dyDescent="0.25">
      <c r="B39" s="63"/>
      <c r="C39" s="18"/>
    </row>
    <row r="40" spans="2:30" x14ac:dyDescent="0.25">
      <c r="B40" s="63"/>
      <c r="C40" s="18"/>
      <c r="E40" s="1" t="s">
        <v>80</v>
      </c>
    </row>
    <row r="41" spans="2:30" x14ac:dyDescent="0.25">
      <c r="B41" s="63"/>
      <c r="C41" s="18"/>
      <c r="F41" s="1" t="s">
        <v>81</v>
      </c>
      <c r="P41" s="1">
        <f>P27-P30-P34-P37</f>
        <v>10.616861111111112</v>
      </c>
      <c r="Q41" s="1" t="s">
        <v>2</v>
      </c>
    </row>
    <row r="42" spans="2:30" x14ac:dyDescent="0.25">
      <c r="B42" s="63"/>
      <c r="C42" s="18"/>
      <c r="F42" s="8" t="s">
        <v>82</v>
      </c>
      <c r="G42" s="8"/>
      <c r="H42" s="73"/>
      <c r="I42" s="9"/>
      <c r="J42" s="8"/>
      <c r="K42" s="9"/>
      <c r="L42" s="8"/>
      <c r="M42" s="8"/>
      <c r="N42" s="9"/>
      <c r="O42" s="8"/>
      <c r="P42" s="8">
        <f>90+P41</f>
        <v>100.61686111111111</v>
      </c>
      <c r="Q42" s="8" t="s">
        <v>2</v>
      </c>
    </row>
    <row r="43" spans="2:30" x14ac:dyDescent="0.25">
      <c r="B43" s="63"/>
      <c r="C43" s="18"/>
    </row>
    <row r="44" spans="2:30" x14ac:dyDescent="0.25">
      <c r="B44" s="63"/>
      <c r="C44" s="18"/>
    </row>
    <row r="45" spans="2:30" x14ac:dyDescent="0.25">
      <c r="B45" s="63"/>
      <c r="C45" s="18"/>
    </row>
    <row r="46" spans="2:30" x14ac:dyDescent="0.25">
      <c r="B46" s="63"/>
      <c r="C46" s="18"/>
    </row>
    <row r="47" spans="2:30" ht="15.75" thickBot="1" x14ac:dyDescent="0.3">
      <c r="B47" s="63"/>
      <c r="C47" s="18"/>
    </row>
    <row r="48" spans="2:30" ht="13.5" customHeight="1" thickBot="1" x14ac:dyDescent="0.3">
      <c r="B48" s="136" t="s">
        <v>79</v>
      </c>
      <c r="C48" s="134" t="s">
        <v>78</v>
      </c>
      <c r="D48" s="134"/>
      <c r="E48" s="134"/>
      <c r="F48" s="134"/>
      <c r="G48" s="134"/>
      <c r="H48" s="134"/>
      <c r="I48" s="134"/>
      <c r="J48" s="134"/>
      <c r="K48" s="134"/>
      <c r="L48" s="135"/>
    </row>
    <row r="49" spans="2:40" ht="13.5" customHeight="1" x14ac:dyDescent="0.25">
      <c r="B49" s="137"/>
      <c r="C49" s="115"/>
      <c r="D49" s="115"/>
      <c r="E49" s="115"/>
      <c r="F49" s="115"/>
      <c r="G49" s="115"/>
      <c r="H49" s="115"/>
      <c r="I49" s="115"/>
      <c r="J49" s="115"/>
      <c r="K49" s="115"/>
      <c r="L49" s="115"/>
    </row>
    <row r="50" spans="2:40" ht="13.5" customHeight="1" x14ac:dyDescent="0.25">
      <c r="B50" s="137"/>
      <c r="C50" s="115"/>
      <c r="D50" s="116" t="s">
        <v>115</v>
      </c>
      <c r="E50" s="117"/>
      <c r="F50" s="117"/>
      <c r="G50" s="117"/>
      <c r="H50" s="12" t="str">
        <f>W50</f>
        <v>11:11:35.92</v>
      </c>
      <c r="I50" s="115"/>
      <c r="J50" s="115"/>
      <c r="K50" s="115"/>
      <c r="L50" s="115"/>
      <c r="P50" s="1">
        <f>P12</f>
        <v>11.193311111111111</v>
      </c>
      <c r="Q50" s="1" t="s">
        <v>28</v>
      </c>
      <c r="T50" s="1">
        <f>INT($P50)</f>
        <v>11</v>
      </c>
      <c r="U50" s="1">
        <f>INT((($P50-$T50) * 100) * 60/100)</f>
        <v>11</v>
      </c>
      <c r="V50" s="1">
        <f>($P50-($T50+($U50*100/60) / 100))*3600</f>
        <v>35.919999999998709</v>
      </c>
      <c r="W50" s="1" t="str">
        <f>CONCATENATE(TEXT($T50,"00"),":",TEXT($U50,"00"),":",TEXT($V50,"00.00"))</f>
        <v>11:11:35.92</v>
      </c>
    </row>
    <row r="51" spans="2:40" ht="13.5" customHeight="1" x14ac:dyDescent="0.25">
      <c r="B51" s="137"/>
      <c r="C51" s="115"/>
      <c r="D51" s="115"/>
      <c r="E51" s="115"/>
      <c r="F51" s="115"/>
      <c r="G51" s="115"/>
      <c r="H51" s="1"/>
      <c r="I51" s="115"/>
      <c r="J51" s="115"/>
      <c r="K51" s="115"/>
      <c r="L51" s="115"/>
    </row>
    <row r="52" spans="2:40" x14ac:dyDescent="0.25">
      <c r="B52" s="137"/>
      <c r="D52" s="18" t="s">
        <v>32</v>
      </c>
    </row>
    <row r="53" spans="2:40" x14ac:dyDescent="0.25">
      <c r="B53" s="137"/>
      <c r="D53" s="20"/>
      <c r="E53" s="24"/>
      <c r="F53" s="20"/>
      <c r="G53" s="20"/>
      <c r="H53" s="74"/>
      <c r="I53" s="20"/>
      <c r="J53" s="20"/>
      <c r="K53" s="20"/>
      <c r="L53" s="20"/>
      <c r="M53" s="20"/>
      <c r="N53" s="20"/>
      <c r="O53" s="20"/>
      <c r="P53" s="20"/>
      <c r="Q53" s="20"/>
      <c r="R53" s="23"/>
      <c r="S53" s="25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2:40" x14ac:dyDescent="0.25">
      <c r="B54" s="137"/>
      <c r="D54" s="22"/>
      <c r="E54" s="130" t="s">
        <v>33</v>
      </c>
      <c r="F54" s="130"/>
      <c r="G54" s="130"/>
      <c r="H54" s="113"/>
      <c r="I54" s="22"/>
      <c r="J54" s="22"/>
      <c r="K54" s="22"/>
      <c r="L54" s="22"/>
      <c r="M54" s="22"/>
      <c r="N54" s="22"/>
      <c r="O54" s="22"/>
      <c r="P54" s="22"/>
      <c r="Q54" s="22"/>
      <c r="R54" s="65"/>
      <c r="S54" s="114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2:40" x14ac:dyDescent="0.25">
      <c r="B55" s="137"/>
      <c r="F55" s="68" t="s">
        <v>111</v>
      </c>
      <c r="G55" s="27"/>
      <c r="H55" s="86" t="s">
        <v>116</v>
      </c>
      <c r="I55" s="82"/>
      <c r="J55" s="83"/>
      <c r="K55" s="82"/>
      <c r="L55" s="83"/>
      <c r="M55" s="83"/>
      <c r="O55" s="66" t="s">
        <v>14</v>
      </c>
      <c r="P55" s="89">
        <f>$AD55</f>
        <v>9.5</v>
      </c>
      <c r="Q55" s="69" t="s">
        <v>28</v>
      </c>
      <c r="R55" s="102"/>
      <c r="T55" s="1" t="b">
        <f>ISNUMBER(SEARCH(":",$H55,1))</f>
        <v>1</v>
      </c>
      <c r="U55" s="1" t="b">
        <f>ISNUMBER(SEARCH(":",$H55, 1+SEARCH(":",$H55,1)))</f>
        <v>0</v>
      </c>
      <c r="W55" s="1" t="b">
        <f>AND($T55,$U55)</f>
        <v>0</v>
      </c>
      <c r="X55" s="1" t="b">
        <f>AND(NOT($W55), $T55)</f>
        <v>1</v>
      </c>
      <c r="Y55" s="1" t="b">
        <f>NOT($T55)</f>
        <v>0</v>
      </c>
      <c r="AC55" s="1" t="str">
        <f>SUBSTITUTE($H55,Constantes!$D$15,Constantes!$E$15)</f>
        <v>9:30</v>
      </c>
      <c r="AD55" s="88">
        <f>IF($W55,$AL55,IF($X55,$AH55,IF($Y55,$AE55,361)))</f>
        <v>9.5</v>
      </c>
      <c r="AE55" s="76">
        <f>IF($Y55,$H55,0)</f>
        <v>0</v>
      </c>
      <c r="AF55" s="77" t="str">
        <f>LEFT($AC55, SEARCH(":",$AC55,1)-1)</f>
        <v>9</v>
      </c>
      <c r="AG55" s="77" t="str">
        <f>MID($AC55, SEARCH(":",$AC55,1) +1, LEN($AC55))</f>
        <v>30</v>
      </c>
      <c r="AH55" s="78">
        <f>AF55+AG55*1/60</f>
        <v>9.5</v>
      </c>
      <c r="AI55" s="80" t="str">
        <f>LEFT($AC55, SEARCH(":",$AC55,1)-1)</f>
        <v>9</v>
      </c>
      <c r="AJ55" s="79" t="e">
        <f>MID($AC55,SEARCH(":",$AC55,1)+1,SEARCH(":",$AC55,SEARCH(":",$AC55,1)+1)-SEARCH(":",$AC55,1)-1)</f>
        <v>#VALUE!</v>
      </c>
      <c r="AK55" s="79" t="e">
        <f>MID($AC55,1+SEARCH(":",$AC55,SEARCH(":",$AC55,1)+1),LEN($AC55)-SEARCH(":",$AC55,SEARCH(":",$AC55,1)+1))</f>
        <v>#VALUE!</v>
      </c>
      <c r="AL55" s="79" t="e">
        <f>$AI55+$AJ55/60+$AK55/3600</f>
        <v>#VALUE!</v>
      </c>
    </row>
    <row r="56" spans="2:40" x14ac:dyDescent="0.25">
      <c r="B56" s="137"/>
      <c r="D56" s="22"/>
      <c r="E56" s="112"/>
      <c r="F56" s="22"/>
      <c r="G56" s="22"/>
      <c r="H56" s="113"/>
      <c r="I56" s="22"/>
      <c r="J56" s="22"/>
      <c r="K56" s="22"/>
      <c r="L56" s="22"/>
      <c r="M56" s="22"/>
      <c r="N56" s="22"/>
      <c r="O56" s="22"/>
      <c r="P56" s="22"/>
      <c r="Q56" s="22"/>
      <c r="R56" s="65"/>
      <c r="S56" s="114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2:40" x14ac:dyDescent="0.25">
      <c r="B57" s="137"/>
      <c r="D57" s="22"/>
      <c r="E57" s="130" t="s">
        <v>112</v>
      </c>
      <c r="F57" s="130"/>
      <c r="G57" s="130"/>
      <c r="H57" s="113"/>
      <c r="I57" s="22"/>
      <c r="J57" s="22"/>
      <c r="K57" s="22"/>
      <c r="L57" s="22"/>
      <c r="M57" s="22"/>
      <c r="N57" s="22"/>
      <c r="O57" s="22"/>
      <c r="P57" s="22"/>
      <c r="Q57" s="22"/>
      <c r="R57" s="65"/>
      <c r="S57" s="114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2:40" ht="15" customHeight="1" x14ac:dyDescent="0.25">
      <c r="B58" s="137"/>
      <c r="F58" s="68" t="s">
        <v>38</v>
      </c>
      <c r="G58" s="101"/>
      <c r="H58" s="73" t="s">
        <v>109</v>
      </c>
      <c r="I58" s="97"/>
      <c r="J58" s="98"/>
      <c r="K58" s="97"/>
      <c r="L58" s="99"/>
      <c r="M58" s="98"/>
      <c r="N58" s="21" t="s">
        <v>6</v>
      </c>
      <c r="O58" s="95" t="s">
        <v>14</v>
      </c>
      <c r="P58" s="81">
        <f>$AF58*IF($G58="E",-1,1)</f>
        <v>10.753333333333334</v>
      </c>
      <c r="Q58" s="70" t="s">
        <v>2</v>
      </c>
      <c r="R58" s="102" t="e">
        <f>VLOOKUP($G58,Constantes!$G$2:$I$3,2)</f>
        <v>#N/A</v>
      </c>
      <c r="T58" s="1" t="b">
        <f>ISNUMBER(SEARCH("""",$H58,1))</f>
        <v>0</v>
      </c>
      <c r="U58" s="1" t="b">
        <f>ISNUMBER(SEARCH("'",$H58,1))</f>
        <v>0</v>
      </c>
      <c r="V58" s="1" t="b">
        <f>ISNUMBER(SEARCH("°",$H58,1))</f>
        <v>1</v>
      </c>
      <c r="W58" s="1" t="b">
        <f>IF(SEARCH("°",$H58,1)=LEN($H58),TRUE, FALSE)</f>
        <v>0</v>
      </c>
      <c r="X58" s="1" t="b">
        <f>IF(NOT(ISNUMBER(SEARCH("'",$H58,1))), FALSE, IF(SEARCH("'",$H58,1)=LEN($H58),TRUE, FALSE))</f>
        <v>0</v>
      </c>
      <c r="Y58" s="1" t="b">
        <f>IF(AND($T58,$U58,$V58),TRUE,FALSE)</f>
        <v>0</v>
      </c>
      <c r="Z58" s="1" t="b">
        <f>IF(AND(NOT($Y58),$V58,NOT($T58),NOT($W58)),TRUE,FALSE)</f>
        <v>1</v>
      </c>
      <c r="AA58" s="1" t="b">
        <f>IF(AND(NOT($Y58),NOT($Z58),$W58),TRUE,FALSE)</f>
        <v>0</v>
      </c>
      <c r="AB58" s="1" t="b">
        <f>IF(AND($Y58,RIGHT($H58)=""""),TRUE, FALSE)</f>
        <v>0</v>
      </c>
      <c r="AC58" s="1" t="b">
        <f>IF($Z58,TRUE, FALSE)</f>
        <v>1</v>
      </c>
      <c r="AD58" s="1" t="b">
        <f>IF(AND($AA58,RIGHT($H58)="°"),TRUE, FALSE)</f>
        <v>0</v>
      </c>
      <c r="AE58" s="1" t="str">
        <f>SUBSTITUTE($H58,Constantes!$D$15,Constantes!$E$15)</f>
        <v>10°45.2</v>
      </c>
      <c r="AF58" s="8">
        <f>IF($AD58,$AG58,IF($AC58,$AJ58,IF($AB58,$AN58,361)))</f>
        <v>10.753333333333334</v>
      </c>
      <c r="AG58" s="76" t="str">
        <f>LEFT($AE58, SEARCH("°",$AE58,1)-1)</f>
        <v>10</v>
      </c>
      <c r="AH58" s="77" t="str">
        <f>LEFT($AE58, SEARCH("°",$AE58,1)-1)</f>
        <v>10</v>
      </c>
      <c r="AI58" s="77" t="str">
        <f>MID($AE58, SEARCH("°",$AE58,1) +1, IF($U58,SEARCH("'",$AE58,1) - SEARCH("°",$AE58,1) -1,LEN($AE58)-SEARCH("°",$AE58,1)))</f>
        <v>45.2</v>
      </c>
      <c r="AJ58" s="78">
        <f>$AH58+$AI58*1/60</f>
        <v>10.753333333333334</v>
      </c>
      <c r="AK58" s="80" t="str">
        <f>LEFT($AE58, SEARCH("°",$AE58,1)-1)</f>
        <v>10</v>
      </c>
      <c r="AL58" s="79" t="e">
        <f>MID($AE58,SEARCH("°",$AE58,1)+1,SEARCH("'",$AE58,1)-SEARCH("°",$AE58,1)-1)</f>
        <v>#VALUE!</v>
      </c>
      <c r="AM58" s="79" t="e">
        <f>MID($AE58,SEARCH("'",$AE58,1)+1,SEARCH("""",$AE58,1)-SEARCH("'",$AE58,1)-1)</f>
        <v>#VALUE!</v>
      </c>
      <c r="AN58" s="79" t="e">
        <f>$AK58+$AL58/60+$AM58/3600</f>
        <v>#VALUE!</v>
      </c>
    </row>
    <row r="59" spans="2:40" x14ac:dyDescent="0.25">
      <c r="B59" s="137"/>
      <c r="D59" s="22"/>
      <c r="E59" s="112"/>
      <c r="F59" s="22"/>
      <c r="G59" s="22"/>
      <c r="H59" s="113"/>
      <c r="I59" s="22"/>
      <c r="J59" s="22"/>
      <c r="K59" s="22"/>
      <c r="L59" s="22"/>
      <c r="M59" s="22"/>
      <c r="N59" s="22"/>
      <c r="O59" s="22"/>
      <c r="P59" s="22"/>
      <c r="Q59" s="22"/>
      <c r="R59" s="65"/>
      <c r="S59" s="114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2:40" x14ac:dyDescent="0.25">
      <c r="B60" s="137"/>
      <c r="D60" s="22"/>
      <c r="E60" s="130" t="s">
        <v>34</v>
      </c>
      <c r="F60" s="130"/>
      <c r="G60" s="130"/>
      <c r="H60" s="113"/>
      <c r="I60" s="22"/>
      <c r="J60" s="22"/>
      <c r="K60" s="22"/>
      <c r="L60" s="22"/>
      <c r="M60" s="22"/>
      <c r="N60" s="22"/>
      <c r="O60" s="22"/>
      <c r="P60" s="22"/>
      <c r="Q60" s="22"/>
      <c r="R60" s="65"/>
      <c r="S60" s="114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2:40" x14ac:dyDescent="0.25">
      <c r="B61" s="137"/>
      <c r="F61" s="68" t="s">
        <v>113</v>
      </c>
      <c r="G61" s="118"/>
      <c r="H61" s="4" t="str">
        <f>W61</f>
        <v>12:53:11.84</v>
      </c>
      <c r="I61" s="82"/>
      <c r="J61" s="83"/>
      <c r="K61" s="82"/>
      <c r="L61" s="83"/>
      <c r="M61" s="83"/>
      <c r="O61" s="66" t="s">
        <v>14</v>
      </c>
      <c r="P61" s="89">
        <f>P50+(P50-P55)</f>
        <v>12.886622222222222</v>
      </c>
      <c r="Q61" s="69" t="s">
        <v>28</v>
      </c>
      <c r="R61" s="102"/>
      <c r="T61" s="1">
        <f>INT($P61)</f>
        <v>12</v>
      </c>
      <c r="U61" s="1">
        <f>INT((($P61-$T61) * 100) * 60/100)</f>
        <v>53</v>
      </c>
      <c r="V61" s="1">
        <f>($P61-($T61+($U61*100/60) / 100))*3600</f>
        <v>11.840000000000828</v>
      </c>
      <c r="W61" s="1" t="str">
        <f>CONCATENATE(TEXT($T61,"00"),":",TEXT($U61,"00"),":",TEXT($V61,"00.00"))</f>
        <v>12:53:11.84</v>
      </c>
      <c r="AD61" s="88"/>
      <c r="AE61" s="76"/>
      <c r="AF61" s="77"/>
      <c r="AG61" s="77"/>
      <c r="AH61" s="78"/>
      <c r="AI61" s="80"/>
      <c r="AJ61" s="79"/>
      <c r="AK61" s="79"/>
      <c r="AL61" s="79"/>
    </row>
    <row r="62" spans="2:40" x14ac:dyDescent="0.25">
      <c r="B62" s="137"/>
      <c r="D62" s="22"/>
      <c r="E62" s="112"/>
      <c r="F62" s="119" t="s">
        <v>114</v>
      </c>
      <c r="G62" s="22"/>
      <c r="H62" s="120"/>
      <c r="I62" s="22"/>
      <c r="J62" s="22"/>
      <c r="K62" s="22"/>
      <c r="L62" s="22"/>
      <c r="M62" s="22"/>
      <c r="N62" s="22"/>
      <c r="O62" s="22"/>
      <c r="P62" s="22"/>
      <c r="Q62" s="22"/>
      <c r="R62" s="65"/>
      <c r="S62" s="114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2:40" x14ac:dyDescent="0.25">
      <c r="B63" s="137"/>
      <c r="E63" s="18"/>
      <c r="I63" s="1"/>
      <c r="K63" s="1"/>
      <c r="N63" s="1"/>
    </row>
    <row r="64" spans="2:40" x14ac:dyDescent="0.25">
      <c r="B64" s="137"/>
      <c r="D64" s="18" t="s">
        <v>35</v>
      </c>
    </row>
    <row r="65" spans="2:30" x14ac:dyDescent="0.25">
      <c r="B65" s="137"/>
      <c r="D65" s="20"/>
      <c r="E65" s="24"/>
      <c r="F65" s="20"/>
      <c r="G65" s="20"/>
      <c r="H65" s="74"/>
      <c r="I65" s="20"/>
      <c r="J65" s="20"/>
      <c r="K65" s="20"/>
      <c r="L65" s="20"/>
      <c r="M65" s="20"/>
      <c r="N65" s="20"/>
      <c r="O65" s="20"/>
      <c r="P65" s="20"/>
      <c r="Q65" s="20"/>
      <c r="R65" s="23"/>
      <c r="S65" s="25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2:30" x14ac:dyDescent="0.25">
      <c r="B66" s="137"/>
    </row>
    <row r="67" spans="2:30" x14ac:dyDescent="0.25">
      <c r="B67" s="137"/>
    </row>
    <row r="68" spans="2:30" x14ac:dyDescent="0.25">
      <c r="B68" s="137"/>
    </row>
    <row r="69" spans="2:30" x14ac:dyDescent="0.25">
      <c r="B69" s="137"/>
    </row>
    <row r="70" spans="2:30" x14ac:dyDescent="0.25">
      <c r="B70" s="137"/>
    </row>
    <row r="71" spans="2:30" x14ac:dyDescent="0.25">
      <c r="B71" s="137"/>
    </row>
    <row r="72" spans="2:30" x14ac:dyDescent="0.25">
      <c r="B72" s="137"/>
    </row>
    <row r="73" spans="2:30" x14ac:dyDescent="0.25">
      <c r="B73" s="137"/>
    </row>
    <row r="74" spans="2:30" x14ac:dyDescent="0.25">
      <c r="B74" s="137"/>
    </row>
    <row r="75" spans="2:30" ht="15.75" thickBot="1" x14ac:dyDescent="0.3">
      <c r="B75" s="138"/>
    </row>
  </sheetData>
  <mergeCells count="14">
    <mergeCell ref="B19:B38"/>
    <mergeCell ref="C19:L19"/>
    <mergeCell ref="R30:R32"/>
    <mergeCell ref="B48:B75"/>
    <mergeCell ref="C48:L48"/>
    <mergeCell ref="E54:G54"/>
    <mergeCell ref="E57:G57"/>
    <mergeCell ref="E60:G60"/>
    <mergeCell ref="C2:P2"/>
    <mergeCell ref="AH5:AJ5"/>
    <mergeCell ref="AK5:AN5"/>
    <mergeCell ref="AF8:AH8"/>
    <mergeCell ref="AI8:AL8"/>
    <mergeCell ref="F14:H14"/>
  </mergeCells>
  <conditionalFormatting sqref="P6:Q6">
    <cfRule type="expression" dxfId="3" priority="4">
      <formula>$AG$6</formula>
    </cfRule>
  </conditionalFormatting>
  <conditionalFormatting sqref="P24">
    <cfRule type="expression" dxfId="2" priority="3">
      <formula>$AG$6</formula>
    </cfRule>
  </conditionalFormatting>
  <conditionalFormatting sqref="P27:Q27">
    <cfRule type="expression" dxfId="1" priority="2">
      <formula>$AG$6</formula>
    </cfRule>
  </conditionalFormatting>
  <conditionalFormatting sqref="P58:Q58">
    <cfRule type="expression" dxfId="0" priority="1">
      <formula>$AG$6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AE38"/>
  <sheetViews>
    <sheetView workbookViewId="0">
      <selection activeCell="J27" sqref="J27"/>
    </sheetView>
  </sheetViews>
  <sheetFormatPr defaultRowHeight="15" x14ac:dyDescent="0.25"/>
  <cols>
    <col min="1" max="2" width="9.140625" style="1"/>
    <col min="3" max="3" width="17.7109375" style="1" customWidth="1"/>
    <col min="4" max="4" width="17" style="1" customWidth="1"/>
    <col min="5" max="5" width="9.140625" style="1"/>
    <col min="6" max="6" width="14.85546875" style="1" customWidth="1"/>
    <col min="7" max="7" width="9.140625" style="1"/>
    <col min="8" max="8" width="7.140625" style="1" customWidth="1"/>
    <col min="9" max="9" width="26.5703125" style="1" customWidth="1"/>
    <col min="10" max="17" width="15.85546875" style="1" customWidth="1"/>
    <col min="18" max="18" width="5.140625" style="1" customWidth="1"/>
    <col min="19" max="23" width="13.28515625" style="1" customWidth="1"/>
    <col min="24" max="16384" width="9.140625" style="1"/>
  </cols>
  <sheetData>
    <row r="2" spans="3:31" x14ac:dyDescent="0.25">
      <c r="C2" s="143" t="s">
        <v>7</v>
      </c>
      <c r="D2" s="104" t="s">
        <v>8</v>
      </c>
      <c r="E2" s="39">
        <v>1</v>
      </c>
      <c r="F2" s="124" t="s">
        <v>19</v>
      </c>
      <c r="G2" s="105" t="s">
        <v>18</v>
      </c>
      <c r="H2" s="39">
        <v>-1</v>
      </c>
      <c r="J2" s="148" t="s">
        <v>39</v>
      </c>
      <c r="K2" s="149"/>
      <c r="L2" s="149"/>
      <c r="M2" s="149"/>
      <c r="N2" s="149"/>
      <c r="O2" s="149"/>
      <c r="P2" s="149"/>
      <c r="Q2" s="150"/>
    </row>
    <row r="3" spans="3:31" x14ac:dyDescent="0.25">
      <c r="C3" s="143"/>
      <c r="D3" s="104" t="s">
        <v>9</v>
      </c>
      <c r="E3" s="39">
        <v>-1</v>
      </c>
      <c r="F3" s="124"/>
      <c r="G3" s="105" t="s">
        <v>17</v>
      </c>
      <c r="H3" s="39">
        <v>1</v>
      </c>
      <c r="K3" s="147" t="s">
        <v>40</v>
      </c>
      <c r="L3" s="147" t="s">
        <v>41</v>
      </c>
      <c r="M3" s="147"/>
      <c r="N3" s="147"/>
      <c r="O3" s="147"/>
      <c r="P3" s="147"/>
      <c r="Q3" s="27"/>
    </row>
    <row r="4" spans="3:31" x14ac:dyDescent="0.25">
      <c r="D4" s="105" t="s">
        <v>12</v>
      </c>
      <c r="E4" s="39"/>
      <c r="G4" s="105" t="s">
        <v>12</v>
      </c>
      <c r="H4" s="39"/>
      <c r="K4" s="147"/>
      <c r="L4" s="31">
        <v>0</v>
      </c>
      <c r="M4" s="31">
        <v>1</v>
      </c>
      <c r="N4" s="31">
        <v>2</v>
      </c>
      <c r="O4" s="31">
        <v>3</v>
      </c>
      <c r="P4" s="31">
        <v>4</v>
      </c>
      <c r="Q4" s="31">
        <v>5</v>
      </c>
      <c r="R4" s="28">
        <v>1000</v>
      </c>
    </row>
    <row r="5" spans="3:31" x14ac:dyDescent="0.25">
      <c r="J5" s="39" t="s">
        <v>47</v>
      </c>
      <c r="K5" s="29"/>
      <c r="L5" s="29">
        <v>1</v>
      </c>
      <c r="M5" s="29">
        <v>2</v>
      </c>
      <c r="N5" s="29">
        <f>M5+1</f>
        <v>3</v>
      </c>
      <c r="O5" s="29">
        <f>N5+1</f>
        <v>4</v>
      </c>
      <c r="P5" s="29">
        <f>O5+1</f>
        <v>5</v>
      </c>
      <c r="Q5" s="29">
        <f>P5+1</f>
        <v>6</v>
      </c>
      <c r="R5" s="29">
        <f>Q5+1</f>
        <v>7</v>
      </c>
    </row>
    <row r="6" spans="3:31" x14ac:dyDescent="0.25">
      <c r="C6" s="1" t="s">
        <v>59</v>
      </c>
      <c r="D6" s="38" t="s">
        <v>61</v>
      </c>
      <c r="E6" s="39">
        <v>-1</v>
      </c>
      <c r="K6" s="31">
        <v>6</v>
      </c>
      <c r="L6" s="31">
        <v>0.125</v>
      </c>
      <c r="M6" s="31">
        <v>0.125</v>
      </c>
      <c r="N6" s="31">
        <v>8.3333333333333329E-2</v>
      </c>
      <c r="O6" s="31">
        <v>7.4999999999999997E-2</v>
      </c>
      <c r="P6" s="31">
        <v>6.6666666666666666E-2</v>
      </c>
      <c r="Q6" s="31">
        <v>5.8333333333333334E-2</v>
      </c>
      <c r="R6" s="28">
        <v>5.8333333333333334E-2</v>
      </c>
      <c r="S6" s="30">
        <v>1</v>
      </c>
      <c r="T6" s="26">
        <v>7.5</v>
      </c>
      <c r="U6" s="26">
        <v>5</v>
      </c>
      <c r="V6" s="26">
        <v>4.5</v>
      </c>
      <c r="W6" s="26">
        <v>4</v>
      </c>
      <c r="X6" s="26">
        <v>3.5</v>
      </c>
      <c r="Y6" s="26"/>
      <c r="Z6" s="26"/>
      <c r="AA6" s="26">
        <f t="shared" ref="AA6:AE7" si="0">T6/60</f>
        <v>0.125</v>
      </c>
      <c r="AB6" s="26">
        <f t="shared" si="0"/>
        <v>8.3333333333333329E-2</v>
      </c>
      <c r="AC6" s="26">
        <f t="shared" si="0"/>
        <v>7.4999999999999997E-2</v>
      </c>
      <c r="AD6" s="26">
        <f t="shared" si="0"/>
        <v>6.6666666666666666E-2</v>
      </c>
      <c r="AE6" s="26">
        <f t="shared" si="0"/>
        <v>5.8333333333333334E-2</v>
      </c>
    </row>
    <row r="7" spans="3:31" x14ac:dyDescent="0.25">
      <c r="D7" s="38" t="s">
        <v>60</v>
      </c>
      <c r="E7" s="39">
        <v>1</v>
      </c>
      <c r="K7" s="31">
        <v>7</v>
      </c>
      <c r="L7" s="31">
        <v>0.14499999999999999</v>
      </c>
      <c r="M7" s="31">
        <v>0.14499999999999999</v>
      </c>
      <c r="N7" s="31">
        <v>0.1</v>
      </c>
      <c r="O7" s="31">
        <v>9.166666666666666E-2</v>
      </c>
      <c r="P7" s="31">
        <v>8.3333333333333329E-2</v>
      </c>
      <c r="Q7" s="31">
        <v>7.4999999999999997E-2</v>
      </c>
      <c r="R7" s="28">
        <v>7.4999999999999997E-2</v>
      </c>
      <c r="S7" s="30">
        <f>S6+1</f>
        <v>2</v>
      </c>
      <c r="T7" s="26">
        <v>8.6999999999999993</v>
      </c>
      <c r="U7" s="26">
        <v>6</v>
      </c>
      <c r="V7" s="26">
        <v>5.5</v>
      </c>
      <c r="W7" s="26">
        <v>5</v>
      </c>
      <c r="X7" s="26">
        <v>4.5</v>
      </c>
      <c r="Y7" s="26"/>
      <c r="Z7" s="26"/>
      <c r="AA7" s="26">
        <f t="shared" si="0"/>
        <v>0.14499999999999999</v>
      </c>
      <c r="AB7" s="26">
        <f t="shared" si="0"/>
        <v>0.1</v>
      </c>
      <c r="AC7" s="26">
        <f t="shared" si="0"/>
        <v>9.166666666666666E-2</v>
      </c>
      <c r="AD7" s="26">
        <f t="shared" si="0"/>
        <v>8.3333333333333329E-2</v>
      </c>
      <c r="AE7" s="26">
        <f t="shared" si="0"/>
        <v>7.4999999999999997E-2</v>
      </c>
    </row>
    <row r="8" spans="3:31" x14ac:dyDescent="0.25">
      <c r="K8" s="31">
        <v>8</v>
      </c>
      <c r="L8" s="31">
        <v>0.16</v>
      </c>
      <c r="M8" s="31">
        <v>0.16</v>
      </c>
      <c r="N8" s="31">
        <v>0.11666666666666667</v>
      </c>
      <c r="O8" s="31">
        <v>0.10833333333333334</v>
      </c>
      <c r="P8" s="31">
        <v>0.1</v>
      </c>
      <c r="Q8" s="31">
        <v>9.166666666666666E-2</v>
      </c>
      <c r="R8" s="28">
        <v>9.166666666666666E-2</v>
      </c>
      <c r="S8" s="30">
        <f t="shared" ref="S8:S17" si="1">S7+1</f>
        <v>3</v>
      </c>
      <c r="T8" s="26">
        <v>9.6</v>
      </c>
      <c r="U8" s="26">
        <v>7</v>
      </c>
      <c r="V8" s="26">
        <v>6.5</v>
      </c>
      <c r="W8" s="26">
        <v>6</v>
      </c>
      <c r="X8" s="26">
        <v>5.5</v>
      </c>
      <c r="Y8" s="26"/>
      <c r="Z8" s="26"/>
      <c r="AA8" s="26">
        <f t="shared" ref="AA8:AA16" si="2">T8/60</f>
        <v>0.16</v>
      </c>
      <c r="AB8" s="26">
        <f t="shared" ref="AB8:AB16" si="3">U8/60</f>
        <v>0.11666666666666667</v>
      </c>
      <c r="AC8" s="26">
        <f t="shared" ref="AC8:AC16" si="4">V8/60</f>
        <v>0.10833333333333334</v>
      </c>
      <c r="AD8" s="26">
        <f t="shared" ref="AD8:AD16" si="5">W8/60</f>
        <v>0.1</v>
      </c>
      <c r="AE8" s="26">
        <f t="shared" ref="AE8:AE16" si="6">X8/60</f>
        <v>9.166666666666666E-2</v>
      </c>
    </row>
    <row r="9" spans="3:31" x14ac:dyDescent="0.25">
      <c r="C9" s="1" t="s">
        <v>66</v>
      </c>
      <c r="D9" s="1" t="s">
        <v>67</v>
      </c>
      <c r="K9" s="31">
        <v>9</v>
      </c>
      <c r="L9" s="31">
        <v>0.17166666666666669</v>
      </c>
      <c r="M9" s="31">
        <v>0.17166666666666669</v>
      </c>
      <c r="N9" s="31">
        <v>0.13333333333333333</v>
      </c>
      <c r="O9" s="31">
        <v>0.11666666666666667</v>
      </c>
      <c r="P9" s="31">
        <v>0.10833333333333334</v>
      </c>
      <c r="Q9" s="31">
        <v>0.1</v>
      </c>
      <c r="R9" s="28">
        <v>0.1</v>
      </c>
      <c r="S9" s="30">
        <f t="shared" si="1"/>
        <v>4</v>
      </c>
      <c r="T9" s="26">
        <v>10.3</v>
      </c>
      <c r="U9" s="26">
        <v>8</v>
      </c>
      <c r="V9" s="26">
        <v>7</v>
      </c>
      <c r="W9" s="26">
        <v>6.5</v>
      </c>
      <c r="X9" s="26">
        <v>6</v>
      </c>
      <c r="Y9" s="26"/>
      <c r="Z9" s="26"/>
      <c r="AA9" s="26">
        <f t="shared" si="2"/>
        <v>0.17166666666666669</v>
      </c>
      <c r="AB9" s="26">
        <f t="shared" si="3"/>
        <v>0.13333333333333333</v>
      </c>
      <c r="AC9" s="26">
        <f t="shared" si="4"/>
        <v>0.11666666666666667</v>
      </c>
      <c r="AD9" s="26">
        <f t="shared" si="5"/>
        <v>0.10833333333333334</v>
      </c>
      <c r="AE9" s="26">
        <f t="shared" si="6"/>
        <v>0.1</v>
      </c>
    </row>
    <row r="10" spans="3:31" x14ac:dyDescent="0.25">
      <c r="D10" s="1" t="s">
        <v>68</v>
      </c>
      <c r="K10" s="31">
        <v>10</v>
      </c>
      <c r="L10" s="31">
        <v>0.18000000000000002</v>
      </c>
      <c r="M10" s="31">
        <v>0.18000000000000002</v>
      </c>
      <c r="N10" s="31">
        <v>0.14166666666666666</v>
      </c>
      <c r="O10" s="31">
        <v>0.13333333333333333</v>
      </c>
      <c r="P10" s="31">
        <v>0.11666666666666667</v>
      </c>
      <c r="Q10" s="31">
        <v>0.11666666666666667</v>
      </c>
      <c r="R10" s="28">
        <v>0.11666666666666667</v>
      </c>
      <c r="S10" s="30">
        <f t="shared" si="1"/>
        <v>5</v>
      </c>
      <c r="T10" s="26">
        <v>10.8</v>
      </c>
      <c r="U10" s="26">
        <v>8.5</v>
      </c>
      <c r="V10" s="26">
        <v>8</v>
      </c>
      <c r="W10" s="26">
        <v>7</v>
      </c>
      <c r="X10" s="26">
        <v>7</v>
      </c>
      <c r="Y10" s="26"/>
      <c r="Z10" s="26"/>
      <c r="AA10" s="26">
        <f t="shared" si="2"/>
        <v>0.18000000000000002</v>
      </c>
      <c r="AB10" s="26">
        <f t="shared" si="3"/>
        <v>0.14166666666666666</v>
      </c>
      <c r="AC10" s="26">
        <f t="shared" si="4"/>
        <v>0.13333333333333333</v>
      </c>
      <c r="AD10" s="26">
        <f t="shared" si="5"/>
        <v>0.11666666666666667</v>
      </c>
      <c r="AE10" s="26">
        <f t="shared" si="6"/>
        <v>0.11666666666666667</v>
      </c>
    </row>
    <row r="11" spans="3:31" x14ac:dyDescent="0.25">
      <c r="K11" s="31">
        <v>12</v>
      </c>
      <c r="L11" s="31">
        <v>0.19499999999999998</v>
      </c>
      <c r="M11" s="31">
        <v>0.19499999999999998</v>
      </c>
      <c r="N11" s="31">
        <v>0.15</v>
      </c>
      <c r="O11" s="31">
        <v>0.14166666666666666</v>
      </c>
      <c r="P11" s="31">
        <v>0.13333333333333333</v>
      </c>
      <c r="Q11" s="31">
        <v>0.125</v>
      </c>
      <c r="R11" s="28">
        <v>0.125</v>
      </c>
      <c r="S11" s="30">
        <f t="shared" si="1"/>
        <v>6</v>
      </c>
      <c r="T11" s="26">
        <v>11.7</v>
      </c>
      <c r="U11" s="26">
        <v>9</v>
      </c>
      <c r="V11" s="26">
        <v>8.5</v>
      </c>
      <c r="W11" s="26">
        <v>8</v>
      </c>
      <c r="X11" s="26">
        <v>7.5</v>
      </c>
      <c r="Y11" s="26"/>
      <c r="Z11" s="26"/>
      <c r="AA11" s="26">
        <f t="shared" si="2"/>
        <v>0.19499999999999998</v>
      </c>
      <c r="AB11" s="26">
        <f t="shared" si="3"/>
        <v>0.15</v>
      </c>
      <c r="AC11" s="26">
        <f t="shared" si="4"/>
        <v>0.14166666666666666</v>
      </c>
      <c r="AD11" s="26">
        <f t="shared" si="5"/>
        <v>0.13333333333333333</v>
      </c>
      <c r="AE11" s="26">
        <f t="shared" si="6"/>
        <v>0.125</v>
      </c>
    </row>
    <row r="12" spans="3:31" x14ac:dyDescent="0.25">
      <c r="C12" s="1" t="s">
        <v>42</v>
      </c>
      <c r="D12" s="1" t="s">
        <v>70</v>
      </c>
      <c r="K12" s="31">
        <v>15</v>
      </c>
      <c r="L12" s="31">
        <v>0.21</v>
      </c>
      <c r="M12" s="31">
        <v>0.21</v>
      </c>
      <c r="N12" s="31">
        <v>0.16666666666666666</v>
      </c>
      <c r="O12" s="31">
        <v>0.15833333333333333</v>
      </c>
      <c r="P12" s="31">
        <v>0.15</v>
      </c>
      <c r="Q12" s="31">
        <v>0.14166666666666666</v>
      </c>
      <c r="R12" s="28">
        <v>0.14166666666666666</v>
      </c>
      <c r="S12" s="30">
        <f t="shared" si="1"/>
        <v>7</v>
      </c>
      <c r="T12" s="26">
        <v>12.6</v>
      </c>
      <c r="U12" s="26">
        <v>10</v>
      </c>
      <c r="V12" s="26">
        <v>9.5</v>
      </c>
      <c r="W12" s="26">
        <v>9</v>
      </c>
      <c r="X12" s="26">
        <v>8.5</v>
      </c>
      <c r="Y12" s="26"/>
      <c r="Z12" s="26"/>
      <c r="AA12" s="26">
        <f t="shared" si="2"/>
        <v>0.21</v>
      </c>
      <c r="AB12" s="26">
        <f t="shared" si="3"/>
        <v>0.16666666666666666</v>
      </c>
      <c r="AC12" s="26">
        <f t="shared" si="4"/>
        <v>0.15833333333333333</v>
      </c>
      <c r="AD12" s="26">
        <f t="shared" si="5"/>
        <v>0.15</v>
      </c>
      <c r="AE12" s="26">
        <f t="shared" si="6"/>
        <v>0.14166666666666666</v>
      </c>
    </row>
    <row r="13" spans="3:31" x14ac:dyDescent="0.25">
      <c r="D13" s="1" t="s">
        <v>71</v>
      </c>
      <c r="K13" s="31">
        <v>20</v>
      </c>
      <c r="L13" s="31">
        <v>0.22500000000000001</v>
      </c>
      <c r="M13" s="31">
        <v>0.22500000000000001</v>
      </c>
      <c r="N13" s="31">
        <v>0.18333333333333332</v>
      </c>
      <c r="O13" s="31">
        <v>0.17499999999999999</v>
      </c>
      <c r="P13" s="31">
        <v>0.16666666666666666</v>
      </c>
      <c r="Q13" s="31">
        <v>0.15833333333333333</v>
      </c>
      <c r="R13" s="28">
        <v>0.15833333333333333</v>
      </c>
      <c r="S13" s="30">
        <f t="shared" si="1"/>
        <v>8</v>
      </c>
      <c r="T13" s="26">
        <v>13.5</v>
      </c>
      <c r="U13" s="26">
        <v>11</v>
      </c>
      <c r="V13" s="26">
        <v>10.5</v>
      </c>
      <c r="W13" s="26">
        <v>10</v>
      </c>
      <c r="X13" s="26">
        <v>9.5</v>
      </c>
      <c r="Y13" s="26"/>
      <c r="Z13" s="26"/>
      <c r="AA13" s="26">
        <f t="shared" si="2"/>
        <v>0.22500000000000001</v>
      </c>
      <c r="AB13" s="26">
        <f t="shared" si="3"/>
        <v>0.18333333333333332</v>
      </c>
      <c r="AC13" s="26">
        <f t="shared" si="4"/>
        <v>0.17499999999999999</v>
      </c>
      <c r="AD13" s="26">
        <f t="shared" si="5"/>
        <v>0.16666666666666666</v>
      </c>
      <c r="AE13" s="26">
        <f t="shared" si="6"/>
        <v>0.15833333333333333</v>
      </c>
    </row>
    <row r="14" spans="3:31" x14ac:dyDescent="0.25">
      <c r="K14" s="31">
        <v>30</v>
      </c>
      <c r="L14" s="31">
        <v>0.24166666666666667</v>
      </c>
      <c r="M14" s="31">
        <v>0.24166666666666667</v>
      </c>
      <c r="N14" s="31">
        <v>0.2</v>
      </c>
      <c r="O14" s="31">
        <v>0.18333333333333332</v>
      </c>
      <c r="P14" s="31">
        <v>0.18333333333333332</v>
      </c>
      <c r="Q14" s="31">
        <v>0.17499999999999999</v>
      </c>
      <c r="R14" s="28">
        <v>0.17499999999999999</v>
      </c>
      <c r="S14" s="30">
        <f t="shared" si="1"/>
        <v>9</v>
      </c>
      <c r="T14" s="26">
        <v>14.5</v>
      </c>
      <c r="U14" s="26">
        <v>12</v>
      </c>
      <c r="V14" s="26">
        <v>11</v>
      </c>
      <c r="W14" s="26">
        <v>11</v>
      </c>
      <c r="X14" s="26">
        <v>10.5</v>
      </c>
      <c r="Y14" s="26"/>
      <c r="Z14" s="26"/>
      <c r="AA14" s="26">
        <f t="shared" si="2"/>
        <v>0.24166666666666667</v>
      </c>
      <c r="AB14" s="26">
        <f t="shared" si="3"/>
        <v>0.2</v>
      </c>
      <c r="AC14" s="26">
        <f t="shared" si="4"/>
        <v>0.18333333333333332</v>
      </c>
      <c r="AD14" s="26">
        <f t="shared" si="5"/>
        <v>0.18333333333333332</v>
      </c>
      <c r="AE14" s="26">
        <f t="shared" si="6"/>
        <v>0.17499999999999999</v>
      </c>
    </row>
    <row r="15" spans="3:31" x14ac:dyDescent="0.25">
      <c r="C15" s="1" t="s">
        <v>96</v>
      </c>
      <c r="D15" s="38" t="s">
        <v>93</v>
      </c>
      <c r="E15" s="38" t="s">
        <v>95</v>
      </c>
      <c r="K15" s="31">
        <v>50</v>
      </c>
      <c r="L15" s="31">
        <v>0.255</v>
      </c>
      <c r="M15" s="31">
        <v>0.255</v>
      </c>
      <c r="N15" s="31">
        <v>0.21666666666666667</v>
      </c>
      <c r="O15" s="31">
        <v>0.2</v>
      </c>
      <c r="P15" s="31">
        <v>0.2</v>
      </c>
      <c r="Q15" s="31">
        <v>0.18333333333333332</v>
      </c>
      <c r="R15" s="28">
        <v>0.18333333333333332</v>
      </c>
      <c r="S15" s="30">
        <f t="shared" si="1"/>
        <v>10</v>
      </c>
      <c r="T15" s="26">
        <v>15.3</v>
      </c>
      <c r="U15" s="26">
        <v>13</v>
      </c>
      <c r="V15" s="26">
        <v>12</v>
      </c>
      <c r="W15" s="26">
        <v>12</v>
      </c>
      <c r="X15" s="26">
        <v>11</v>
      </c>
      <c r="Y15" s="26"/>
      <c r="Z15" s="26"/>
      <c r="AA15" s="26">
        <f t="shared" si="2"/>
        <v>0.255</v>
      </c>
      <c r="AB15" s="26">
        <f t="shared" si="3"/>
        <v>0.21666666666666667</v>
      </c>
      <c r="AC15" s="26">
        <f t="shared" si="4"/>
        <v>0.2</v>
      </c>
      <c r="AD15" s="26">
        <f t="shared" si="5"/>
        <v>0.2</v>
      </c>
      <c r="AE15" s="26">
        <f t="shared" si="6"/>
        <v>0.18333333333333332</v>
      </c>
    </row>
    <row r="16" spans="3:31" x14ac:dyDescent="0.25">
      <c r="K16" s="31">
        <v>90</v>
      </c>
      <c r="L16" s="31">
        <v>0.26666666666666666</v>
      </c>
      <c r="M16" s="31">
        <v>0.26666666666666666</v>
      </c>
      <c r="N16" s="31">
        <v>0.22500000000000001</v>
      </c>
      <c r="O16" s="31">
        <v>0.21666666666666667</v>
      </c>
      <c r="P16" s="31">
        <v>0.2</v>
      </c>
      <c r="Q16" s="31">
        <v>0.2</v>
      </c>
      <c r="R16" s="28">
        <v>0.2</v>
      </c>
      <c r="S16" s="30">
        <f t="shared" si="1"/>
        <v>11</v>
      </c>
      <c r="T16" s="26">
        <v>16</v>
      </c>
      <c r="U16" s="26">
        <v>13.5</v>
      </c>
      <c r="V16" s="26">
        <v>13</v>
      </c>
      <c r="W16" s="26">
        <v>12</v>
      </c>
      <c r="X16" s="26">
        <v>12</v>
      </c>
      <c r="Y16" s="26"/>
      <c r="Z16" s="26"/>
      <c r="AA16" s="26">
        <f t="shared" si="2"/>
        <v>0.26666666666666666</v>
      </c>
      <c r="AB16" s="26">
        <f t="shared" si="3"/>
        <v>0.22500000000000001</v>
      </c>
      <c r="AC16" s="26">
        <f t="shared" si="4"/>
        <v>0.21666666666666667</v>
      </c>
      <c r="AD16" s="26">
        <f t="shared" si="5"/>
        <v>0.2</v>
      </c>
      <c r="AE16" s="26">
        <f t="shared" si="6"/>
        <v>0.2</v>
      </c>
    </row>
    <row r="17" spans="11:19" x14ac:dyDescent="0.25">
      <c r="K17" s="28">
        <v>180</v>
      </c>
      <c r="L17" s="28">
        <v>0.26666666666666666</v>
      </c>
      <c r="M17" s="28">
        <v>0.26666666666666666</v>
      </c>
      <c r="N17" s="28">
        <v>0.22500000000000001</v>
      </c>
      <c r="O17" s="28">
        <v>0.21666666666666667</v>
      </c>
      <c r="P17" s="28">
        <v>0.2</v>
      </c>
      <c r="Q17" s="28">
        <v>0.2</v>
      </c>
      <c r="R17" s="28">
        <v>0.2</v>
      </c>
      <c r="S17" s="30">
        <f t="shared" si="1"/>
        <v>12</v>
      </c>
    </row>
    <row r="18" spans="11:19" x14ac:dyDescent="0.25">
      <c r="K18" s="32" t="s">
        <v>42</v>
      </c>
      <c r="L18" s="32">
        <v>-0.26666666666</v>
      </c>
    </row>
    <row r="19" spans="11:19" x14ac:dyDescent="0.25">
      <c r="K19" s="32" t="s">
        <v>43</v>
      </c>
      <c r="L19" s="32">
        <v>-0.53333333333300004</v>
      </c>
    </row>
    <row r="23" spans="11:19" x14ac:dyDescent="0.25">
      <c r="L23" s="1" t="s">
        <v>44</v>
      </c>
      <c r="M23" s="1" t="s">
        <v>45</v>
      </c>
      <c r="N23" s="1" t="str">
        <f>CONCATENATE(O23, "°")</f>
        <v>40°</v>
      </c>
      <c r="O23" s="1">
        <v>40</v>
      </c>
    </row>
    <row r="24" spans="11:19" x14ac:dyDescent="0.25">
      <c r="M24" s="1" t="s">
        <v>46</v>
      </c>
      <c r="N24" s="1" t="str">
        <f>CONCATENATE(O24, "m")</f>
        <v>0m</v>
      </c>
      <c r="O24" s="1">
        <v>0</v>
      </c>
    </row>
    <row r="25" spans="11:19" ht="15.75" thickBot="1" x14ac:dyDescent="0.3"/>
    <row r="26" spans="11:19" x14ac:dyDescent="0.25">
      <c r="M26" s="146" t="s">
        <v>52</v>
      </c>
      <c r="N26" s="144" t="s">
        <v>48</v>
      </c>
      <c r="O26" s="145"/>
      <c r="P26" s="33">
        <f>HLOOKUP(O24,L4:Q5,2)</f>
        <v>1</v>
      </c>
      <c r="Q26" s="34"/>
    </row>
    <row r="27" spans="11:19" ht="15.75" thickBot="1" x14ac:dyDescent="0.3">
      <c r="M27" s="146"/>
      <c r="N27" s="35"/>
      <c r="O27" s="36" t="s">
        <v>54</v>
      </c>
      <c r="P27" s="36">
        <f>INDEX($K$4:$R$5, 1,P26)</f>
        <v>0</v>
      </c>
      <c r="Q27" s="37" t="s">
        <v>51</v>
      </c>
    </row>
    <row r="29" spans="11:19" x14ac:dyDescent="0.25">
      <c r="M29" s="1" t="s">
        <v>38</v>
      </c>
      <c r="O29" s="1" t="s">
        <v>53</v>
      </c>
      <c r="P29" s="1">
        <f>VLOOKUP(O23,K6:S17,2)</f>
        <v>0.24166666666666667</v>
      </c>
    </row>
    <row r="30" spans="11:19" x14ac:dyDescent="0.25">
      <c r="P30" s="1">
        <f>P29+1</f>
        <v>1.2416666666666667</v>
      </c>
    </row>
    <row r="32" spans="11:19" x14ac:dyDescent="0.25">
      <c r="O32" s="1" t="s">
        <v>55</v>
      </c>
      <c r="P32" s="1" t="e">
        <f>INDEX($K$6:$K$17,P29,1)</f>
        <v>#VALUE!</v>
      </c>
    </row>
    <row r="33" spans="15:25" x14ac:dyDescent="0.25">
      <c r="O33" s="1" t="s">
        <v>56</v>
      </c>
      <c r="P33" s="1">
        <f>INDEX($K$6:$K$17,P30,1)</f>
        <v>6</v>
      </c>
    </row>
    <row r="34" spans="15:25" x14ac:dyDescent="0.25">
      <c r="O34" s="1" t="s">
        <v>57</v>
      </c>
      <c r="P34" s="1" t="e">
        <f>(O23-P32)/(P33-P32)</f>
        <v>#VALUE!</v>
      </c>
      <c r="Y34" s="1" t="e">
        <f>Constantes!P32</f>
        <v>#VALUE!</v>
      </c>
    </row>
    <row r="36" spans="15:25" x14ac:dyDescent="0.25">
      <c r="O36" s="1" t="s">
        <v>49</v>
      </c>
      <c r="P36" s="1" t="e">
        <f>INDEX($M$6:$R$17,P29,P26)</f>
        <v>#VALUE!</v>
      </c>
    </row>
    <row r="37" spans="15:25" x14ac:dyDescent="0.25">
      <c r="O37" s="1" t="s">
        <v>50</v>
      </c>
      <c r="P37" s="1">
        <f>INDEX($M$6:$R$17,P30,P26)</f>
        <v>0.125</v>
      </c>
    </row>
    <row r="38" spans="15:25" x14ac:dyDescent="0.25">
      <c r="O38" s="8" t="s">
        <v>37</v>
      </c>
      <c r="P38" s="8" t="e">
        <f>P36+P34*(P37-P36)</f>
        <v>#VALUE!</v>
      </c>
    </row>
  </sheetData>
  <sheetProtection selectLockedCells="1"/>
  <mergeCells count="7">
    <mergeCell ref="C2:C3"/>
    <mergeCell ref="F2:F3"/>
    <mergeCell ref="N26:O26"/>
    <mergeCell ref="M26:M27"/>
    <mergeCell ref="L3:P3"/>
    <mergeCell ref="K3:K4"/>
    <mergeCell ref="J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Outils</vt:lpstr>
      <vt:lpstr>Meridienne</vt:lpstr>
      <vt:lpstr>MeridienneCalculs</vt:lpstr>
      <vt:lpstr>Droite hauteur</vt:lpstr>
      <vt:lpstr>Constantes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FAGES Pierre</dc:creator>
  <cp:lastModifiedBy>FAGES Pierre</cp:lastModifiedBy>
  <cp:lastPrinted>2022-08-22T16:08:01Z</cp:lastPrinted>
  <dcterms:created xsi:type="dcterms:W3CDTF">2022-08-22T06:46:28Z</dcterms:created>
  <dcterms:modified xsi:type="dcterms:W3CDTF">2022-09-09T19:30:43Z</dcterms:modified>
</cp:coreProperties>
</file>