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WorkSpaces\WS\GitHub\NavAstro\NavAstro\XLS\"/>
    </mc:Choice>
  </mc:AlternateContent>
  <bookViews>
    <workbookView xWindow="0" yWindow="0" windowWidth="28770" windowHeight="12420" firstSheet="2" activeTab="2"/>
  </bookViews>
  <sheets>
    <sheet name="Meridienne" sheetId="10" r:id="rId1"/>
    <sheet name="Meridienne par polaire" sheetId="1" r:id="rId2"/>
    <sheet name="Droite hauteur Soleil" sheetId="3" r:id="rId3"/>
    <sheet name="Droite hauteur Lune" sheetId="8" r:id="rId4"/>
    <sheet name="Droite hauteur Etoile" sheetId="9" r:id="rId5"/>
    <sheet name="CorrecteurHauteurOeil" sheetId="7" r:id="rId6"/>
    <sheet name="Constantes" sheetId="2" r:id="rId7"/>
    <sheet name="Outils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3" l="1"/>
  <c r="H65" i="3"/>
  <c r="AA65" i="3"/>
  <c r="AB65" i="3"/>
  <c r="H64" i="3"/>
  <c r="G64" i="3"/>
  <c r="R64" i="3"/>
  <c r="Q64" i="3"/>
  <c r="P64" i="3"/>
  <c r="O64" i="3"/>
  <c r="N64" i="3"/>
  <c r="N44" i="3"/>
  <c r="M64" i="3"/>
  <c r="J59" i="3"/>
  <c r="J58" i="3"/>
  <c r="J54" i="3"/>
  <c r="R15" i="7"/>
  <c r="Q15" i="7"/>
  <c r="P15" i="7"/>
  <c r="O15" i="7"/>
  <c r="N15" i="7"/>
  <c r="M15" i="7"/>
  <c r="L15" i="7"/>
  <c r="K15" i="7"/>
  <c r="R14" i="7"/>
  <c r="Q14" i="7"/>
  <c r="P14" i="7"/>
  <c r="O14" i="7"/>
  <c r="N14" i="7"/>
  <c r="M14" i="7"/>
  <c r="L14" i="7"/>
  <c r="K14" i="7"/>
  <c r="R13" i="7"/>
  <c r="Q13" i="7"/>
  <c r="P13" i="7"/>
  <c r="O13" i="7"/>
  <c r="N13" i="7"/>
  <c r="M13" i="7"/>
  <c r="L13" i="7"/>
  <c r="K13" i="7"/>
  <c r="R12" i="7"/>
  <c r="Q12" i="7"/>
  <c r="P12" i="7"/>
  <c r="O12" i="7"/>
  <c r="N12" i="7"/>
  <c r="M12" i="7"/>
  <c r="L12" i="7"/>
  <c r="K12" i="7"/>
  <c r="R11" i="7"/>
  <c r="Q11" i="7"/>
  <c r="P11" i="7"/>
  <c r="O11" i="7"/>
  <c r="N11" i="7"/>
  <c r="M11" i="7"/>
  <c r="L11" i="7"/>
  <c r="K11" i="7"/>
  <c r="R10" i="7"/>
  <c r="Q10" i="7"/>
  <c r="P10" i="7"/>
  <c r="O10" i="7"/>
  <c r="N10" i="7"/>
  <c r="M10" i="7"/>
  <c r="L10" i="7"/>
  <c r="K10" i="7"/>
  <c r="R9" i="7"/>
  <c r="Q9" i="7"/>
  <c r="P9" i="7"/>
  <c r="O9" i="7"/>
  <c r="N9" i="7"/>
  <c r="M9" i="7"/>
  <c r="L9" i="7"/>
  <c r="K9" i="7"/>
  <c r="R8" i="7"/>
  <c r="Q8" i="7"/>
  <c r="P8" i="7"/>
  <c r="O8" i="7"/>
  <c r="N8" i="7"/>
  <c r="M8" i="7"/>
  <c r="L8" i="7"/>
  <c r="K8" i="7"/>
  <c r="R7" i="7"/>
  <c r="Q7" i="7"/>
  <c r="P7" i="7"/>
  <c r="O7" i="7"/>
  <c r="N7" i="7"/>
  <c r="M7" i="7"/>
  <c r="L7" i="7"/>
  <c r="K7" i="7"/>
  <c r="R6" i="7"/>
  <c r="Q6" i="7"/>
  <c r="P6" i="7"/>
  <c r="O6" i="7"/>
  <c r="N6" i="7"/>
  <c r="M6" i="7"/>
  <c r="L6" i="7"/>
  <c r="K6" i="7"/>
  <c r="R5" i="7"/>
  <c r="Q5" i="7"/>
  <c r="P5" i="7"/>
  <c r="O5" i="7"/>
  <c r="N5" i="7"/>
  <c r="M5" i="7"/>
  <c r="L5" i="7"/>
  <c r="K5" i="7"/>
  <c r="R4" i="7"/>
  <c r="Q4" i="7"/>
  <c r="P4" i="7"/>
  <c r="O4" i="7"/>
  <c r="N4" i="7"/>
  <c r="M4" i="7"/>
  <c r="L4" i="7"/>
  <c r="K4" i="7"/>
  <c r="J48" i="3"/>
  <c r="AA48" i="3"/>
  <c r="AB48" i="3" s="1"/>
  <c r="I45" i="3"/>
  <c r="AA45" i="3"/>
  <c r="AB45" i="3"/>
  <c r="I44" i="3"/>
  <c r="G44" i="3"/>
  <c r="R44" i="3"/>
  <c r="Q44" i="3"/>
  <c r="P44" i="3"/>
  <c r="O44" i="3"/>
  <c r="M44" i="3"/>
  <c r="J40" i="3"/>
  <c r="AA40" i="3"/>
  <c r="AB40" i="3"/>
  <c r="AL28" i="3"/>
  <c r="AM28" i="3" s="1"/>
  <c r="AG28" i="3"/>
  <c r="AF28" i="3"/>
  <c r="AE28" i="3"/>
  <c r="AD28" i="3"/>
  <c r="AL29" i="10"/>
  <c r="AM29" i="10" s="1"/>
  <c r="AG29" i="10"/>
  <c r="AF29" i="10"/>
  <c r="AE29" i="10"/>
  <c r="AD29" i="10"/>
  <c r="AN29" i="10" s="1"/>
  <c r="AO29" i="10" s="1"/>
  <c r="AL35" i="10"/>
  <c r="AM35" i="10" s="1"/>
  <c r="AI35" i="10"/>
  <c r="AG35" i="10"/>
  <c r="AF35" i="10"/>
  <c r="AE35" i="10"/>
  <c r="AD35" i="10"/>
  <c r="AN35" i="10" s="1"/>
  <c r="AO35" i="10" s="1"/>
  <c r="AL38" i="10"/>
  <c r="AM38" i="10" s="1"/>
  <c r="AG38" i="10"/>
  <c r="AF38" i="10"/>
  <c r="AE38" i="10"/>
  <c r="AD38" i="10"/>
  <c r="AI38" i="10" s="1"/>
  <c r="AL40" i="10"/>
  <c r="AM40" i="10" s="1"/>
  <c r="AI40" i="10"/>
  <c r="AG40" i="10"/>
  <c r="AF40" i="10"/>
  <c r="AE40" i="10"/>
  <c r="AD40" i="10"/>
  <c r="AN40" i="10" s="1"/>
  <c r="AO40" i="10" s="1"/>
  <c r="AN61" i="10"/>
  <c r="AO61" i="10" s="1"/>
  <c r="AL61" i="10"/>
  <c r="AM61" i="10" s="1"/>
  <c r="AG61" i="10"/>
  <c r="AF61" i="10"/>
  <c r="AE61" i="10"/>
  <c r="AD61" i="10"/>
  <c r="AI61" i="10" s="1"/>
  <c r="AN73" i="10"/>
  <c r="AO73" i="10" s="1"/>
  <c r="AL73" i="10"/>
  <c r="AM73" i="10" s="1"/>
  <c r="AG73" i="10"/>
  <c r="AF73" i="10"/>
  <c r="AE73" i="10"/>
  <c r="AD73" i="10"/>
  <c r="U8" i="6"/>
  <c r="AA28" i="3"/>
  <c r="AB28" i="3" s="1"/>
  <c r="AX28" i="10"/>
  <c r="AW28" i="10"/>
  <c r="AV28" i="10"/>
  <c r="AY28" i="10" s="1"/>
  <c r="AS28" i="10"/>
  <c r="AR28" i="10"/>
  <c r="AQ28" i="10"/>
  <c r="AH28" i="10"/>
  <c r="AG28" i="10"/>
  <c r="AF28" i="10"/>
  <c r="AI28" i="10" s="1"/>
  <c r="AE28" i="10"/>
  <c r="AD28" i="10"/>
  <c r="AX25" i="10"/>
  <c r="AW25" i="10"/>
  <c r="AV25" i="10"/>
  <c r="AY25" i="10" s="1"/>
  <c r="AS25" i="10"/>
  <c r="AR25" i="10"/>
  <c r="AQ25" i="10"/>
  <c r="AH25" i="10"/>
  <c r="AG25" i="10"/>
  <c r="AK25" i="10" s="1"/>
  <c r="AF25" i="10"/>
  <c r="AI25" i="10" s="1"/>
  <c r="AE25" i="10"/>
  <c r="AD25" i="10"/>
  <c r="AX9" i="10"/>
  <c r="AW9" i="10"/>
  <c r="AV9" i="10"/>
  <c r="AY9" i="10" s="1"/>
  <c r="AS9" i="10"/>
  <c r="AR9" i="10"/>
  <c r="AQ9" i="10"/>
  <c r="AH9" i="10"/>
  <c r="AG9" i="10"/>
  <c r="AF9" i="10"/>
  <c r="AI9" i="10" s="1"/>
  <c r="AE9" i="10"/>
  <c r="AD9" i="10"/>
  <c r="AP9" i="10" s="1"/>
  <c r="AX6" i="10"/>
  <c r="AW6" i="10"/>
  <c r="AV6" i="10"/>
  <c r="AY6" i="10" s="1"/>
  <c r="AS6" i="10"/>
  <c r="AR6" i="10"/>
  <c r="AQ6" i="10"/>
  <c r="AH6" i="10"/>
  <c r="AG6" i="10"/>
  <c r="AF6" i="10"/>
  <c r="AI6" i="10" s="1"/>
  <c r="AE6" i="10"/>
  <c r="AD6" i="10"/>
  <c r="AP6" i="10" s="1"/>
  <c r="AX33" i="3"/>
  <c r="AW33" i="3"/>
  <c r="AV33" i="3"/>
  <c r="AY33" i="3" s="1"/>
  <c r="AS33" i="3"/>
  <c r="AR33" i="3"/>
  <c r="AQ33" i="3"/>
  <c r="AH33" i="3"/>
  <c r="AG33" i="3"/>
  <c r="AF33" i="3"/>
  <c r="AI33" i="3" s="1"/>
  <c r="AE33" i="3"/>
  <c r="AD33" i="3"/>
  <c r="AX32" i="3"/>
  <c r="AY32" i="3" s="1"/>
  <c r="AW32" i="3"/>
  <c r="AV32" i="3"/>
  <c r="AS32" i="3"/>
  <c r="AR32" i="3"/>
  <c r="AQ32" i="3"/>
  <c r="AI32" i="3"/>
  <c r="AM32" i="3" s="1"/>
  <c r="AH32" i="3"/>
  <c r="AP32" i="3" s="1"/>
  <c r="AF32" i="3"/>
  <c r="AE32" i="3"/>
  <c r="AK32" i="3" s="1"/>
  <c r="AD32" i="3"/>
  <c r="AG32" i="3" s="1"/>
  <c r="AX25" i="3"/>
  <c r="AW25" i="3"/>
  <c r="AV25" i="3"/>
  <c r="AY25" i="3" s="1"/>
  <c r="AS25" i="3"/>
  <c r="AR25" i="3"/>
  <c r="AQ25" i="3"/>
  <c r="AH25" i="3"/>
  <c r="AG25" i="3"/>
  <c r="AF25" i="3"/>
  <c r="AP25" i="3" s="1"/>
  <c r="AE25" i="3"/>
  <c r="AD25" i="3"/>
  <c r="AX24" i="3"/>
  <c r="AW24" i="3"/>
  <c r="AV24" i="3"/>
  <c r="AY24" i="3" s="1"/>
  <c r="AS24" i="3"/>
  <c r="AR24" i="3"/>
  <c r="AQ24" i="3"/>
  <c r="AH24" i="3"/>
  <c r="AF24" i="3"/>
  <c r="AI24" i="3" s="1"/>
  <c r="AE24" i="3"/>
  <c r="AD24" i="3"/>
  <c r="AP24" i="3" s="1"/>
  <c r="AX11" i="3"/>
  <c r="AW11" i="3"/>
  <c r="AV11" i="3"/>
  <c r="AY11" i="3" s="1"/>
  <c r="AS11" i="3"/>
  <c r="AR11" i="3"/>
  <c r="AQ11" i="3"/>
  <c r="AH11" i="3"/>
  <c r="AG11" i="3"/>
  <c r="AF11" i="3"/>
  <c r="AI11" i="3" s="1"/>
  <c r="AE11" i="3"/>
  <c r="AD11" i="3"/>
  <c r="AX10" i="3"/>
  <c r="AW10" i="3"/>
  <c r="AV10" i="3"/>
  <c r="AY10" i="3" s="1"/>
  <c r="AS10" i="3"/>
  <c r="AR10" i="3"/>
  <c r="AQ10" i="3"/>
  <c r="AH10" i="3"/>
  <c r="AG10" i="3"/>
  <c r="AF10" i="3"/>
  <c r="AI10" i="3" s="1"/>
  <c r="AE10" i="3"/>
  <c r="AK10" i="3" s="1"/>
  <c r="AD10" i="3"/>
  <c r="AE5" i="6"/>
  <c r="AA33" i="3"/>
  <c r="AA32" i="3"/>
  <c r="AB32" i="3" s="1"/>
  <c r="AA25" i="3"/>
  <c r="AB25" i="3" s="1"/>
  <c r="AA24" i="3"/>
  <c r="AB24" i="3" s="1"/>
  <c r="AA11" i="3"/>
  <c r="AB11" i="3" s="1"/>
  <c r="AA10" i="3"/>
  <c r="AB10" i="3" s="1"/>
  <c r="AB33" i="3"/>
  <c r="AA28" i="10"/>
  <c r="AA25" i="10"/>
  <c r="AB25" i="10" s="1"/>
  <c r="AA9" i="10"/>
  <c r="AB9" i="10" s="1"/>
  <c r="AA6" i="10"/>
  <c r="AB6" i="10" s="1"/>
  <c r="AB28" i="10"/>
  <c r="AG65" i="3" l="1"/>
  <c r="AF65" i="3"/>
  <c r="AE65" i="3"/>
  <c r="AL65" i="3"/>
  <c r="AM65" i="3" s="1"/>
  <c r="AD65" i="3"/>
  <c r="AV48" i="3"/>
  <c r="AE48" i="3"/>
  <c r="AW48" i="3"/>
  <c r="AD48" i="3"/>
  <c r="AF48" i="3"/>
  <c r="AS48" i="3"/>
  <c r="AR48" i="3"/>
  <c r="AQ48" i="3"/>
  <c r="AX48" i="3"/>
  <c r="AH48" i="3"/>
  <c r="AE45" i="3"/>
  <c r="AF45" i="3"/>
  <c r="AL45" i="3"/>
  <c r="AM45" i="3" s="1"/>
  <c r="AD45" i="3"/>
  <c r="AG45" i="3"/>
  <c r="AG40" i="3"/>
  <c r="AF40" i="3"/>
  <c r="AE40" i="3"/>
  <c r="AL40" i="3"/>
  <c r="AM40" i="3" s="1"/>
  <c r="AD40" i="3"/>
  <c r="AI28" i="3"/>
  <c r="AN28" i="3"/>
  <c r="AO28" i="3" s="1"/>
  <c r="AJ28" i="3"/>
  <c r="AK28" i="3" s="1"/>
  <c r="AI29" i="10"/>
  <c r="AJ29" i="10" s="1"/>
  <c r="AJ35" i="10"/>
  <c r="AK35" i="10" s="1"/>
  <c r="AJ38" i="10"/>
  <c r="AK38" i="10" s="1"/>
  <c r="AN38" i="10"/>
  <c r="AO38" i="10" s="1"/>
  <c r="AJ40" i="10"/>
  <c r="AK40" i="10"/>
  <c r="AH40" i="10" s="1"/>
  <c r="AC40" i="10" s="1"/>
  <c r="AJ61" i="10"/>
  <c r="AI73" i="10"/>
  <c r="AJ28" i="10"/>
  <c r="AL28" i="10" s="1"/>
  <c r="AO28" i="10" s="1"/>
  <c r="AM28" i="10"/>
  <c r="AK28" i="10"/>
  <c r="AP28" i="10"/>
  <c r="AM25" i="10"/>
  <c r="AJ25" i="10"/>
  <c r="AL25" i="10" s="1"/>
  <c r="AO25" i="10" s="1"/>
  <c r="AP25" i="10"/>
  <c r="AM9" i="10"/>
  <c r="AJ9" i="10"/>
  <c r="AL9" i="10" s="1"/>
  <c r="AO9" i="10" s="1"/>
  <c r="AK9" i="10"/>
  <c r="AK6" i="10"/>
  <c r="AM6" i="10"/>
  <c r="AJ6" i="10"/>
  <c r="AL6" i="10"/>
  <c r="AO6" i="10" s="1"/>
  <c r="AK33" i="3"/>
  <c r="AL33" i="3"/>
  <c r="AO33" i="3" s="1"/>
  <c r="AM33" i="3"/>
  <c r="AP33" i="3"/>
  <c r="AJ33" i="3"/>
  <c r="AJ32" i="3"/>
  <c r="AK25" i="3"/>
  <c r="AI25" i="3"/>
  <c r="AJ25" i="3" s="1"/>
  <c r="AM24" i="3"/>
  <c r="AG24" i="3"/>
  <c r="AK24" i="3" s="1"/>
  <c r="AJ24" i="3"/>
  <c r="AM11" i="3"/>
  <c r="AJ11" i="3"/>
  <c r="AK11" i="3"/>
  <c r="AP11" i="3"/>
  <c r="AM10" i="3"/>
  <c r="AJ10" i="3"/>
  <c r="AP10" i="3"/>
  <c r="J31" i="3"/>
  <c r="AA23" i="3"/>
  <c r="AB23" i="3" s="1"/>
  <c r="AA14" i="3"/>
  <c r="AB14" i="3" s="1"/>
  <c r="AI65" i="3" l="1"/>
  <c r="AN65" i="3"/>
  <c r="AO65" i="3" s="1"/>
  <c r="AY48" i="3"/>
  <c r="AI48" i="3"/>
  <c r="AG48" i="3"/>
  <c r="AK48" i="3" s="1"/>
  <c r="AP48" i="3"/>
  <c r="AI45" i="3"/>
  <c r="AN45" i="3"/>
  <c r="AO45" i="3" s="1"/>
  <c r="AN40" i="3"/>
  <c r="AO40" i="3" s="1"/>
  <c r="AI40" i="3"/>
  <c r="AH28" i="3"/>
  <c r="AC28" i="3" s="1"/>
  <c r="J28" i="3" s="1"/>
  <c r="AK29" i="10"/>
  <c r="AH29" i="10" s="1"/>
  <c r="AC29" i="10" s="1"/>
  <c r="AH35" i="10"/>
  <c r="AC35" i="10" s="1"/>
  <c r="AH38" i="10"/>
  <c r="AC38" i="10" s="1"/>
  <c r="AK61" i="10"/>
  <c r="AH61" i="10" s="1"/>
  <c r="AC61" i="10" s="1"/>
  <c r="AJ73" i="10"/>
  <c r="AN28" i="10"/>
  <c r="AT28" i="10"/>
  <c r="AU28" i="10" s="1"/>
  <c r="AC28" i="10" s="1"/>
  <c r="AN25" i="10"/>
  <c r="AT25" i="10"/>
  <c r="AU25" i="10" s="1"/>
  <c r="AC25" i="10" s="1"/>
  <c r="AN9" i="10"/>
  <c r="AT9" i="10"/>
  <c r="AU9" i="10" s="1"/>
  <c r="AC9" i="10" s="1"/>
  <c r="AN6" i="10"/>
  <c r="AT6" i="10"/>
  <c r="AU6" i="10" s="1"/>
  <c r="AC6" i="10" s="1"/>
  <c r="AT33" i="3"/>
  <c r="AU33" i="3" s="1"/>
  <c r="AN33" i="3"/>
  <c r="AC33" i="3"/>
  <c r="AN32" i="3"/>
  <c r="AT32" i="3"/>
  <c r="AU32" i="3" s="1"/>
  <c r="AC32" i="3" s="1"/>
  <c r="AL32" i="3"/>
  <c r="AO32" i="3" s="1"/>
  <c r="AN25" i="3"/>
  <c r="AT25" i="3"/>
  <c r="AU25" i="3" s="1"/>
  <c r="AM25" i="3"/>
  <c r="AL25" i="3"/>
  <c r="AO25" i="3" s="1"/>
  <c r="AC24" i="3"/>
  <c r="AN24" i="3"/>
  <c r="AT24" i="3"/>
  <c r="AU24" i="3" s="1"/>
  <c r="AL24" i="3"/>
  <c r="AO24" i="3" s="1"/>
  <c r="AN11" i="3"/>
  <c r="AT11" i="3"/>
  <c r="AU11" i="3" s="1"/>
  <c r="AC11" i="3" s="1"/>
  <c r="AL11" i="3"/>
  <c r="AO11" i="3" s="1"/>
  <c r="AN10" i="3"/>
  <c r="AT10" i="3"/>
  <c r="AU10" i="3" s="1"/>
  <c r="AC10" i="3" s="1"/>
  <c r="AL10" i="3"/>
  <c r="AO10" i="3" s="1"/>
  <c r="AG23" i="3"/>
  <c r="AD23" i="3"/>
  <c r="AE23" i="3" s="1"/>
  <c r="AI23" i="3"/>
  <c r="AG14" i="3"/>
  <c r="AI14" i="3"/>
  <c r="AD14" i="3"/>
  <c r="AE14" i="3" s="1"/>
  <c r="AA71" i="10"/>
  <c r="AB71" i="10" s="1"/>
  <c r="AI68" i="10"/>
  <c r="AB68" i="10"/>
  <c r="AA68" i="10"/>
  <c r="AI64" i="10"/>
  <c r="AG64" i="10"/>
  <c r="AF64" i="10"/>
  <c r="AE64" i="10"/>
  <c r="AB64" i="10"/>
  <c r="AK64" i="10" s="1"/>
  <c r="AA64" i="10"/>
  <c r="AA59" i="10"/>
  <c r="AB59" i="10" s="1"/>
  <c r="AI56" i="10"/>
  <c r="AJ56" i="10" s="1"/>
  <c r="AB56" i="10"/>
  <c r="AN56" i="10" s="1"/>
  <c r="AA56" i="10"/>
  <c r="AA52" i="10"/>
  <c r="AB52" i="10" s="1"/>
  <c r="G40" i="10"/>
  <c r="J34" i="10"/>
  <c r="L31" i="10"/>
  <c r="AA15" i="10"/>
  <c r="AB15" i="10" s="1"/>
  <c r="AB10" i="10"/>
  <c r="AA10" i="10"/>
  <c r="AA71" i="1"/>
  <c r="AB71" i="1" s="1"/>
  <c r="AD71" i="1" s="1"/>
  <c r="AA68" i="1"/>
  <c r="AB68" i="1" s="1"/>
  <c r="Q68" i="1"/>
  <c r="AA64" i="1"/>
  <c r="AB64" i="1" s="1"/>
  <c r="Q56" i="1"/>
  <c r="Q55" i="1"/>
  <c r="K58" i="1"/>
  <c r="Q58" i="1"/>
  <c r="AA61" i="1" s="1"/>
  <c r="AE61" i="1" s="1"/>
  <c r="L59" i="1"/>
  <c r="AA59" i="1"/>
  <c r="AA58" i="1"/>
  <c r="AB58" i="1" s="1"/>
  <c r="K47" i="1"/>
  <c r="AA47" i="1"/>
  <c r="AB47" i="1" s="1"/>
  <c r="H24" i="7"/>
  <c r="D27" i="7" s="1"/>
  <c r="H25" i="7"/>
  <c r="G28" i="7" s="1"/>
  <c r="E19" i="7"/>
  <c r="AJ65" i="3" l="1"/>
  <c r="AK65" i="3" s="1"/>
  <c r="AM48" i="3"/>
  <c r="AJ48" i="3"/>
  <c r="AL48" i="3" s="1"/>
  <c r="AO48" i="3" s="1"/>
  <c r="AJ45" i="3"/>
  <c r="AK45" i="3" s="1"/>
  <c r="AJ40" i="3"/>
  <c r="AK40" i="3" s="1"/>
  <c r="AK73" i="10"/>
  <c r="AH73" i="10" s="1"/>
  <c r="AC73" i="10" s="1"/>
  <c r="AC25" i="3"/>
  <c r="AH23" i="3"/>
  <c r="AC23" i="3" s="1"/>
  <c r="AH14" i="3"/>
  <c r="AC14" i="3" s="1"/>
  <c r="AE15" i="10"/>
  <c r="AF15" i="10" s="1"/>
  <c r="AG15" i="10" s="1"/>
  <c r="AD15" i="10"/>
  <c r="AE71" i="10"/>
  <c r="AF71" i="10" s="1"/>
  <c r="AD71" i="10"/>
  <c r="AI10" i="10"/>
  <c r="AG10" i="10"/>
  <c r="AK52" i="10"/>
  <c r="AI52" i="10"/>
  <c r="AE52" i="10"/>
  <c r="AD10" i="10"/>
  <c r="AF52" i="10"/>
  <c r="AN68" i="10"/>
  <c r="AE10" i="10"/>
  <c r="AH10" i="10" s="1"/>
  <c r="AF59" i="10"/>
  <c r="AE59" i="10"/>
  <c r="AD59" i="10"/>
  <c r="AJ68" i="10"/>
  <c r="AK68" i="10" s="1"/>
  <c r="AC68" i="10" s="1"/>
  <c r="AK56" i="10"/>
  <c r="AC56" i="10" s="1"/>
  <c r="AJ64" i="10"/>
  <c r="AC64" i="10" s="1"/>
  <c r="K64" i="10" s="1"/>
  <c r="AH71" i="1"/>
  <c r="AJ71" i="1"/>
  <c r="AK64" i="1"/>
  <c r="AI64" i="1"/>
  <c r="AE64" i="1"/>
  <c r="AF64" i="1" s="1"/>
  <c r="AI68" i="1"/>
  <c r="AJ68" i="1"/>
  <c r="AK68" i="1" s="1"/>
  <c r="AE71" i="1"/>
  <c r="AF71" i="1" s="1"/>
  <c r="AI71" i="1" s="1"/>
  <c r="P59" i="1"/>
  <c r="AB61" i="1"/>
  <c r="AD61" i="1" s="1"/>
  <c r="AG58" i="1"/>
  <c r="AE47" i="1"/>
  <c r="AF47" i="1" s="1"/>
  <c r="AD47" i="1"/>
  <c r="C27" i="7"/>
  <c r="G31" i="7"/>
  <c r="I28" i="7"/>
  <c r="J34" i="1"/>
  <c r="AA28" i="1"/>
  <c r="AA25" i="1"/>
  <c r="AA15" i="1"/>
  <c r="AB15" i="1" s="1"/>
  <c r="AA10" i="1"/>
  <c r="AB10" i="1" s="1"/>
  <c r="AA9" i="1"/>
  <c r="AA6" i="1"/>
  <c r="AH6" i="1" s="1"/>
  <c r="AH65" i="3" l="1"/>
  <c r="AC65" i="3" s="1"/>
  <c r="AN48" i="3"/>
  <c r="AT48" i="3"/>
  <c r="AU48" i="3" s="1"/>
  <c r="AC48" i="3" s="1"/>
  <c r="AH45" i="3"/>
  <c r="AC45" i="3" s="1"/>
  <c r="AH40" i="3"/>
  <c r="AC40" i="3" s="1"/>
  <c r="J32" i="3"/>
  <c r="J23" i="3"/>
  <c r="AF23" i="3"/>
  <c r="J14" i="3"/>
  <c r="AF14" i="3"/>
  <c r="AH15" i="10"/>
  <c r="AC15" i="10" s="1"/>
  <c r="J15" i="10" s="1"/>
  <c r="AI15" i="10"/>
  <c r="AJ15" i="10"/>
  <c r="AH71" i="10"/>
  <c r="AJ71" i="10"/>
  <c r="AI71" i="10"/>
  <c r="AJ59" i="10"/>
  <c r="AH59" i="10"/>
  <c r="AI59" i="10"/>
  <c r="AC52" i="10"/>
  <c r="K52" i="10" s="1"/>
  <c r="AC10" i="10"/>
  <c r="J10" i="10" s="1"/>
  <c r="AJ52" i="10"/>
  <c r="AJ64" i="1"/>
  <c r="AC64" i="1" s="1"/>
  <c r="K64" i="1" s="1"/>
  <c r="AC68" i="1"/>
  <c r="AC71" i="1"/>
  <c r="L71" i="1" s="1"/>
  <c r="Q67" i="1" s="1"/>
  <c r="AN68" i="1"/>
  <c r="AF61" i="1"/>
  <c r="AH58" i="1"/>
  <c r="AI58" i="1" s="1"/>
  <c r="AC58" i="1" s="1"/>
  <c r="H58" i="1" s="1"/>
  <c r="AJ47" i="1"/>
  <c r="AH47" i="1"/>
  <c r="AI47" i="1"/>
  <c r="I25" i="7"/>
  <c r="I24" i="7"/>
  <c r="AB28" i="1"/>
  <c r="AD28" i="1"/>
  <c r="AF28" i="1"/>
  <c r="AH28" i="1"/>
  <c r="AE28" i="1"/>
  <c r="AG28" i="1"/>
  <c r="AE25" i="1"/>
  <c r="AB25" i="1"/>
  <c r="AD25" i="1"/>
  <c r="AF25" i="1"/>
  <c r="AH25" i="1"/>
  <c r="AG25" i="1"/>
  <c r="AE15" i="1"/>
  <c r="AF15" i="1" s="1"/>
  <c r="AG15" i="1" s="1"/>
  <c r="AD15" i="1"/>
  <c r="AD10" i="1"/>
  <c r="AE10" i="1" s="1"/>
  <c r="AI10" i="1"/>
  <c r="AG10" i="1"/>
  <c r="AH9" i="1"/>
  <c r="AB9" i="1"/>
  <c r="AD9" i="1"/>
  <c r="AE9" i="1"/>
  <c r="AF9" i="1"/>
  <c r="AG9" i="1"/>
  <c r="AF6" i="1"/>
  <c r="AG6" i="1"/>
  <c r="AD6" i="1"/>
  <c r="AE6" i="1"/>
  <c r="AB6" i="1"/>
  <c r="AA52" i="1"/>
  <c r="AB52" i="1" s="1"/>
  <c r="AE52" i="1" s="1"/>
  <c r="N14" i="6"/>
  <c r="O14" i="6" s="1"/>
  <c r="N11" i="6"/>
  <c r="O11" i="6" s="1"/>
  <c r="N8" i="6"/>
  <c r="J25" i="3" l="1"/>
  <c r="J24" i="3"/>
  <c r="J10" i="3"/>
  <c r="J11" i="3"/>
  <c r="AC59" i="10"/>
  <c r="AG52" i="10"/>
  <c r="AF10" i="10"/>
  <c r="J6" i="10"/>
  <c r="J12" i="10" s="1"/>
  <c r="J28" i="10"/>
  <c r="J9" i="10"/>
  <c r="AC71" i="10"/>
  <c r="Q56" i="10"/>
  <c r="Q68" i="10"/>
  <c r="J25" i="10"/>
  <c r="AG64" i="1"/>
  <c r="AG71" i="1"/>
  <c r="AG61" i="1"/>
  <c r="AC47" i="1"/>
  <c r="AG47" i="1" s="1"/>
  <c r="D30" i="7"/>
  <c r="C30" i="7"/>
  <c r="O29" i="7" s="1"/>
  <c r="H28" i="7"/>
  <c r="J28" i="7"/>
  <c r="I31" i="7"/>
  <c r="J31" i="7"/>
  <c r="Q11" i="6"/>
  <c r="AK28" i="1"/>
  <c r="AI28" i="1"/>
  <c r="AQ28" i="1"/>
  <c r="AV28" i="1"/>
  <c r="AP28" i="1"/>
  <c r="AU28" i="1"/>
  <c r="AT28" i="1"/>
  <c r="AI25" i="1"/>
  <c r="AJ25" i="1" s="1"/>
  <c r="AP25" i="1"/>
  <c r="AV25" i="1"/>
  <c r="AT25" i="1"/>
  <c r="AU25" i="1"/>
  <c r="AQ25" i="1"/>
  <c r="AJ15" i="1"/>
  <c r="AI15" i="1"/>
  <c r="AH15" i="1"/>
  <c r="AH10" i="1"/>
  <c r="AC10" i="1" s="1"/>
  <c r="AI9" i="1"/>
  <c r="AK9" i="1" s="1"/>
  <c r="AV9" i="1"/>
  <c r="AU9" i="1"/>
  <c r="AT9" i="1"/>
  <c r="AQ9" i="1"/>
  <c r="AP9" i="1"/>
  <c r="AI6" i="1"/>
  <c r="AJ6" i="1" s="1"/>
  <c r="AR6" i="1" s="1"/>
  <c r="AV6" i="1"/>
  <c r="AQ6" i="1"/>
  <c r="AU6" i="1"/>
  <c r="AT6" i="1"/>
  <c r="AP6" i="1"/>
  <c r="O8" i="6"/>
  <c r="AI52" i="1"/>
  <c r="AK52" i="1"/>
  <c r="AF52" i="1"/>
  <c r="N5" i="6"/>
  <c r="O5" i="6" s="1"/>
  <c r="G40" i="1"/>
  <c r="K29" i="10" l="1"/>
  <c r="K35" i="10" s="1"/>
  <c r="U5" i="6"/>
  <c r="Q5" i="6"/>
  <c r="S5" i="6"/>
  <c r="R5" i="6"/>
  <c r="Y8" i="6"/>
  <c r="Z8" i="6" s="1"/>
  <c r="S8" i="6"/>
  <c r="T8" i="6"/>
  <c r="R8" i="6"/>
  <c r="Q8" i="6"/>
  <c r="AA8" i="6" s="1"/>
  <c r="AB8" i="6" s="1"/>
  <c r="J27" i="3"/>
  <c r="I28" i="3" s="1"/>
  <c r="J33" i="3"/>
  <c r="J35" i="3" s="1"/>
  <c r="J38" i="3" s="1"/>
  <c r="J39" i="3" s="1"/>
  <c r="J17" i="10"/>
  <c r="AA17" i="10" s="1"/>
  <c r="AB17" i="10" s="1"/>
  <c r="J16" i="10"/>
  <c r="AA16" i="10" s="1"/>
  <c r="AB16" i="10" s="1"/>
  <c r="AA13" i="10"/>
  <c r="AB13" i="10" s="1"/>
  <c r="L59" i="10"/>
  <c r="Q55" i="10" s="1"/>
  <c r="AG59" i="10"/>
  <c r="L71" i="10"/>
  <c r="Q67" i="10" s="1"/>
  <c r="AG71" i="10"/>
  <c r="K70" i="1"/>
  <c r="AA70" i="1" s="1"/>
  <c r="AB70" i="1" s="1"/>
  <c r="AH61" i="1"/>
  <c r="AC61" i="1" s="1"/>
  <c r="Q59" i="1" s="1"/>
  <c r="H31" i="7"/>
  <c r="K31" i="7" s="1"/>
  <c r="L31" i="7" s="1"/>
  <c r="K28" i="7"/>
  <c r="L28" i="7" s="1"/>
  <c r="AK5" i="6"/>
  <c r="AI5" i="6"/>
  <c r="AF5" i="6"/>
  <c r="AJ5" i="6"/>
  <c r="AD5" i="6"/>
  <c r="W11" i="6"/>
  <c r="U11" i="6"/>
  <c r="AL28" i="1"/>
  <c r="AO28" i="1" s="1"/>
  <c r="AM28" i="1"/>
  <c r="AW28" i="1"/>
  <c r="AJ28" i="1"/>
  <c r="AR25" i="1"/>
  <c r="AS25" i="1" s="1"/>
  <c r="AW25" i="1"/>
  <c r="AK25" i="1"/>
  <c r="AN25" i="1" s="1"/>
  <c r="AL25" i="1"/>
  <c r="AO25" i="1" s="1"/>
  <c r="AM25" i="1"/>
  <c r="AC15" i="1"/>
  <c r="J15" i="1" s="1"/>
  <c r="AJ9" i="1"/>
  <c r="AR9" i="1" s="1"/>
  <c r="AS9" i="1" s="1"/>
  <c r="AC9" i="1" s="1"/>
  <c r="J9" i="1" s="1"/>
  <c r="AW9" i="1"/>
  <c r="AF10" i="1"/>
  <c r="J10" i="1"/>
  <c r="AN9" i="1"/>
  <c r="AL9" i="1"/>
  <c r="AO9" i="1" s="1"/>
  <c r="AM9" i="1"/>
  <c r="AK6" i="1"/>
  <c r="AW6" i="1"/>
  <c r="AM6" i="1"/>
  <c r="AS6" i="1"/>
  <c r="AL6" i="1"/>
  <c r="AO6" i="1" s="1"/>
  <c r="AJ52" i="1"/>
  <c r="AC52" i="1" s="1"/>
  <c r="K52" i="1" s="1"/>
  <c r="AC5" i="6" l="1"/>
  <c r="T5" i="6"/>
  <c r="AA29" i="10"/>
  <c r="AB29" i="10" s="1"/>
  <c r="V5" i="6"/>
  <c r="U29" i="6"/>
  <c r="U30" i="6"/>
  <c r="P8" i="6"/>
  <c r="AG13" i="10"/>
  <c r="AG16" i="10"/>
  <c r="AH16" i="10" s="1"/>
  <c r="K38" i="10"/>
  <c r="AA35" i="10"/>
  <c r="Q58" i="10"/>
  <c r="AA55" i="10"/>
  <c r="AB55" i="10" s="1"/>
  <c r="AG17" i="10"/>
  <c r="AH17" i="10" s="1"/>
  <c r="AI17" i="10" s="1"/>
  <c r="Q70" i="10"/>
  <c r="AA67" i="10"/>
  <c r="AB67" i="10" s="1"/>
  <c r="AG70" i="1"/>
  <c r="Q70" i="1"/>
  <c r="AA67" i="1"/>
  <c r="AB67" i="1" s="1"/>
  <c r="O30" i="7"/>
  <c r="T30" i="7" s="1"/>
  <c r="U30" i="7" s="1"/>
  <c r="AL5" i="6"/>
  <c r="AN28" i="1"/>
  <c r="AR28" i="1"/>
  <c r="AS28" i="1" s="1"/>
  <c r="AC28" i="1" s="1"/>
  <c r="J28" i="1" s="1"/>
  <c r="AC25" i="1"/>
  <c r="J25" i="1" s="1"/>
  <c r="AC6" i="1"/>
  <c r="J6" i="1" s="1"/>
  <c r="J12" i="1" s="1"/>
  <c r="AA13" i="1" s="1"/>
  <c r="AB13" i="1" s="1"/>
  <c r="AN6" i="1"/>
  <c r="AG52" i="1"/>
  <c r="T14" i="6"/>
  <c r="R11" i="6"/>
  <c r="S11" i="6" s="1"/>
  <c r="V11" i="6" s="1"/>
  <c r="V8" i="6"/>
  <c r="Z30" i="7" l="1"/>
  <c r="W30" i="7"/>
  <c r="X30" i="7"/>
  <c r="Y30" i="7"/>
  <c r="AE30" i="7"/>
  <c r="AF30" i="7" s="1"/>
  <c r="W5" i="6"/>
  <c r="AA5" i="6" s="1"/>
  <c r="X5" i="6"/>
  <c r="AG5" i="6"/>
  <c r="AH5" i="6" s="1"/>
  <c r="Z5" i="6"/>
  <c r="AA38" i="10"/>
  <c r="K40" i="10"/>
  <c r="AA40" i="10" s="1"/>
  <c r="P71" i="10"/>
  <c r="AA73" i="10"/>
  <c r="AB35" i="10"/>
  <c r="AI16" i="10"/>
  <c r="AC16" i="10" s="1"/>
  <c r="K16" i="10" s="1"/>
  <c r="AC17" i="10"/>
  <c r="K17" i="10" s="1"/>
  <c r="AI55" i="10"/>
  <c r="AH13" i="10"/>
  <c r="AI67" i="10"/>
  <c r="P59" i="10"/>
  <c r="AA61" i="10"/>
  <c r="P71" i="1"/>
  <c r="AA73" i="1"/>
  <c r="AH70" i="1"/>
  <c r="AI70" i="1" s="1"/>
  <c r="AC70" i="1" s="1"/>
  <c r="H70" i="1" s="1"/>
  <c r="AI67" i="1"/>
  <c r="J16" i="1"/>
  <c r="AA16" i="1" s="1"/>
  <c r="AB16" i="1" s="1"/>
  <c r="AG16" i="1" s="1"/>
  <c r="AH16" i="1" s="1"/>
  <c r="AI16" i="1" s="1"/>
  <c r="K29" i="1"/>
  <c r="AA29" i="1" s="1"/>
  <c r="AG13" i="1"/>
  <c r="AH13" i="1" s="1"/>
  <c r="J17" i="1"/>
  <c r="AA17" i="1" s="1"/>
  <c r="AB17" i="1" s="1"/>
  <c r="AG17" i="1" s="1"/>
  <c r="AH17" i="1" s="1"/>
  <c r="AI17" i="1" s="1"/>
  <c r="P11" i="6"/>
  <c r="E11" i="6" s="1"/>
  <c r="N20" i="6" s="1"/>
  <c r="O20" i="6" s="1"/>
  <c r="U14" i="6"/>
  <c r="V14" i="6" s="1"/>
  <c r="W8" i="6"/>
  <c r="AG30" i="7" l="1"/>
  <c r="AH30" i="7" s="1"/>
  <c r="AB30" i="7"/>
  <c r="Y5" i="6"/>
  <c r="AC13" i="10"/>
  <c r="K13" i="10" s="1"/>
  <c r="H47" i="10" s="1"/>
  <c r="AA47" i="10" s="1"/>
  <c r="AB47" i="10" s="1"/>
  <c r="AI13" i="10"/>
  <c r="AB73" i="10"/>
  <c r="AC67" i="10"/>
  <c r="AJ55" i="10"/>
  <c r="AB61" i="10"/>
  <c r="AJ67" i="10"/>
  <c r="AK67" i="10" s="1"/>
  <c r="AB40" i="10"/>
  <c r="AB38" i="10"/>
  <c r="AB73" i="1"/>
  <c r="AD73" i="1" s="1"/>
  <c r="AE73" i="1"/>
  <c r="AJ67" i="1"/>
  <c r="AK67" i="1" s="1"/>
  <c r="AC17" i="1"/>
  <c r="K17" i="1" s="1"/>
  <c r="AI13" i="1"/>
  <c r="AC13" i="1" s="1"/>
  <c r="K13" i="1" s="1"/>
  <c r="AE29" i="1"/>
  <c r="AB29" i="1"/>
  <c r="AD29" i="1" s="1"/>
  <c r="X8" i="6"/>
  <c r="E8" i="6" s="1"/>
  <c r="N19" i="6" s="1"/>
  <c r="AC16" i="1"/>
  <c r="K16" i="1" s="1"/>
  <c r="T20" i="6"/>
  <c r="U20" i="6" s="1"/>
  <c r="P14" i="6"/>
  <c r="E14" i="6" s="1"/>
  <c r="N21" i="6" s="1"/>
  <c r="O21" i="6" s="1"/>
  <c r="T11" i="6"/>
  <c r="AA30" i="7" l="1"/>
  <c r="V30" i="7" s="1"/>
  <c r="O31" i="7" s="1"/>
  <c r="AD30" i="7"/>
  <c r="AC30" i="7"/>
  <c r="AB5" i="6"/>
  <c r="P5" i="6"/>
  <c r="E5" i="6" s="1"/>
  <c r="N18" i="6" s="1"/>
  <c r="O18" i="6" s="1"/>
  <c r="Q18" i="6" s="1"/>
  <c r="AE47" i="10"/>
  <c r="AF47" i="10" s="1"/>
  <c r="AD47" i="10"/>
  <c r="L29" i="10"/>
  <c r="AK55" i="10"/>
  <c r="AC55" i="10" s="1"/>
  <c r="AC67" i="1"/>
  <c r="AF73" i="1"/>
  <c r="AG73" i="1" s="1"/>
  <c r="AH73" i="1" s="1"/>
  <c r="U19" i="6"/>
  <c r="O19" i="6"/>
  <c r="AG19" i="6" s="1"/>
  <c r="R19" i="6"/>
  <c r="T19" i="6"/>
  <c r="Q19" i="6"/>
  <c r="S19" i="6"/>
  <c r="AF29" i="1"/>
  <c r="Q21" i="6"/>
  <c r="R21" i="6" s="1"/>
  <c r="U21" i="6" s="1"/>
  <c r="P21" i="6" s="1"/>
  <c r="V21" i="6"/>
  <c r="T21" i="6"/>
  <c r="V20" i="6"/>
  <c r="P20" i="6" s="1"/>
  <c r="H11" i="6" s="1"/>
  <c r="R18" i="6" l="1"/>
  <c r="V19" i="6"/>
  <c r="Z19" i="6" s="1"/>
  <c r="AH19" i="6"/>
  <c r="AD19" i="6"/>
  <c r="AI19" i="6"/>
  <c r="AC19" i="6"/>
  <c r="L35" i="10"/>
  <c r="H40" i="10"/>
  <c r="AJ47" i="10"/>
  <c r="AI47" i="10"/>
  <c r="AH47" i="10"/>
  <c r="Q59" i="10"/>
  <c r="AC73" i="1"/>
  <c r="Q71" i="1" s="1"/>
  <c r="AG29" i="1"/>
  <c r="AH29" i="1" s="1"/>
  <c r="AI29" i="1" s="1"/>
  <c r="S21" i="6"/>
  <c r="H14" i="6"/>
  <c r="S18" i="6"/>
  <c r="W19" i="6" l="1"/>
  <c r="AE19" i="6" s="1"/>
  <c r="AF19" i="6" s="1"/>
  <c r="X19" i="6"/>
  <c r="AJ19" i="6"/>
  <c r="AC47" i="10"/>
  <c r="Q71" i="10"/>
  <c r="AC29" i="1"/>
  <c r="L29" i="1" s="1"/>
  <c r="T18" i="6"/>
  <c r="U18" i="6" s="1"/>
  <c r="P18" i="6" s="1"/>
  <c r="H5" i="6" s="1"/>
  <c r="L38" i="10" l="1"/>
  <c r="AA19" i="6"/>
  <c r="Y19" i="6"/>
  <c r="AB19" i="6" s="1"/>
  <c r="P19" i="6"/>
  <c r="H8" i="6" s="1"/>
  <c r="K47" i="10"/>
  <c r="AG47" i="10"/>
  <c r="AA56" i="1"/>
  <c r="AB56" i="1" s="1"/>
  <c r="K58" i="10" l="1"/>
  <c r="AA58" i="10" s="1"/>
  <c r="AB58" i="10" s="1"/>
  <c r="K70" i="10"/>
  <c r="AA70" i="10" s="1"/>
  <c r="AB70" i="10" s="1"/>
  <c r="AI56" i="1"/>
  <c r="AJ56" i="1" s="1"/>
  <c r="K35" i="1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G70" i="10" l="1"/>
  <c r="AG58" i="10"/>
  <c r="K38" i="1"/>
  <c r="AA35" i="1"/>
  <c r="AN56" i="1"/>
  <c r="AK56" i="1"/>
  <c r="AC56" i="1" s="1"/>
  <c r="H47" i="1"/>
  <c r="L31" i="1"/>
  <c r="AH58" i="10" l="1"/>
  <c r="AH70" i="10"/>
  <c r="AA38" i="1"/>
  <c r="AB38" i="1" s="1"/>
  <c r="K40" i="1"/>
  <c r="AA40" i="1" s="1"/>
  <c r="AE35" i="1"/>
  <c r="AB35" i="1"/>
  <c r="AC58" i="10" l="1"/>
  <c r="H58" i="10" s="1"/>
  <c r="AI58" i="10"/>
  <c r="AI70" i="10"/>
  <c r="AC70" i="10" s="1"/>
  <c r="H70" i="10" s="1"/>
  <c r="AE38" i="1"/>
  <c r="AE40" i="1"/>
  <c r="AB40" i="1"/>
  <c r="AD40" i="1" s="1"/>
  <c r="AF40" i="1" s="1"/>
  <c r="AD35" i="1"/>
  <c r="AD38" i="1"/>
  <c r="AG40" i="1" l="1"/>
  <c r="AH40" i="1" s="1"/>
  <c r="AF35" i="1"/>
  <c r="AG35" i="1" s="1"/>
  <c r="AF38" i="1"/>
  <c r="AG38" i="1" s="1"/>
  <c r="AH38" i="1" s="1"/>
  <c r="AC38" i="1" s="1"/>
  <c r="L38" i="1" s="1"/>
  <c r="AC40" i="1" l="1"/>
  <c r="H40" i="1" s="1"/>
  <c r="AH35" i="1"/>
  <c r="AC35" i="1" s="1"/>
  <c r="L35" i="1" s="1"/>
  <c r="AI38" i="1"/>
  <c r="AI35" i="1" l="1"/>
  <c r="AB59" i="1" l="1"/>
  <c r="AD59" i="1" s="1"/>
  <c r="AJ59" i="1" l="1"/>
  <c r="AH59" i="1"/>
  <c r="AE59" i="1"/>
  <c r="AF59" i="1" s="1"/>
  <c r="AI59" i="1" l="1"/>
  <c r="AC59" i="1" s="1"/>
  <c r="AG59" i="1" l="1"/>
  <c r="AA55" i="1" l="1"/>
  <c r="AB55" i="1" s="1"/>
  <c r="AI55" i="1" l="1"/>
  <c r="AJ55" i="1" l="1"/>
  <c r="AK55" i="1" s="1"/>
  <c r="AC55" i="1" s="1"/>
</calcChain>
</file>

<file path=xl/comments1.xml><?xml version="1.0" encoding="utf-8"?>
<comments xmlns="http://schemas.openxmlformats.org/spreadsheetml/2006/main">
  <authors>
    <author>FAGES Pierre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FAGES Pierre:
                                               LA MERIDIENNE:
                                              -----------------------</t>
        </r>
        <r>
          <rPr>
            <sz val="9"/>
            <color indexed="81"/>
            <rFont val="Tahoma"/>
            <family val="2"/>
          </rPr>
          <t xml:space="preserve">
Le soleil est 'presque fixe' et la terre tourne
le soleil est a son apogee quand il est en face -&gt; c'est la meridienne
le decalage / greenwitch donne la longitude directement
Attention l'apogee duree longtemps trouver l'heure es impossible il faut faire un interval
par contre la hauteur est fiable (la declinaison du soleil)
donc 
   - pour l'angle de culmination on prend autour de l'heure de l'apogee sans souscis
   - pour l'heure de l'apogee il faut faire par interval, ex: 1h avant / 1h aprezs avec la MEME hauteur
                 la moyenne des deux donne l'heure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Code couleur
   - Cyan: le titre de l'entree
   - Vert: champs a remplir
   - rose: element de calcul pour contrôle visuel (ex angle / heure)
   - Violet resultat de calcul et reponse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Valeur lues sur le limbe pour que les images coincides (dans les calcul cela sera SOUSTRAIT)
Mettre directement la valeur lu sur le sextan
</t>
        </r>
      </text>
    </comment>
  </commentList>
</comments>
</file>

<file path=xl/comments2.xml><?xml version="1.0" encoding="utf-8"?>
<comments xmlns="http://schemas.openxmlformats.org/spreadsheetml/2006/main">
  <authors>
    <author>FAGES Pierre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FAGES Pierre:
                                               LA MERIDIENNE:
                                              -----------------------</t>
        </r>
        <r>
          <rPr>
            <sz val="9"/>
            <color indexed="81"/>
            <rFont val="Tahoma"/>
            <family val="2"/>
          </rPr>
          <t xml:space="preserve">
Le soleil est 'presque fixe' et la terre tourne
le soleil est a son apogee quand il est en face -&gt; c'est la meridienne
le decalage / greenwitch donne la longitude directement
Attention l'apogee duree longtemps trouver l'heure es impossible il faut faire un interval
par contre la hauteur est fiable (la declinaison du soleil)
donc 
   - pour l'angle de culmination on prend autour de l'heure de l'apogee sans souscis
   - pour l'heure de l'apogee il faut faire par interval, ex: 1h avant / 1h aprezs avec la MEME hauteur
                 la moyenne des deux donne l'heure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Code couleur
   - Cyan: le titre de l'entree
   - Vert: champs a remplir
   - rose: element de calcul pour contrôle visuel (ex angle / heure)
   - Violet resultat de calcul et reponse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Valeur lues sur le limbe pour que les images coincides (dans les calcul cela sera SOUSTRAIT)
Mettre directement la valeur lu sur le sextan
</t>
        </r>
      </text>
    </comment>
  </commentList>
</comments>
</file>

<file path=xl/comments3.xml><?xml version="1.0" encoding="utf-8"?>
<comments xmlns="http://schemas.openxmlformats.org/spreadsheetml/2006/main">
  <authors>
    <author>FAGES Pierre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FAGES Pierre:
                                               LA Droite de Hauteur
                                              -----------------------</t>
        </r>
        <r>
          <rPr>
            <sz val="9"/>
            <color indexed="81"/>
            <rFont val="Tahoma"/>
            <family val="2"/>
          </rPr>
          <t xml:space="preserve">
A partir des informations données dans les Ephémérides, on calcule la position précise de l'astre à l'heure TU de l'observation.
Cette position est aussi celle de </t>
        </r>
        <r>
          <rPr>
            <b/>
            <sz val="9"/>
            <color indexed="81"/>
            <rFont val="Tahoma"/>
            <family val="2"/>
          </rPr>
          <t>Pg, point de la Terre situé exactement à la verticale de l'astre.</t>
        </r>
        <r>
          <rPr>
            <sz val="9"/>
            <color indexed="81"/>
            <rFont val="Tahoma"/>
            <family val="2"/>
          </rPr>
          <t xml:space="preserve">
La position de Pg est ainsi connue :
- en latitude (</t>
        </r>
        <r>
          <rPr>
            <b/>
            <sz val="9"/>
            <color indexed="81"/>
            <rFont val="Tahoma"/>
            <family val="2"/>
          </rPr>
          <t>appelée Déclinaison D)</t>
        </r>
        <r>
          <rPr>
            <sz val="9"/>
            <color indexed="81"/>
            <rFont val="Tahoma"/>
            <family val="2"/>
          </rPr>
          <t xml:space="preserve">
- et en longitude</t>
        </r>
        <r>
          <rPr>
            <b/>
            <sz val="9"/>
            <color indexed="81"/>
            <rFont val="Tahoma"/>
            <family val="2"/>
          </rPr>
          <t xml:space="preserve"> (appelée Angle Horaire AH).
</t>
        </r>
        <r>
          <rPr>
            <sz val="9"/>
            <color indexed="81"/>
            <rFont val="Tahoma"/>
            <family val="2"/>
          </rPr>
          <t xml:space="preserve">La valeur de l'angle H mesuré au sextant permet de déterminer exactement la distance Dz qui sépare l'observateur du point Pg : </t>
        </r>
        <r>
          <rPr>
            <b/>
            <sz val="9"/>
            <color indexed="81"/>
            <rFont val="Tahoma"/>
            <family val="2"/>
          </rPr>
          <t>Dz = 90° – H</t>
        </r>
        <r>
          <rPr>
            <sz val="9"/>
            <color indexed="81"/>
            <rFont val="Tahoma"/>
            <family val="2"/>
          </rPr>
          <t xml:space="preserve">
On sait désormais que l'on se trouve exactement à la distance Dz de Pg,  sur un cercle dont le centre est Pg et le rayon Dz.
La différence entre la distance mesurée et la distance calculée est </t>
        </r>
        <r>
          <rPr>
            <b/>
            <sz val="9"/>
            <color indexed="81"/>
            <rFont val="Tahoma"/>
            <family val="2"/>
          </rPr>
          <t>l'intercept.</t>
        </r>
        <r>
          <rPr>
            <sz val="9"/>
            <color indexed="81"/>
            <rFont val="Tahoma"/>
            <family val="2"/>
          </rPr>
          <t xml:space="preserve">
La valeur de l'intercept est aussi égale à la différence entre la hauteur mesurée au sextant et la hauteur calculée par la trigonométrie.
D'autre part, on calcule aussi la direction dans laquelle se situe Pg par rapport à Pc. Cette direction est </t>
        </r>
        <r>
          <rPr>
            <b/>
            <sz val="9"/>
            <color indexed="81"/>
            <rFont val="Tahoma"/>
            <family val="2"/>
          </rPr>
          <t xml:space="preserve">l'azimut.
</t>
        </r>
        <r>
          <rPr>
            <sz val="9"/>
            <color indexed="81"/>
            <rFont val="Tahoma"/>
            <family val="2"/>
          </rPr>
          <t>Pour obtenir la position, il faut faire un tracé sur la carte de la zone ou on navigue :
- A partir du point de calcul Pc, on trace l'azimut calculé (direction de l'astre visé)
- Sur cet azimut, on porte l'intercept (qui peut être vers l'astre ou opposé à l'astre)
- Par le nouveau point ainsi obtenu, on trace la perpendiculaire à l'azimut.</t>
        </r>
        <r>
          <rPr>
            <b/>
            <sz val="9"/>
            <color indexed="81"/>
            <rFont val="Tahoma"/>
            <family val="2"/>
          </rPr>
          <t xml:space="preserve">
C'est la Droite de Hauteur.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Code couleur
   - Cyan: le titre de l'entree
   - Vert: champs a remplir
   - rose: element de calcul pour contrôle visuel (ex angle / heure)
   - Violet resultat de calcul et reponse
</t>
        </r>
      </text>
    </comment>
  </commentList>
</comments>
</file>

<file path=xl/sharedStrings.xml><?xml version="1.0" encoding="utf-8"?>
<sst xmlns="http://schemas.openxmlformats.org/spreadsheetml/2006/main" count="409" uniqueCount="198">
  <si>
    <t>°</t>
  </si>
  <si>
    <t>Sens latitude</t>
  </si>
  <si>
    <t>N</t>
  </si>
  <si>
    <t>S</t>
  </si>
  <si>
    <t>x</t>
  </si>
  <si>
    <t>W</t>
  </si>
  <si>
    <t>E</t>
  </si>
  <si>
    <t>Sens longitude</t>
  </si>
  <si>
    <t>MERIDIENNE</t>
  </si>
  <si>
    <t>Position estimée</t>
  </si>
  <si>
    <t>L</t>
  </si>
  <si>
    <t>G</t>
  </si>
  <si>
    <t>Heure</t>
  </si>
  <si>
    <t>h</t>
  </si>
  <si>
    <t>Mesure realisées</t>
  </si>
  <si>
    <t>Angle a l'apogee</t>
  </si>
  <si>
    <t>Serie 1</t>
  </si>
  <si>
    <t>Montee</t>
  </si>
  <si>
    <t>Descente</t>
  </si>
  <si>
    <t>Serie 2</t>
  </si>
  <si>
    <t>Erreur instrumentale</t>
  </si>
  <si>
    <t>Hi</t>
  </si>
  <si>
    <t>Correction totale additive / bord inf soleil</t>
  </si>
  <si>
    <t>Hi (degre)</t>
  </si>
  <si>
    <t>Elevation œil (m)</t>
  </si>
  <si>
    <t>Etoile</t>
  </si>
  <si>
    <t>m</t>
  </si>
  <si>
    <t>Erreur Instrumental</t>
  </si>
  <si>
    <t>+</t>
  </si>
  <si>
    <t>-</t>
  </si>
  <si>
    <t>Correction hauteur œil</t>
  </si>
  <si>
    <t>Correctionbord inf</t>
  </si>
  <si>
    <t>Bord Soleil</t>
  </si>
  <si>
    <t>Inferieur</t>
  </si>
  <si>
    <t>Superieur</t>
  </si>
  <si>
    <t>Non</t>
  </si>
  <si>
    <t>Oui</t>
  </si>
  <si>
    <r>
      <t>E</t>
    </r>
    <r>
      <rPr>
        <vertAlign val="subscript"/>
        <sz val="11"/>
        <color theme="1"/>
        <rFont val="Calibri"/>
        <family val="2"/>
        <scheme val="minor"/>
      </rPr>
      <t>oeil</t>
    </r>
  </si>
  <si>
    <r>
      <t>E</t>
    </r>
    <r>
      <rPr>
        <vertAlign val="subscript"/>
        <sz val="11"/>
        <color theme="1"/>
        <rFont val="Calibri"/>
        <family val="2"/>
        <scheme val="minor"/>
      </rPr>
      <t>bord soleil</t>
    </r>
  </si>
  <si>
    <t>==&gt; Heure estimée de culmination a ma longitude</t>
  </si>
  <si>
    <t>Latitude de la meridienne</t>
  </si>
  <si>
    <t>LATITUDE MERIDIENNE</t>
  </si>
  <si>
    <t>Longitude de la meridienne</t>
  </si>
  <si>
    <t>Longitude Meridienne</t>
  </si>
  <si>
    <t>Calculs</t>
  </si>
  <si>
    <t>Latitude =</t>
  </si>
  <si>
    <t>isSexadecimale</t>
  </si>
  <si>
    <t>IsSemiDecimale</t>
  </si>
  <si>
    <t>IsDecimale</t>
  </si>
  <si>
    <t>hasDoubleQuote</t>
  </si>
  <si>
    <t>HasSimpleQuote</t>
  </si>
  <si>
    <t>HasDegre</t>
  </si>
  <si>
    <t>isSexaValide</t>
  </si>
  <si>
    <t>isSemiDecimalValid</t>
  </si>
  <si>
    <t>isDecimalValid</t>
  </si>
  <si>
    <t>valeur</t>
  </si>
  <si>
    <t>,</t>
  </si>
  <si>
    <t>.</t>
  </si>
  <si>
    <t>Separator regional</t>
  </si>
  <si>
    <t>semi sexa</t>
  </si>
  <si>
    <t>decimal</t>
  </si>
  <si>
    <t>sexa</t>
  </si>
  <si>
    <t>HasDegreAtLast</t>
  </si>
  <si>
    <t>HasQuoteAtLast</t>
  </si>
  <si>
    <t>2°54.23'</t>
  </si>
  <si>
    <t>10°45.2</t>
  </si>
  <si>
    <t>==&gt; Heure des mesures proposees +/-</t>
  </si>
  <si>
    <t>H</t>
  </si>
  <si>
    <t>Hauteur soleil a retrouver</t>
  </si>
  <si>
    <t>H estimée</t>
  </si>
  <si>
    <t>H trouvee</t>
  </si>
  <si>
    <t>Interval estimé pour les meusure de hauteur</t>
  </si>
  <si>
    <t>interval</t>
  </si>
  <si>
    <t>Ho</t>
  </si>
  <si>
    <t>0°03'</t>
  </si>
  <si>
    <t>63°07'</t>
  </si>
  <si>
    <t>Hc (Hauteur corrigee)</t>
  </si>
  <si>
    <t>Angle quelconque vers angle decimal</t>
  </si>
  <si>
    <t>Angle decimal ver angle semi sexagedecimal</t>
  </si>
  <si>
    <t>heure quelconque vers heure decimale</t>
  </si>
  <si>
    <t>heure decimale vers heure</t>
  </si>
  <si>
    <t>23°25'</t>
  </si>
  <si>
    <t>Culmination GreenWitch</t>
  </si>
  <si>
    <t>Declinaison</t>
  </si>
  <si>
    <t>Heure UTC</t>
  </si>
  <si>
    <t>Hv (Hauteur Vraie)</t>
  </si>
  <si>
    <t>Distance Zenithale (dz)</t>
  </si>
  <si>
    <t>Ei (ou Ho)</t>
  </si>
  <si>
    <t>Heure Culmination estimée:</t>
  </si>
  <si>
    <t>valeur a traiter</t>
  </si>
  <si>
    <t>isSemeSansQuote</t>
  </si>
  <si>
    <t>Position ':'</t>
  </si>
  <si>
    <t>Position second ':'</t>
  </si>
  <si>
    <t>14.8886</t>
  </si>
  <si>
    <t>Heure Culmination =</t>
  </si>
  <si>
    <t>T. Pass Greenwitch</t>
  </si>
  <si>
    <t>Longitude en temps</t>
  </si>
  <si>
    <t xml:space="preserve">Longitude  </t>
  </si>
  <si>
    <t>10:05:11</t>
  </si>
  <si>
    <t>14:15:33</t>
  </si>
  <si>
    <t>12:01:10</t>
  </si>
  <si>
    <t xml:space="preserve">==&gt; </t>
  </si>
  <si>
    <t>y</t>
  </si>
  <si>
    <t>REGION ('.' -&gt; ',')</t>
  </si>
  <si>
    <t>Resultat local</t>
  </si>
  <si>
    <t>Checker</t>
  </si>
  <si>
    <t>Suppression du '°'</t>
  </si>
  <si>
    <t>Degre</t>
  </si>
  <si>
    <t>Minutes</t>
  </si>
  <si>
    <t>secondes</t>
  </si>
  <si>
    <t>Has second ':'</t>
  </si>
  <si>
    <t>Checkers</t>
  </si>
  <si>
    <t>h (=Greenwitch + G/15)</t>
  </si>
  <si>
    <t>Has ':'</t>
  </si>
  <si>
    <t>0:30</t>
  </si>
  <si>
    <t>0:15</t>
  </si>
  <si>
    <t xml:space="preserve">Hauteur œil: </t>
  </si>
  <si>
    <t>valeur attendue</t>
  </si>
  <si>
    <t>valeur inf</t>
  </si>
  <si>
    <t>valeur sup</t>
  </si>
  <si>
    <t>Colone offset de la cellule qui match la hauteur de l'œil</t>
  </si>
  <si>
    <t>Ligne offset cellule qui match la hauteur instrumentale</t>
  </si>
  <si>
    <t>Ligne</t>
  </si>
  <si>
    <t>colone</t>
  </si>
  <si>
    <t>min</t>
  </si>
  <si>
    <t>max</t>
  </si>
  <si>
    <t>Regle de 3 sur la hauteur de l'œil</t>
  </si>
  <si>
    <t>Baricentre</t>
  </si>
  <si>
    <t>Hauteur oeil2</t>
  </si>
  <si>
    <t>Hauteur Oeil1</t>
  </si>
  <si>
    <t>Start Zone donnees</t>
  </si>
  <si>
    <t>Hauteur Instrumentale</t>
  </si>
  <si>
    <t>baricentre</t>
  </si>
  <si>
    <t>Valeur</t>
  </si>
  <si>
    <t>Regle de 3 sur Hi</t>
  </si>
  <si>
    <t>&lt;=====</t>
  </si>
  <si>
    <t>&lt;=== Calculs dans Sheet 'Correction Hauteur Œil'</t>
  </si>
  <si>
    <t>9:05</t>
  </si>
  <si>
    <t>15:21:22</t>
  </si>
  <si>
    <t>Droite hauteur Lune</t>
  </si>
  <si>
    <t>Date</t>
  </si>
  <si>
    <t>18/06/1996</t>
  </si>
  <si>
    <t>10:52:11</t>
  </si>
  <si>
    <t>Loch</t>
  </si>
  <si>
    <t>milles</t>
  </si>
  <si>
    <t>Cap</t>
  </si>
  <si>
    <t>260°</t>
  </si>
  <si>
    <t>Droite de hauteur</t>
  </si>
  <si>
    <t xml:space="preserve">AHvo (Angle Horaire soleil [AH]) </t>
  </si>
  <si>
    <t>AHL (Angle Horaire Local) = AH - G</t>
  </si>
  <si>
    <t>Hc (Hauteur calculee)</t>
  </si>
  <si>
    <t>D (Declinaison du soleil)</t>
  </si>
  <si>
    <t>arcsin( sin(D) * sin (L) + cos(D) * cos (AHL) * cos(L) )</t>
  </si>
  <si>
    <t>Hi (Hauteur instrumentale)</t>
  </si>
  <si>
    <t>Corrections</t>
  </si>
  <si>
    <t>Hv (Hauteur vraie)</t>
  </si>
  <si>
    <t>Hv - Hc</t>
  </si>
  <si>
    <t>I (Intercept)</t>
  </si>
  <si>
    <t>Z(Azimut)</t>
  </si>
  <si>
    <t>arccos( (sin(D) - sin (L) * sin (Hc)) / (cos (L) * cos (Hc)))</t>
  </si>
  <si>
    <t>Ex de table</t>
  </si>
  <si>
    <t>AHvo</t>
  </si>
  <si>
    <t>Var AHvo</t>
  </si>
  <si>
    <t>Déc</t>
  </si>
  <si>
    <t>Var Dec</t>
  </si>
  <si>
    <t>177°1.9'</t>
  </si>
  <si>
    <t>15.002°</t>
  </si>
  <si>
    <t>S 6°36.0'</t>
  </si>
  <si>
    <t>-0.96'</t>
  </si>
  <si>
    <t>D</t>
  </si>
  <si>
    <t>Reference</t>
  </si>
  <si>
    <t>Heure meusure</t>
  </si>
  <si>
    <t>15:24:04</t>
  </si>
  <si>
    <t>00:00:00</t>
  </si>
  <si>
    <t>6°36.0'</t>
  </si>
  <si>
    <t>Ahvo</t>
  </si>
  <si>
    <t>AHL</t>
  </si>
  <si>
    <t>2°53'</t>
  </si>
  <si>
    <t>47°29'</t>
  </si>
  <si>
    <t>Hc</t>
  </si>
  <si>
    <t>HasSimpleQuoteAtLast</t>
  </si>
  <si>
    <t>HasDoubleQuoteAtLast</t>
  </si>
  <si>
    <t>value</t>
  </si>
  <si>
    <t>Secondes</t>
  </si>
  <si>
    <t>0.96'</t>
  </si>
  <si>
    <t>0.23°</t>
  </si>
  <si>
    <t>isMinuteDecimalValid</t>
  </si>
  <si>
    <t>decimal min</t>
  </si>
  <si>
    <t>° -&gt; rad</t>
  </si>
  <si>
    <t>rad</t>
  </si>
  <si>
    <t>22°59'</t>
  </si>
  <si>
    <t>Hoeil</t>
  </si>
  <si>
    <t>2m</t>
  </si>
  <si>
    <t>Hv</t>
  </si>
  <si>
    <t>Mille Nautique</t>
  </si>
  <si>
    <t>I</t>
  </si>
  <si>
    <t>Z</t>
  </si>
  <si>
    <t>AHL &lt; 180°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</si>
</sst>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EFB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BDB8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fgColor theme="0"/>
        <bgColor theme="9" tint="0.39997558519241921"/>
      </patternFill>
    </fill>
    <fill>
      <patternFill patternType="lightUp">
        <fgColor theme="0"/>
        <bgColor rgb="FF92D050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B2B2B2"/>
      </top>
      <bottom style="thin">
        <color rgb="FFB2B2B2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13" applyNumberFormat="0" applyAlignment="0" applyProtection="0"/>
    <xf numFmtId="0" fontId="7" fillId="13" borderId="14" applyNumberFormat="0" applyFont="0" applyAlignment="0" applyProtection="0"/>
    <xf numFmtId="0" fontId="14" fillId="20" borderId="0" applyNumberFormat="0" applyBorder="0" applyAlignment="0" applyProtection="0"/>
    <xf numFmtId="9" fontId="7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3" borderId="0" xfId="0" applyFill="1" applyProtection="1">
      <protection locked="0"/>
    </xf>
    <xf numFmtId="0" fontId="0" fillId="0" borderId="0" xfId="0" quotePrefix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3" fillId="0" borderId="5" xfId="0" applyFont="1" applyBorder="1" applyProtection="1">
      <protection locked="0"/>
    </xf>
    <xf numFmtId="0" fontId="0" fillId="6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8" borderId="0" xfId="0" quotePrefix="1" applyFill="1" applyProtection="1">
      <protection locked="0"/>
    </xf>
    <xf numFmtId="0" fontId="0" fillId="8" borderId="0" xfId="0" applyFill="1" applyProtection="1"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0" fillId="0" borderId="0" xfId="0" quotePrefix="1" applyFill="1" applyBorder="1" applyProtection="1"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3" fillId="0" borderId="0" xfId="0" applyFont="1" applyFill="1" applyProtection="1"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 textRotation="255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0" borderId="0" xfId="0" quotePrefix="1" applyFill="1" applyProtection="1"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8" fillId="11" borderId="0" xfId="2" applyProtection="1">
      <protection locked="0"/>
    </xf>
    <xf numFmtId="0" fontId="9" fillId="12" borderId="13" xfId="3"/>
    <xf numFmtId="0" fontId="9" fillId="12" borderId="13" xfId="3" applyProtection="1">
      <protection locked="0"/>
    </xf>
    <xf numFmtId="0" fontId="0" fillId="13" borderId="14" xfId="4" applyFont="1" applyProtection="1">
      <protection locked="0"/>
    </xf>
    <xf numFmtId="0" fontId="9" fillId="13" borderId="14" xfId="4" applyFont="1"/>
    <xf numFmtId="0" fontId="0" fillId="9" borderId="0" xfId="0" applyFill="1" applyAlignment="1" applyProtection="1">
      <alignment horizontal="right"/>
      <protection locked="0"/>
    </xf>
    <xf numFmtId="0" fontId="0" fillId="9" borderId="0" xfId="0" applyFill="1" applyProtection="1">
      <protection locked="0"/>
    </xf>
    <xf numFmtId="49" fontId="0" fillId="5" borderId="6" xfId="0" applyNumberFormat="1" applyFill="1" applyBorder="1" applyAlignment="1">
      <alignment horizontal="center"/>
    </xf>
    <xf numFmtId="49" fontId="0" fillId="5" borderId="7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Fill="1" applyAlignment="1" applyProtection="1">
      <alignment horizontal="right"/>
      <protection locked="0"/>
    </xf>
    <xf numFmtId="0" fontId="10" fillId="14" borderId="0" xfId="0" applyFont="1" applyFill="1" applyAlignment="1" applyProtection="1">
      <alignment horizontal="right"/>
      <protection locked="0"/>
    </xf>
    <xf numFmtId="0" fontId="0" fillId="0" borderId="5" xfId="0" applyFill="1" applyBorder="1" applyAlignment="1" applyProtection="1">
      <alignment horizontal="right"/>
      <protection locked="0"/>
    </xf>
    <xf numFmtId="0" fontId="0" fillId="0" borderId="5" xfId="0" applyFill="1" applyBorder="1" applyProtection="1">
      <protection locked="0"/>
    </xf>
    <xf numFmtId="0" fontId="0" fillId="0" borderId="5" xfId="0" quotePrefix="1" applyFill="1" applyBorder="1" applyProtection="1"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</xf>
    <xf numFmtId="0" fontId="0" fillId="8" borderId="0" xfId="0" applyFill="1" applyAlignment="1" applyProtection="1">
      <alignment horizontal="center"/>
      <protection locked="0"/>
    </xf>
    <xf numFmtId="0" fontId="0" fillId="3" borderId="7" xfId="0" applyFill="1" applyBorder="1" applyAlignment="1" applyProtection="1">
      <alignment vertical="center"/>
      <protection locked="0"/>
    </xf>
    <xf numFmtId="0" fontId="0" fillId="0" borderId="7" xfId="0" applyBorder="1" applyProtection="1">
      <protection locked="0"/>
    </xf>
    <xf numFmtId="0" fontId="0" fillId="0" borderId="7" xfId="0" applyFill="1" applyBorder="1" applyProtection="1"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0" fillId="14" borderId="0" xfId="0" applyFont="1" applyFill="1" applyBorder="1" applyAlignment="1" applyProtection="1">
      <alignment horizontal="left"/>
      <protection locked="0"/>
    </xf>
    <xf numFmtId="0" fontId="10" fillId="14" borderId="0" xfId="0" applyFont="1" applyFill="1" applyBorder="1" applyAlignment="1" applyProtection="1">
      <alignment horizontal="center"/>
      <protection locked="0"/>
    </xf>
    <xf numFmtId="0" fontId="0" fillId="3" borderId="4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0" fillId="14" borderId="0" xfId="0" quotePrefix="1" applyFont="1" applyFill="1" applyAlignment="1" applyProtection="1">
      <protection locked="0"/>
    </xf>
    <xf numFmtId="0" fontId="0" fillId="14" borderId="0" xfId="0" applyFill="1" applyProtection="1">
      <protection locked="0"/>
    </xf>
    <xf numFmtId="0" fontId="0" fillId="14" borderId="0" xfId="0" applyFill="1"/>
    <xf numFmtId="0" fontId="0" fillId="14" borderId="0" xfId="0" quotePrefix="1" applyFill="1" applyAlignment="1" applyProtection="1">
      <alignment horizontal="right"/>
      <protection locked="0"/>
    </xf>
    <xf numFmtId="0" fontId="0" fillId="15" borderId="0" xfId="0" applyFill="1" applyProtection="1">
      <protection locked="0"/>
    </xf>
    <xf numFmtId="0" fontId="0" fillId="0" borderId="0" xfId="0" quotePrefix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10" fillId="14" borderId="0" xfId="0" applyFont="1" applyFill="1" applyProtection="1">
      <protection locked="0"/>
    </xf>
    <xf numFmtId="0" fontId="10" fillId="14" borderId="0" xfId="0" applyFont="1" applyFill="1" applyBorder="1" applyProtection="1">
      <protection locked="0"/>
    </xf>
    <xf numFmtId="0" fontId="0" fillId="16" borderId="0" xfId="0" applyFill="1" applyBorder="1" applyProtection="1">
      <protection locked="0"/>
    </xf>
    <xf numFmtId="0" fontId="0" fillId="16" borderId="0" xfId="0" applyFill="1" applyBorder="1" applyAlignment="1" applyProtection="1">
      <alignment horizontal="left"/>
      <protection locked="0"/>
    </xf>
    <xf numFmtId="0" fontId="13" fillId="16" borderId="0" xfId="0" applyFont="1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49" fontId="0" fillId="5" borderId="4" xfId="0" applyNumberFormat="1" applyFill="1" applyBorder="1" applyAlignment="1" applyProtection="1">
      <alignment horizontal="center"/>
      <protection locked="0"/>
    </xf>
    <xf numFmtId="0" fontId="0" fillId="3" borderId="7" xfId="0" applyFill="1" applyBorder="1" applyProtection="1">
      <protection locked="0"/>
    </xf>
    <xf numFmtId="21" fontId="0" fillId="5" borderId="4" xfId="0" quotePrefix="1" applyNumberFormat="1" applyFill="1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18" borderId="18" xfId="0" applyFont="1" applyFill="1" applyBorder="1" applyProtection="1"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18" borderId="19" xfId="0" applyFont="1" applyFill="1" applyBorder="1" applyProtection="1">
      <protection locked="0"/>
    </xf>
    <xf numFmtId="0" fontId="0" fillId="18" borderId="19" xfId="0" applyFont="1" applyFill="1" applyBorder="1" applyAlignment="1" applyProtection="1">
      <alignment horizontal="right"/>
      <protection locked="0"/>
    </xf>
    <xf numFmtId="0" fontId="0" fillId="18" borderId="20" xfId="0" applyFont="1" applyFill="1" applyBorder="1" applyAlignment="1" applyProtection="1">
      <alignment horizontal="right"/>
      <protection locked="0"/>
    </xf>
    <xf numFmtId="0" fontId="0" fillId="18" borderId="18" xfId="0" applyFont="1" applyFill="1" applyBorder="1" applyAlignment="1" applyProtection="1">
      <alignment horizontal="center"/>
      <protection locked="0"/>
    </xf>
    <xf numFmtId="0" fontId="0" fillId="18" borderId="20" xfId="0" applyFont="1" applyFill="1" applyBorder="1" applyAlignment="1" applyProtection="1">
      <alignment horizontal="center"/>
      <protection locked="0"/>
    </xf>
    <xf numFmtId="0" fontId="0" fillId="17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  <xf numFmtId="0" fontId="0" fillId="5" borderId="0" xfId="0" applyFill="1"/>
    <xf numFmtId="21" fontId="0" fillId="5" borderId="0" xfId="0" quotePrefix="1" applyNumberFormat="1" applyFill="1" applyBorder="1" applyAlignment="1" applyProtection="1">
      <alignment horizontal="center"/>
      <protection locked="0"/>
    </xf>
    <xf numFmtId="0" fontId="0" fillId="19" borderId="21" xfId="0" applyFill="1" applyBorder="1"/>
    <xf numFmtId="0" fontId="0" fillId="19" borderId="22" xfId="0" applyFill="1" applyBorder="1" applyProtection="1">
      <protection locked="0"/>
    </xf>
    <xf numFmtId="0" fontId="0" fillId="19" borderId="22" xfId="0" applyFill="1" applyBorder="1" applyAlignment="1" applyProtection="1">
      <alignment horizontal="right"/>
      <protection locked="0"/>
    </xf>
    <xf numFmtId="0" fontId="0" fillId="19" borderId="23" xfId="0" applyFill="1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164" fontId="1" fillId="10" borderId="7" xfId="1" applyNumberFormat="1" applyFill="1" applyBorder="1" applyAlignment="1" applyProtection="1">
      <alignment vertical="center"/>
    </xf>
    <xf numFmtId="0" fontId="1" fillId="10" borderId="9" xfId="1" applyFill="1" applyBorder="1" applyAlignment="1" applyProtection="1">
      <alignment vertical="center"/>
    </xf>
    <xf numFmtId="0" fontId="8" fillId="11" borderId="4" xfId="2" applyBorder="1" applyProtection="1">
      <protection locked="0"/>
    </xf>
    <xf numFmtId="0" fontId="14" fillId="20" borderId="4" xfId="5" applyBorder="1" applyProtection="1">
      <protection locked="0"/>
    </xf>
    <xf numFmtId="0" fontId="1" fillId="2" borderId="4" xfId="1" applyBorder="1" applyProtection="1">
      <protection locked="0"/>
    </xf>
    <xf numFmtId="164" fontId="1" fillId="21" borderId="7" xfId="1" applyNumberFormat="1" applyFill="1" applyBorder="1" applyAlignment="1" applyProtection="1">
      <alignment vertical="center"/>
    </xf>
    <xf numFmtId="0" fontId="1" fillId="21" borderId="9" xfId="1" applyFill="1" applyBorder="1" applyAlignment="1" applyProtection="1">
      <alignment vertical="center"/>
    </xf>
    <xf numFmtId="0" fontId="1" fillId="2" borderId="4" xfId="1" applyBorder="1"/>
    <xf numFmtId="0" fontId="8" fillId="11" borderId="9" xfId="2" applyBorder="1" applyProtection="1">
      <protection locked="0"/>
    </xf>
    <xf numFmtId="0" fontId="14" fillId="20" borderId="9" xfId="5" applyBorder="1"/>
    <xf numFmtId="0" fontId="0" fillId="5" borderId="4" xfId="0" applyFill="1" applyBorder="1" applyProtection="1">
      <protection locked="0"/>
    </xf>
    <xf numFmtId="0" fontId="0" fillId="5" borderId="4" xfId="0" applyFill="1" applyBorder="1"/>
    <xf numFmtId="0" fontId="0" fillId="21" borderId="0" xfId="0" applyFill="1"/>
    <xf numFmtId="0" fontId="0" fillId="21" borderId="0" xfId="0" applyFill="1" applyProtection="1">
      <protection locked="0"/>
    </xf>
    <xf numFmtId="0" fontId="0" fillId="21" borderId="4" xfId="0" applyFill="1" applyBorder="1"/>
    <xf numFmtId="0" fontId="14" fillId="21" borderId="9" xfId="5" applyFill="1" applyBorder="1"/>
    <xf numFmtId="0" fontId="8" fillId="21" borderId="4" xfId="2" applyFill="1" applyBorder="1" applyProtection="1">
      <protection locked="0"/>
    </xf>
    <xf numFmtId="0" fontId="1" fillId="21" borderId="4" xfId="1" applyFill="1" applyBorder="1"/>
    <xf numFmtId="0" fontId="0" fillId="21" borderId="4" xfId="0" applyFill="1" applyBorder="1" applyProtection="1">
      <protection locked="0"/>
    </xf>
    <xf numFmtId="0" fontId="8" fillId="21" borderId="9" xfId="2" applyFill="1" applyBorder="1" applyProtection="1">
      <protection locked="0"/>
    </xf>
    <xf numFmtId="0" fontId="14" fillId="21" borderId="4" xfId="5" applyFill="1" applyBorder="1" applyProtection="1">
      <protection locked="0"/>
    </xf>
    <xf numFmtId="0" fontId="1" fillId="21" borderId="4" xfId="1" applyFill="1" applyBorder="1" applyProtection="1">
      <protection locked="0"/>
    </xf>
    <xf numFmtId="0" fontId="8" fillId="21" borderId="0" xfId="2" applyFill="1" applyProtection="1">
      <protection locked="0"/>
    </xf>
    <xf numFmtId="0" fontId="9" fillId="21" borderId="13" xfId="3" applyFill="1"/>
    <xf numFmtId="0" fontId="9" fillId="21" borderId="13" xfId="3" applyFill="1" applyProtection="1">
      <protection locked="0"/>
    </xf>
    <xf numFmtId="0" fontId="9" fillId="21" borderId="14" xfId="4" applyFont="1" applyFill="1"/>
    <xf numFmtId="0" fontId="0" fillId="21" borderId="14" xfId="4" applyFont="1" applyFill="1" applyProtection="1">
      <protection locked="0"/>
    </xf>
    <xf numFmtId="0" fontId="0" fillId="21" borderId="25" xfId="0" applyFill="1" applyBorder="1"/>
    <xf numFmtId="2" fontId="0" fillId="21" borderId="26" xfId="0" applyNumberFormat="1" applyFill="1" applyBorder="1"/>
    <xf numFmtId="2" fontId="0" fillId="21" borderId="27" xfId="0" applyNumberFormat="1" applyFill="1" applyBorder="1"/>
    <xf numFmtId="0" fontId="0" fillId="21" borderId="27" xfId="0" applyFill="1" applyBorder="1"/>
    <xf numFmtId="0" fontId="15" fillId="16" borderId="0" xfId="0" applyFont="1" applyFill="1" applyProtection="1">
      <protection locked="0"/>
    </xf>
    <xf numFmtId="0" fontId="15" fillId="16" borderId="0" xfId="0" applyFont="1" applyFill="1" applyAlignment="1" applyProtection="1">
      <alignment horizontal="left"/>
      <protection locked="0"/>
    </xf>
    <xf numFmtId="0" fontId="15" fillId="16" borderId="0" xfId="0" applyFont="1" applyFill="1"/>
    <xf numFmtId="20" fontId="0" fillId="5" borderId="4" xfId="0" quotePrefix="1" applyNumberFormat="1" applyFill="1" applyBorder="1" applyAlignment="1" applyProtection="1">
      <alignment horizontal="right"/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/>
      <protection locked="0"/>
    </xf>
    <xf numFmtId="0" fontId="0" fillId="0" borderId="4" xfId="0" applyBorder="1"/>
    <xf numFmtId="0" fontId="0" fillId="5" borderId="0" xfId="0" quotePrefix="1" applyFill="1"/>
    <xf numFmtId="9" fontId="0" fillId="0" borderId="4" xfId="6" applyFont="1" applyBorder="1"/>
    <xf numFmtId="2" fontId="0" fillId="5" borderId="4" xfId="0" applyNumberFormat="1" applyFill="1" applyBorder="1"/>
    <xf numFmtId="0" fontId="10" fillId="14" borderId="0" xfId="0" applyFont="1" applyFill="1"/>
    <xf numFmtId="0" fontId="10" fillId="14" borderId="0" xfId="0" quotePrefix="1" applyFont="1" applyFill="1"/>
    <xf numFmtId="0" fontId="17" fillId="0" borderId="0" xfId="0" quotePrefix="1" applyFont="1"/>
    <xf numFmtId="0" fontId="0" fillId="16" borderId="0" xfId="0" applyFill="1" applyProtection="1">
      <protection locked="0"/>
    </xf>
    <xf numFmtId="0" fontId="0" fillId="16" borderId="0" xfId="0" applyFill="1"/>
    <xf numFmtId="0" fontId="0" fillId="16" borderId="4" xfId="0" applyFill="1" applyBorder="1"/>
    <xf numFmtId="165" fontId="10" fillId="14" borderId="0" xfId="0" applyNumberFormat="1" applyFont="1" applyFill="1"/>
    <xf numFmtId="0" fontId="17" fillId="0" borderId="0" xfId="0" quotePrefix="1" applyFont="1" applyBorder="1" applyProtection="1">
      <protection locked="0"/>
    </xf>
    <xf numFmtId="0" fontId="0" fillId="0" borderId="0" xfId="0" quotePrefix="1"/>
    <xf numFmtId="0" fontId="18" fillId="6" borderId="31" xfId="0" applyFont="1" applyFill="1" applyBorder="1" applyAlignment="1">
      <alignment horizontal="center" vertical="center" wrapText="1"/>
    </xf>
    <xf numFmtId="0" fontId="0" fillId="3" borderId="0" xfId="0" applyFill="1" applyAlignment="1"/>
    <xf numFmtId="0" fontId="10" fillId="14" borderId="0" xfId="0" applyFont="1" applyFill="1" applyAlignment="1" applyProtection="1">
      <alignment horizontal="left"/>
      <protection locked="0"/>
    </xf>
    <xf numFmtId="164" fontId="0" fillId="0" borderId="0" xfId="0" applyNumberFormat="1"/>
    <xf numFmtId="0" fontId="8" fillId="11" borderId="4" xfId="2" applyBorder="1"/>
    <xf numFmtId="0" fontId="0" fillId="8" borderId="0" xfId="0" applyFill="1"/>
    <xf numFmtId="0" fontId="9" fillId="12" borderId="13" xfId="3" quotePrefix="1" applyProtection="1">
      <protection locked="0"/>
    </xf>
    <xf numFmtId="0" fontId="14" fillId="20" borderId="13" xfId="5" quotePrefix="1" applyBorder="1" applyProtection="1">
      <protection locked="0"/>
    </xf>
    <xf numFmtId="0" fontId="14" fillId="20" borderId="13" xfId="5" applyBorder="1" applyProtection="1">
      <protection locked="0"/>
    </xf>
    <xf numFmtId="0" fontId="14" fillId="20" borderId="13" xfId="5" applyBorder="1"/>
    <xf numFmtId="0" fontId="0" fillId="0" borderId="0" xfId="0" applyNumberFormat="1" applyProtection="1">
      <protection locked="0"/>
    </xf>
    <xf numFmtId="0" fontId="0" fillId="3" borderId="8" xfId="0" applyFill="1" applyBorder="1" applyProtection="1">
      <protection locked="0"/>
    </xf>
    <xf numFmtId="0" fontId="10" fillId="14" borderId="0" xfId="0" applyFont="1" applyFill="1" applyAlignment="1">
      <alignment horizontal="right"/>
    </xf>
    <xf numFmtId="164" fontId="10" fillId="14" borderId="0" xfId="0" applyNumberFormat="1" applyFont="1" applyFill="1"/>
    <xf numFmtId="0" fontId="0" fillId="16" borderId="27" xfId="0" applyFill="1" applyBorder="1" applyAlignment="1" applyProtection="1">
      <alignment horizontal="center"/>
      <protection locked="0"/>
    </xf>
    <xf numFmtId="0" fontId="0" fillId="16" borderId="0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19" fillId="14" borderId="0" xfId="0" applyFont="1" applyFill="1"/>
    <xf numFmtId="0" fontId="0" fillId="3" borderId="0" xfId="0" applyFill="1"/>
    <xf numFmtId="0" fontId="10" fillId="14" borderId="0" xfId="0" quotePrefix="1" applyFont="1" applyFill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3" fillId="4" borderId="10" xfId="0" applyFont="1" applyFill="1" applyBorder="1" applyAlignment="1" applyProtection="1">
      <alignment horizontal="center" vertical="center" textRotation="255"/>
      <protection locked="0"/>
    </xf>
    <xf numFmtId="0" fontId="3" fillId="4" borderId="11" xfId="0" applyFont="1" applyFill="1" applyBorder="1" applyAlignment="1" applyProtection="1">
      <alignment horizontal="center" vertical="center" textRotation="255"/>
      <protection locked="0"/>
    </xf>
    <xf numFmtId="0" fontId="3" fillId="4" borderId="12" xfId="0" applyFont="1" applyFill="1" applyBorder="1" applyAlignment="1" applyProtection="1">
      <alignment horizontal="center" vertical="center" textRotation="255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3" fillId="7" borderId="10" xfId="0" applyFont="1" applyFill="1" applyBorder="1" applyAlignment="1" applyProtection="1">
      <alignment horizontal="center" vertical="center" textRotation="255"/>
      <protection locked="0"/>
    </xf>
    <xf numFmtId="0" fontId="3" fillId="7" borderId="11" xfId="0" applyFont="1" applyFill="1" applyBorder="1" applyAlignment="1" applyProtection="1">
      <alignment horizontal="center" vertical="center" textRotation="255"/>
      <protection locked="0"/>
    </xf>
    <xf numFmtId="0" fontId="3" fillId="7" borderId="12" xfId="0" applyFont="1" applyFill="1" applyBorder="1" applyAlignment="1" applyProtection="1">
      <alignment horizontal="center" vertical="center" textRotation="255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30" xfId="0" applyBorder="1" applyAlignment="1" applyProtection="1">
      <alignment horizontal="right" vertical="center"/>
      <protection locked="0"/>
    </xf>
    <xf numFmtId="0" fontId="0" fillId="0" borderId="4" xfId="0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0" xfId="0" applyFill="1" applyAlignment="1" applyProtection="1">
      <alignment horizontal="center" vertical="center"/>
      <protection locked="0"/>
    </xf>
    <xf numFmtId="0" fontId="0" fillId="16" borderId="0" xfId="0" applyFill="1" applyAlignment="1">
      <alignment horizontal="center" vertical="center"/>
    </xf>
    <xf numFmtId="0" fontId="3" fillId="6" borderId="7" xfId="0" applyFont="1" applyFill="1" applyBorder="1" applyAlignment="1" applyProtection="1">
      <alignment horizontal="center"/>
      <protection locked="0"/>
    </xf>
    <xf numFmtId="0" fontId="3" fillId="6" borderId="8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16" fillId="5" borderId="28" xfId="0" applyFont="1" applyFill="1" applyBorder="1" applyAlignment="1" applyProtection="1">
      <alignment horizontal="center"/>
      <protection locked="0"/>
    </xf>
    <xf numFmtId="0" fontId="16" fillId="5" borderId="29" xfId="0" applyFont="1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 vertical="center" textRotation="255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4" xfId="0" quotePrefix="1" applyFill="1" applyBorder="1" applyAlignment="1" applyProtection="1">
      <alignment horizontal="center" vertical="center"/>
      <protection locked="0"/>
    </xf>
    <xf numFmtId="0" fontId="9" fillId="12" borderId="13" xfId="3" applyAlignment="1" applyProtection="1">
      <alignment horizontal="center"/>
      <protection locked="0"/>
    </xf>
    <xf numFmtId="0" fontId="0" fillId="13" borderId="17" xfId="4" applyFont="1" applyBorder="1" applyAlignment="1" applyProtection="1">
      <alignment horizontal="center"/>
      <protection locked="0"/>
    </xf>
    <xf numFmtId="0" fontId="0" fillId="13" borderId="15" xfId="4" applyFont="1" applyBorder="1" applyAlignment="1" applyProtection="1">
      <alignment horizontal="center"/>
      <protection locked="0"/>
    </xf>
    <xf numFmtId="0" fontId="0" fillId="13" borderId="16" xfId="4" applyFont="1" applyBorder="1" applyAlignment="1" applyProtection="1">
      <alignment horizontal="center"/>
      <protection locked="0"/>
    </xf>
  </cellXfs>
  <cellStyles count="7">
    <cellStyle name="Bad" xfId="5" builtinId="27"/>
    <cellStyle name="Good" xfId="1" builtinId="26"/>
    <cellStyle name="Input" xfId="3" builtinId="20"/>
    <cellStyle name="Neutral" xfId="2" builtinId="28"/>
    <cellStyle name="Normal" xfId="0" builtinId="0"/>
    <cellStyle name="Note" xfId="4" builtinId="10"/>
    <cellStyle name="Percent" xfId="6" builtinId="5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FF"/>
      <color rgb="FF00FFFF"/>
      <color rgb="FF3EFB25"/>
      <color rgb="FFCC99FF"/>
      <color rgb="FFFEBDB8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52</xdr:row>
      <xdr:rowOff>0</xdr:rowOff>
    </xdr:from>
    <xdr:to>
      <xdr:col>8</xdr:col>
      <xdr:colOff>83343</xdr:colOff>
      <xdr:row>54</xdr:row>
      <xdr:rowOff>119062</xdr:rowOff>
    </xdr:to>
    <xdr:cxnSp macro="">
      <xdr:nvCxnSpPr>
        <xdr:cNvPr id="2" name="Straight Arrow Connector 1"/>
        <xdr:cNvCxnSpPr/>
      </xdr:nvCxnSpPr>
      <xdr:spPr>
        <a:xfrm>
          <a:off x="4252912" y="9991725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</xdr:colOff>
      <xdr:row>64</xdr:row>
      <xdr:rowOff>0</xdr:rowOff>
    </xdr:from>
    <xdr:to>
      <xdr:col>8</xdr:col>
      <xdr:colOff>83343</xdr:colOff>
      <xdr:row>66</xdr:row>
      <xdr:rowOff>119062</xdr:rowOff>
    </xdr:to>
    <xdr:cxnSp macro="">
      <xdr:nvCxnSpPr>
        <xdr:cNvPr id="3" name="Straight Arrow Connector 2"/>
        <xdr:cNvCxnSpPr/>
      </xdr:nvCxnSpPr>
      <xdr:spPr>
        <a:xfrm>
          <a:off x="4252912" y="12315825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28574</xdr:colOff>
      <xdr:row>49</xdr:row>
      <xdr:rowOff>28575</xdr:rowOff>
    </xdr:from>
    <xdr:to>
      <xdr:col>12</xdr:col>
      <xdr:colOff>266699</xdr:colOff>
      <xdr:row>59</xdr:row>
      <xdr:rowOff>0</xdr:rowOff>
    </xdr:to>
    <xdr:sp macro="" textlink="">
      <xdr:nvSpPr>
        <xdr:cNvPr id="4" name="Right Brace 3"/>
        <xdr:cNvSpPr/>
      </xdr:nvSpPr>
      <xdr:spPr>
        <a:xfrm>
          <a:off x="6800849" y="9448800"/>
          <a:ext cx="238125" cy="1905000"/>
        </a:xfrm>
        <a:prstGeom prst="rightBrace">
          <a:avLst>
            <a:gd name="adj1" fmla="val 8333"/>
            <a:gd name="adj2" fmla="val 525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19050</xdr:colOff>
      <xdr:row>57</xdr:row>
      <xdr:rowOff>114300</xdr:rowOff>
    </xdr:from>
    <xdr:to>
      <xdr:col>26</xdr:col>
      <xdr:colOff>266700</xdr:colOff>
      <xdr:row>60</xdr:row>
      <xdr:rowOff>104775</xdr:rowOff>
    </xdr:to>
    <xdr:cxnSp macro="">
      <xdr:nvCxnSpPr>
        <xdr:cNvPr id="5" name="Straight Arrow Connector 4"/>
        <xdr:cNvCxnSpPr/>
      </xdr:nvCxnSpPr>
      <xdr:spPr>
        <a:xfrm flipH="1" flipV="1">
          <a:off x="9725025" y="11058525"/>
          <a:ext cx="57340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</xdr:colOff>
      <xdr:row>64</xdr:row>
      <xdr:rowOff>0</xdr:rowOff>
    </xdr:from>
    <xdr:to>
      <xdr:col>8</xdr:col>
      <xdr:colOff>83343</xdr:colOff>
      <xdr:row>66</xdr:row>
      <xdr:rowOff>119062</xdr:rowOff>
    </xdr:to>
    <xdr:cxnSp macro="">
      <xdr:nvCxnSpPr>
        <xdr:cNvPr id="6" name="Straight Arrow Connector 5"/>
        <xdr:cNvCxnSpPr/>
      </xdr:nvCxnSpPr>
      <xdr:spPr>
        <a:xfrm>
          <a:off x="4252912" y="12315825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28574</xdr:colOff>
      <xdr:row>61</xdr:row>
      <xdr:rowOff>28575</xdr:rowOff>
    </xdr:from>
    <xdr:to>
      <xdr:col>12</xdr:col>
      <xdr:colOff>266699</xdr:colOff>
      <xdr:row>71</xdr:row>
      <xdr:rowOff>0</xdr:rowOff>
    </xdr:to>
    <xdr:sp macro="" textlink="">
      <xdr:nvSpPr>
        <xdr:cNvPr id="7" name="Right Brace 6"/>
        <xdr:cNvSpPr/>
      </xdr:nvSpPr>
      <xdr:spPr>
        <a:xfrm>
          <a:off x="6800849" y="11772900"/>
          <a:ext cx="238125" cy="1905000"/>
        </a:xfrm>
        <a:prstGeom prst="rightBrace">
          <a:avLst>
            <a:gd name="adj1" fmla="val 8333"/>
            <a:gd name="adj2" fmla="val 525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19050</xdr:colOff>
      <xdr:row>69</xdr:row>
      <xdr:rowOff>114300</xdr:rowOff>
    </xdr:from>
    <xdr:to>
      <xdr:col>26</xdr:col>
      <xdr:colOff>266700</xdr:colOff>
      <xdr:row>72</xdr:row>
      <xdr:rowOff>104775</xdr:rowOff>
    </xdr:to>
    <xdr:cxnSp macro="">
      <xdr:nvCxnSpPr>
        <xdr:cNvPr id="8" name="Straight Arrow Connector 7"/>
        <xdr:cNvCxnSpPr/>
      </xdr:nvCxnSpPr>
      <xdr:spPr>
        <a:xfrm flipH="1" flipV="1">
          <a:off x="9725025" y="13382625"/>
          <a:ext cx="57340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</xdr:colOff>
      <xdr:row>64</xdr:row>
      <xdr:rowOff>0</xdr:rowOff>
    </xdr:from>
    <xdr:to>
      <xdr:col>8</xdr:col>
      <xdr:colOff>83343</xdr:colOff>
      <xdr:row>66</xdr:row>
      <xdr:rowOff>119062</xdr:rowOff>
    </xdr:to>
    <xdr:cxnSp macro="">
      <xdr:nvCxnSpPr>
        <xdr:cNvPr id="9" name="Straight Arrow Connector 8"/>
        <xdr:cNvCxnSpPr/>
      </xdr:nvCxnSpPr>
      <xdr:spPr>
        <a:xfrm>
          <a:off x="4252912" y="12315825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28574</xdr:colOff>
      <xdr:row>61</xdr:row>
      <xdr:rowOff>28575</xdr:rowOff>
    </xdr:from>
    <xdr:to>
      <xdr:col>12</xdr:col>
      <xdr:colOff>266699</xdr:colOff>
      <xdr:row>71</xdr:row>
      <xdr:rowOff>0</xdr:rowOff>
    </xdr:to>
    <xdr:sp macro="" textlink="">
      <xdr:nvSpPr>
        <xdr:cNvPr id="10" name="Right Brace 9"/>
        <xdr:cNvSpPr/>
      </xdr:nvSpPr>
      <xdr:spPr>
        <a:xfrm>
          <a:off x="6800849" y="11772900"/>
          <a:ext cx="238125" cy="1905000"/>
        </a:xfrm>
        <a:prstGeom prst="rightBrace">
          <a:avLst>
            <a:gd name="adj1" fmla="val 8333"/>
            <a:gd name="adj2" fmla="val 525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19050</xdr:colOff>
      <xdr:row>69</xdr:row>
      <xdr:rowOff>114300</xdr:rowOff>
    </xdr:from>
    <xdr:to>
      <xdr:col>26</xdr:col>
      <xdr:colOff>266700</xdr:colOff>
      <xdr:row>72</xdr:row>
      <xdr:rowOff>104775</xdr:rowOff>
    </xdr:to>
    <xdr:cxnSp macro="">
      <xdr:nvCxnSpPr>
        <xdr:cNvPr id="11" name="Straight Arrow Connector 10"/>
        <xdr:cNvCxnSpPr/>
      </xdr:nvCxnSpPr>
      <xdr:spPr>
        <a:xfrm flipH="1" flipV="1">
          <a:off x="9725025" y="13382625"/>
          <a:ext cx="57340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54</xdr:row>
      <xdr:rowOff>164306</xdr:rowOff>
    </xdr:from>
    <xdr:to>
      <xdr:col>8</xdr:col>
      <xdr:colOff>80962</xdr:colOff>
      <xdr:row>58</xdr:row>
      <xdr:rowOff>123825</xdr:rowOff>
    </xdr:to>
    <xdr:cxnSp macro="">
      <xdr:nvCxnSpPr>
        <xdr:cNvPr id="12" name="Straight Arrow Connector 11"/>
        <xdr:cNvCxnSpPr/>
      </xdr:nvCxnSpPr>
      <xdr:spPr>
        <a:xfrm flipV="1">
          <a:off x="4257675" y="10537031"/>
          <a:ext cx="4762" cy="731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66</xdr:row>
      <xdr:rowOff>135731</xdr:rowOff>
    </xdr:from>
    <xdr:to>
      <xdr:col>8</xdr:col>
      <xdr:colOff>71437</xdr:colOff>
      <xdr:row>70</xdr:row>
      <xdr:rowOff>95250</xdr:rowOff>
    </xdr:to>
    <xdr:cxnSp macro="">
      <xdr:nvCxnSpPr>
        <xdr:cNvPr id="13" name="Straight Arrow Connector 12"/>
        <xdr:cNvCxnSpPr/>
      </xdr:nvCxnSpPr>
      <xdr:spPr>
        <a:xfrm flipV="1">
          <a:off x="4248150" y="12832556"/>
          <a:ext cx="4762" cy="731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52</xdr:row>
      <xdr:rowOff>0</xdr:rowOff>
    </xdr:from>
    <xdr:to>
      <xdr:col>8</xdr:col>
      <xdr:colOff>83343</xdr:colOff>
      <xdr:row>54</xdr:row>
      <xdr:rowOff>119062</xdr:rowOff>
    </xdr:to>
    <xdr:cxnSp macro="">
      <xdr:nvCxnSpPr>
        <xdr:cNvPr id="6" name="Straight Arrow Connector 5"/>
        <xdr:cNvCxnSpPr/>
      </xdr:nvCxnSpPr>
      <xdr:spPr>
        <a:xfrm>
          <a:off x="4202906" y="10560844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</xdr:colOff>
      <xdr:row>64</xdr:row>
      <xdr:rowOff>0</xdr:rowOff>
    </xdr:from>
    <xdr:to>
      <xdr:col>8</xdr:col>
      <xdr:colOff>83343</xdr:colOff>
      <xdr:row>66</xdr:row>
      <xdr:rowOff>119062</xdr:rowOff>
    </xdr:to>
    <xdr:cxnSp macro="">
      <xdr:nvCxnSpPr>
        <xdr:cNvPr id="3" name="Straight Arrow Connector 2"/>
        <xdr:cNvCxnSpPr/>
      </xdr:nvCxnSpPr>
      <xdr:spPr>
        <a:xfrm>
          <a:off x="4252912" y="9791700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28574</xdr:colOff>
      <xdr:row>49</xdr:row>
      <xdr:rowOff>28575</xdr:rowOff>
    </xdr:from>
    <xdr:to>
      <xdr:col>12</xdr:col>
      <xdr:colOff>266699</xdr:colOff>
      <xdr:row>59</xdr:row>
      <xdr:rowOff>0</xdr:rowOff>
    </xdr:to>
    <xdr:sp macro="" textlink="">
      <xdr:nvSpPr>
        <xdr:cNvPr id="2" name="Right Brace 1"/>
        <xdr:cNvSpPr/>
      </xdr:nvSpPr>
      <xdr:spPr>
        <a:xfrm>
          <a:off x="6438899" y="9248775"/>
          <a:ext cx="238125" cy="1876425"/>
        </a:xfrm>
        <a:prstGeom prst="rightBrace">
          <a:avLst>
            <a:gd name="adj1" fmla="val 8333"/>
            <a:gd name="adj2" fmla="val 525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19050</xdr:colOff>
      <xdr:row>57</xdr:row>
      <xdr:rowOff>114300</xdr:rowOff>
    </xdr:from>
    <xdr:to>
      <xdr:col>26</xdr:col>
      <xdr:colOff>266700</xdr:colOff>
      <xdr:row>60</xdr:row>
      <xdr:rowOff>104775</xdr:rowOff>
    </xdr:to>
    <xdr:cxnSp macro="">
      <xdr:nvCxnSpPr>
        <xdr:cNvPr id="5" name="Straight Arrow Connector 4"/>
        <xdr:cNvCxnSpPr/>
      </xdr:nvCxnSpPr>
      <xdr:spPr>
        <a:xfrm flipH="1" flipV="1">
          <a:off x="9725025" y="11058525"/>
          <a:ext cx="57340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</xdr:colOff>
      <xdr:row>64</xdr:row>
      <xdr:rowOff>0</xdr:rowOff>
    </xdr:from>
    <xdr:to>
      <xdr:col>8</xdr:col>
      <xdr:colOff>83343</xdr:colOff>
      <xdr:row>66</xdr:row>
      <xdr:rowOff>119062</xdr:rowOff>
    </xdr:to>
    <xdr:cxnSp macro="">
      <xdr:nvCxnSpPr>
        <xdr:cNvPr id="7" name="Straight Arrow Connector 6"/>
        <xdr:cNvCxnSpPr/>
      </xdr:nvCxnSpPr>
      <xdr:spPr>
        <a:xfrm>
          <a:off x="4252912" y="9991725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28574</xdr:colOff>
      <xdr:row>61</xdr:row>
      <xdr:rowOff>28575</xdr:rowOff>
    </xdr:from>
    <xdr:to>
      <xdr:col>12</xdr:col>
      <xdr:colOff>266699</xdr:colOff>
      <xdr:row>71</xdr:row>
      <xdr:rowOff>0</xdr:rowOff>
    </xdr:to>
    <xdr:sp macro="" textlink="">
      <xdr:nvSpPr>
        <xdr:cNvPr id="8" name="Right Brace 7"/>
        <xdr:cNvSpPr/>
      </xdr:nvSpPr>
      <xdr:spPr>
        <a:xfrm>
          <a:off x="6800849" y="9448800"/>
          <a:ext cx="238125" cy="1905000"/>
        </a:xfrm>
        <a:prstGeom prst="rightBrace">
          <a:avLst>
            <a:gd name="adj1" fmla="val 8333"/>
            <a:gd name="adj2" fmla="val 525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19050</xdr:colOff>
      <xdr:row>69</xdr:row>
      <xdr:rowOff>114300</xdr:rowOff>
    </xdr:from>
    <xdr:to>
      <xdr:col>26</xdr:col>
      <xdr:colOff>266700</xdr:colOff>
      <xdr:row>72</xdr:row>
      <xdr:rowOff>104775</xdr:rowOff>
    </xdr:to>
    <xdr:cxnSp macro="">
      <xdr:nvCxnSpPr>
        <xdr:cNvPr id="9" name="Straight Arrow Connector 8"/>
        <xdr:cNvCxnSpPr/>
      </xdr:nvCxnSpPr>
      <xdr:spPr>
        <a:xfrm flipH="1" flipV="1">
          <a:off x="9725025" y="11058525"/>
          <a:ext cx="57340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</xdr:colOff>
      <xdr:row>64</xdr:row>
      <xdr:rowOff>0</xdr:rowOff>
    </xdr:from>
    <xdr:to>
      <xdr:col>8</xdr:col>
      <xdr:colOff>83343</xdr:colOff>
      <xdr:row>66</xdr:row>
      <xdr:rowOff>119062</xdr:rowOff>
    </xdr:to>
    <xdr:cxnSp macro="">
      <xdr:nvCxnSpPr>
        <xdr:cNvPr id="10" name="Straight Arrow Connector 9"/>
        <xdr:cNvCxnSpPr/>
      </xdr:nvCxnSpPr>
      <xdr:spPr>
        <a:xfrm>
          <a:off x="4252912" y="9991725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28574</xdr:colOff>
      <xdr:row>61</xdr:row>
      <xdr:rowOff>28575</xdr:rowOff>
    </xdr:from>
    <xdr:to>
      <xdr:col>12</xdr:col>
      <xdr:colOff>266699</xdr:colOff>
      <xdr:row>71</xdr:row>
      <xdr:rowOff>0</xdr:rowOff>
    </xdr:to>
    <xdr:sp macro="" textlink="">
      <xdr:nvSpPr>
        <xdr:cNvPr id="11" name="Right Brace 10"/>
        <xdr:cNvSpPr/>
      </xdr:nvSpPr>
      <xdr:spPr>
        <a:xfrm>
          <a:off x="6800849" y="9448800"/>
          <a:ext cx="238125" cy="1905000"/>
        </a:xfrm>
        <a:prstGeom prst="rightBrace">
          <a:avLst>
            <a:gd name="adj1" fmla="val 8333"/>
            <a:gd name="adj2" fmla="val 525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19050</xdr:colOff>
      <xdr:row>69</xdr:row>
      <xdr:rowOff>114300</xdr:rowOff>
    </xdr:from>
    <xdr:to>
      <xdr:col>26</xdr:col>
      <xdr:colOff>266700</xdr:colOff>
      <xdr:row>72</xdr:row>
      <xdr:rowOff>104775</xdr:rowOff>
    </xdr:to>
    <xdr:cxnSp macro="">
      <xdr:nvCxnSpPr>
        <xdr:cNvPr id="12" name="Straight Arrow Connector 11"/>
        <xdr:cNvCxnSpPr/>
      </xdr:nvCxnSpPr>
      <xdr:spPr>
        <a:xfrm flipH="1" flipV="1">
          <a:off x="9725025" y="11058525"/>
          <a:ext cx="57340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54</xdr:row>
      <xdr:rowOff>164306</xdr:rowOff>
    </xdr:from>
    <xdr:to>
      <xdr:col>8</xdr:col>
      <xdr:colOff>80962</xdr:colOff>
      <xdr:row>58</xdr:row>
      <xdr:rowOff>123825</xdr:rowOff>
    </xdr:to>
    <xdr:cxnSp macro="">
      <xdr:nvCxnSpPr>
        <xdr:cNvPr id="13" name="Straight Arrow Connector 12"/>
        <xdr:cNvCxnSpPr/>
      </xdr:nvCxnSpPr>
      <xdr:spPr>
        <a:xfrm flipV="1">
          <a:off x="4257675" y="10537031"/>
          <a:ext cx="4762" cy="731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66</xdr:row>
      <xdr:rowOff>135731</xdr:rowOff>
    </xdr:from>
    <xdr:to>
      <xdr:col>8</xdr:col>
      <xdr:colOff>71437</xdr:colOff>
      <xdr:row>70</xdr:row>
      <xdr:rowOff>95250</xdr:rowOff>
    </xdr:to>
    <xdr:cxnSp macro="">
      <xdr:nvCxnSpPr>
        <xdr:cNvPr id="16" name="Straight Arrow Connector 15"/>
        <xdr:cNvCxnSpPr/>
      </xdr:nvCxnSpPr>
      <xdr:spPr>
        <a:xfrm flipV="1">
          <a:off x="4248150" y="12832556"/>
          <a:ext cx="4762" cy="731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0</xdr:row>
      <xdr:rowOff>189486</xdr:rowOff>
    </xdr:from>
    <xdr:to>
      <xdr:col>12</xdr:col>
      <xdr:colOff>590550</xdr:colOff>
      <xdr:row>4</xdr:row>
      <xdr:rowOff>104775</xdr:rowOff>
    </xdr:to>
    <xdr:sp macro="" textlink="">
      <xdr:nvSpPr>
        <xdr:cNvPr id="3" name="Freeform 2"/>
        <xdr:cNvSpPr/>
      </xdr:nvSpPr>
      <xdr:spPr>
        <a:xfrm>
          <a:off x="1838325" y="189486"/>
          <a:ext cx="3305175" cy="677289"/>
        </a:xfrm>
        <a:custGeom>
          <a:avLst/>
          <a:gdLst>
            <a:gd name="connsiteX0" fmla="*/ 0 w 3857625"/>
            <a:gd name="connsiteY0" fmla="*/ 486789 h 601089"/>
            <a:gd name="connsiteX1" fmla="*/ 1790700 w 3857625"/>
            <a:gd name="connsiteY1" fmla="*/ 1014 h 601089"/>
            <a:gd name="connsiteX2" fmla="*/ 3857625 w 3857625"/>
            <a:gd name="connsiteY2" fmla="*/ 601089 h 6010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57625" h="601089">
              <a:moveTo>
                <a:pt x="0" y="486789"/>
              </a:moveTo>
              <a:cubicBezTo>
                <a:pt x="573881" y="234376"/>
                <a:pt x="1147763" y="-18036"/>
                <a:pt x="1790700" y="1014"/>
              </a:cubicBezTo>
              <a:cubicBezTo>
                <a:pt x="2433637" y="20064"/>
                <a:pt x="3473450" y="488377"/>
                <a:pt x="3857625" y="601089"/>
              </a:cubicBezTo>
            </a:path>
          </a:pathLst>
        </a:custGeom>
        <a:noFill/>
        <a:ln w="28575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73"/>
  <sheetViews>
    <sheetView zoomScaleNormal="100" workbookViewId="0">
      <selection activeCell="AC29" sqref="AC29:AQ29"/>
    </sheetView>
  </sheetViews>
  <sheetFormatPr defaultRowHeight="15" outlineLevelCol="1" x14ac:dyDescent="0.25"/>
  <cols>
    <col min="1" max="1" width="9.140625" style="1"/>
    <col min="2" max="2" width="2.7109375" style="1" customWidth="1"/>
    <col min="3" max="5" width="4" style="1" customWidth="1"/>
    <col min="6" max="6" width="22" style="1" customWidth="1"/>
    <col min="7" max="7" width="4" style="1" customWidth="1"/>
    <col min="8" max="8" width="12.85546875" style="92" customWidth="1"/>
    <col min="9" max="9" width="4" style="2" customWidth="1"/>
    <col min="10" max="10" width="12.85546875" style="1" customWidth="1"/>
    <col min="11" max="11" width="10.85546875" style="2" customWidth="1"/>
    <col min="12" max="12" width="11.140625" style="1" customWidth="1"/>
    <col min="13" max="13" width="8.28515625" style="1" customWidth="1"/>
    <col min="14" max="14" width="8.28515625" style="2" customWidth="1"/>
    <col min="15" max="26" width="9.140625" style="1"/>
    <col min="27" max="40" width="9.140625" style="1" customWidth="1" outlineLevel="1"/>
    <col min="41" max="16384" width="9.140625" style="1"/>
  </cols>
  <sheetData>
    <row r="1" spans="1:51" ht="15.75" thickBot="1" x14ac:dyDescent="0.3"/>
    <row r="2" spans="1:51" ht="15.75" thickBot="1" x14ac:dyDescent="0.3">
      <c r="C2" s="174" t="s">
        <v>8</v>
      </c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4" spans="1:51" x14ac:dyDescent="0.25">
      <c r="C4" s="9" t="s">
        <v>9</v>
      </c>
      <c r="D4" s="9"/>
      <c r="E4" s="9"/>
    </row>
    <row r="5" spans="1:51" x14ac:dyDescent="0.25">
      <c r="F5" s="25" t="s">
        <v>10</v>
      </c>
      <c r="G5" s="101" t="s">
        <v>4</v>
      </c>
      <c r="H5" s="101" t="s">
        <v>4</v>
      </c>
    </row>
    <row r="6" spans="1:51" x14ac:dyDescent="0.25">
      <c r="A6" s="2"/>
      <c r="B6" s="2"/>
      <c r="C6" s="27"/>
      <c r="D6" s="100"/>
      <c r="E6" s="100"/>
      <c r="F6" s="25" t="s">
        <v>11</v>
      </c>
      <c r="G6" s="30" t="s">
        <v>6</v>
      </c>
      <c r="H6" s="41" t="s">
        <v>64</v>
      </c>
      <c r="I6" s="8"/>
      <c r="J6" s="133">
        <f>AC6*VLOOKUP(G6,Constantes!$G$2:$H$4,2)</f>
        <v>-2.903833333333333</v>
      </c>
      <c r="K6" s="134" t="s">
        <v>0</v>
      </c>
      <c r="L6" s="29"/>
      <c r="M6" s="7"/>
      <c r="N6" s="4"/>
      <c r="AA6" s="83" t="str">
        <f>H6</f>
        <v>2°54.23'</v>
      </c>
      <c r="AB6" s="1" t="str">
        <f>SUBSTITUTE(AA6,Constantes!$D$15,Constantes!$E$15)</f>
        <v>2°54.23'</v>
      </c>
      <c r="AC6" s="112">
        <f>IF(AI6,AY6,IF(OR(AJ6,AK6),AU6,IF(AL6,AQ6,IF(AP6,AR6,361))))</f>
        <v>2.903833333333333</v>
      </c>
      <c r="AD6" s="110" t="b">
        <f>ISNUMBER(SEARCH("°",AB6,1))</f>
        <v>1</v>
      </c>
      <c r="AE6" s="104" t="b">
        <f>ISNUMBER(SEARCH("'",AB6,1))</f>
        <v>1</v>
      </c>
      <c r="AF6" s="104" t="b">
        <f>ISNUMBER(SEARCH("""",AB6,1))</f>
        <v>0</v>
      </c>
      <c r="AG6" s="105" t="b">
        <f>IF(AD6,IF(SEARCH("°",AB6,1)=LEN(AB6),TRUE, FALSE), FALSE)</f>
        <v>0</v>
      </c>
      <c r="AH6" s="105" t="b">
        <f>IF(NOT(ISNUMBER(SEARCH("'",AB6,1))), FALSE, IF(SEARCH("'",AB6,1)=LEN(AB6),TRUE, FALSE))</f>
        <v>1</v>
      </c>
      <c r="AI6" s="106" t="b">
        <f>IF(AND(AF6,AE6,AD6),TRUE,FALSE)</f>
        <v>0</v>
      </c>
      <c r="AJ6" s="106" t="b">
        <f>IF(AND(AE6, AD6,NOT(AF6),AH6,NOT(AI6)),TRUE,FALSE)</f>
        <v>1</v>
      </c>
      <c r="AK6" s="106" t="b">
        <f>IF(AND(NOT(AE6),AD6,NOT(AF6),NOT(AG6)*NOT(AI6)),TRUE,FALSE)</f>
        <v>0</v>
      </c>
      <c r="AL6" s="106" t="b">
        <f>IF(AND(NOT(AI6),NOT(AJ6),AG6),TRUE,FALSE)</f>
        <v>0</v>
      </c>
      <c r="AM6" s="105" t="b">
        <f>IF(AND(AI6,RIGHT(AB6)=""""),TRUE, FALSE)</f>
        <v>0</v>
      </c>
      <c r="AN6" s="105" t="b">
        <f>IF(OR(AJ6,AK6),TRUE, FALSE)</f>
        <v>1</v>
      </c>
      <c r="AO6" s="105" t="b">
        <f>IF(AND(AL6,RIGHT(AB6)="°"),TRUE, FALSE)</f>
        <v>0</v>
      </c>
      <c r="AP6" s="105" t="b">
        <f>IF(AND(AH6,NOT(AD6),NOT(AF6)),TRUE, FALSE)</f>
        <v>0</v>
      </c>
      <c r="AQ6" s="34" t="str">
        <f>LEFT(AB6, SEARCH("°",AB6,1)-1)</f>
        <v>2</v>
      </c>
      <c r="AR6" s="34" t="e">
        <f>(LEFT(AB6, SEARCH("'",AB6,1)-1))/60</f>
        <v>#VALUE!</v>
      </c>
      <c r="AS6" s="35" t="str">
        <f>LEFT(AB6, SEARCH("°",AB6,1)-1)</f>
        <v>2</v>
      </c>
      <c r="AT6" s="35" t="str">
        <f>MID(AB6, SEARCH("°",AB6,1) +1, IF(AJ6,SEARCH("'",AB6,1) - SEARCH("°",AB6,1) -1,LEN(AB6)-SEARCH("°",AB6,1)))</f>
        <v>54.23</v>
      </c>
      <c r="AU6" s="36">
        <f>AS6+AT6*1/60</f>
        <v>2.903833333333333</v>
      </c>
      <c r="AV6" s="38" t="str">
        <f>LEFT(AB6,SEARCH("°",AB6,1)-1)</f>
        <v>2</v>
      </c>
      <c r="AW6" s="37" t="str">
        <f>MID(AB6,SEARCH("°",AB6,1)+1,SEARCH("'",AB6,1)-SEARCH("°",AB6,1)-1)</f>
        <v>54.23</v>
      </c>
      <c r="AX6" s="37" t="e">
        <f>MID(AB6,SEARCH("'",AB6,1)+1,SEARCH("""",AB6,1)-SEARCH("'",AB6,1)-1)</f>
        <v>#VALUE!</v>
      </c>
      <c r="AY6" s="37" t="e">
        <f>AV6+AW6/60+AX6/3600</f>
        <v>#VALUE!</v>
      </c>
    </row>
    <row r="8" spans="1:51" x14ac:dyDescent="0.25">
      <c r="C8" s="9" t="s">
        <v>82</v>
      </c>
      <c r="D8" s="9"/>
      <c r="E8" s="9"/>
    </row>
    <row r="9" spans="1:51" x14ac:dyDescent="0.25">
      <c r="F9" s="28" t="s">
        <v>83</v>
      </c>
      <c r="G9" s="85" t="s">
        <v>2</v>
      </c>
      <c r="H9" s="80" t="s">
        <v>81</v>
      </c>
      <c r="I9"/>
      <c r="J9" s="135">
        <f>AC9*VLOOKUP(G9,Constantes!$D$2:$E$4,2)</f>
        <v>23.416666666666668</v>
      </c>
      <c r="K9" s="135" t="s">
        <v>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AA9" s="83" t="str">
        <f>H9</f>
        <v>23°25'</v>
      </c>
      <c r="AB9" s="1" t="str">
        <f>SUBSTITUTE(AA9,Constantes!$D$15,Constantes!$E$15)</f>
        <v>23°25'</v>
      </c>
      <c r="AC9" s="112">
        <f>IF(AI9,AY9,IF(OR(AJ9,AK9),AU9,IF(AL9,AQ9,IF(AP9,AR9,361))))</f>
        <v>23.416666666666668</v>
      </c>
      <c r="AD9" s="110" t="b">
        <f>ISNUMBER(SEARCH("°",AB9,1))</f>
        <v>1</v>
      </c>
      <c r="AE9" s="104" t="b">
        <f>ISNUMBER(SEARCH("'",AB9,1))</f>
        <v>1</v>
      </c>
      <c r="AF9" s="104" t="b">
        <f>ISNUMBER(SEARCH("""",AB9,1))</f>
        <v>0</v>
      </c>
      <c r="AG9" s="105" t="b">
        <f>IF(AD9,IF(SEARCH("°",AB9,1)=LEN(AB9),TRUE, FALSE), FALSE)</f>
        <v>0</v>
      </c>
      <c r="AH9" s="105" t="b">
        <f>IF(NOT(ISNUMBER(SEARCH("'",AB9,1))), FALSE, IF(SEARCH("'",AB9,1)=LEN(AB9),TRUE, FALSE))</f>
        <v>1</v>
      </c>
      <c r="AI9" s="106" t="b">
        <f>IF(AND(AF9,AE9,AD9),TRUE,FALSE)</f>
        <v>0</v>
      </c>
      <c r="AJ9" s="106" t="b">
        <f>IF(AND(AE9, AD9,NOT(AF9),AH9,NOT(AI9)),TRUE,FALSE)</f>
        <v>1</v>
      </c>
      <c r="AK9" s="106" t="b">
        <f>IF(AND(NOT(AE9),AD9,NOT(AF9),NOT(AG9)*NOT(AI9)),TRUE,FALSE)</f>
        <v>0</v>
      </c>
      <c r="AL9" s="106" t="b">
        <f>IF(AND(NOT(AI9),NOT(AJ9),AG9),TRUE,FALSE)</f>
        <v>0</v>
      </c>
      <c r="AM9" s="105" t="b">
        <f>IF(AND(AI9,RIGHT(AB9)=""""),TRUE, FALSE)</f>
        <v>0</v>
      </c>
      <c r="AN9" s="105" t="b">
        <f>IF(OR(AJ9,AK9),TRUE, FALSE)</f>
        <v>1</v>
      </c>
      <c r="AO9" s="105" t="b">
        <f>IF(AND(AL9,RIGHT(AB9)="°"),TRUE, FALSE)</f>
        <v>0</v>
      </c>
      <c r="AP9" s="105" t="b">
        <f>IF(AND(AH9,NOT(AD9),NOT(AF9)),TRUE, FALSE)</f>
        <v>0</v>
      </c>
      <c r="AQ9" s="34" t="str">
        <f>LEFT(AB9, SEARCH("°",AB9,1)-1)</f>
        <v>23</v>
      </c>
      <c r="AR9" s="34" t="e">
        <f>(LEFT(AB9, SEARCH("'",AB9,1)-1))/60</f>
        <v>#VALUE!</v>
      </c>
      <c r="AS9" s="35" t="str">
        <f>LEFT(AB9, SEARCH("°",AB9,1)-1)</f>
        <v>23</v>
      </c>
      <c r="AT9" s="35" t="str">
        <f>MID(AB9, SEARCH("°",AB9,1) +1, IF(AJ9,SEARCH("'",AB9,1) - SEARCH("°",AB9,1) -1,LEN(AB9)-SEARCH("°",AB9,1)))</f>
        <v>25</v>
      </c>
      <c r="AU9" s="36">
        <f>AS9+AT9*1/60</f>
        <v>23.416666666666668</v>
      </c>
      <c r="AV9" s="38" t="str">
        <f>LEFT(AB9,SEARCH("°",AB9,1)-1)</f>
        <v>23</v>
      </c>
      <c r="AW9" s="37" t="str">
        <f>MID(AB9,SEARCH("°",AB9,1)+1,SEARCH("'",AB9,1)-SEARCH("°",AB9,1)-1)</f>
        <v>25</v>
      </c>
      <c r="AX9" s="37" t="e">
        <f>MID(AB9,SEARCH("'",AB9,1)+1,SEARCH("""",AB9,1)-SEARCH("'",AB9,1)-1)</f>
        <v>#VALUE!</v>
      </c>
      <c r="AY9" s="37" t="e">
        <f>AV9+AW9/60+AX9/3600</f>
        <v>#VALUE!</v>
      </c>
    </row>
    <row r="10" spans="1:51" x14ac:dyDescent="0.25">
      <c r="F10" s="81" t="s">
        <v>84</v>
      </c>
      <c r="G10" s="79"/>
      <c r="H10" s="82" t="s">
        <v>100</v>
      </c>
      <c r="J10" s="133">
        <f>AC10</f>
        <v>12.019444444444446</v>
      </c>
      <c r="K10" s="134" t="s">
        <v>13</v>
      </c>
      <c r="N10"/>
      <c r="O10"/>
      <c r="P10"/>
      <c r="Q10"/>
      <c r="R10"/>
      <c r="S10"/>
      <c r="T10"/>
      <c r="U10"/>
      <c r="V10"/>
      <c r="W10"/>
      <c r="X10"/>
      <c r="Y10"/>
      <c r="AA10" s="93" t="str">
        <f>H10</f>
        <v>12:01:10</v>
      </c>
      <c r="AB10" s="1" t="str">
        <f>SUBSTITUTE(AA10,Constantes!$D$15,Constantes!$E$15)</f>
        <v>12:01:10</v>
      </c>
      <c r="AC10" s="113">
        <f>AG10+AH10/60+IF(AE10,AI10/3600,0)</f>
        <v>12.019444444444446</v>
      </c>
      <c r="AD10">
        <f>SEARCH(":",AB10,1)</f>
        <v>3</v>
      </c>
      <c r="AE10" t="b">
        <f>ISNUMBER(SEARCH(":",AB10,AD10+1))</f>
        <v>1</v>
      </c>
      <c r="AF10" t="e">
        <f>IF(AE10,SEARCH(":",AC10,AD10+1),-1)</f>
        <v>#VALUE!</v>
      </c>
      <c r="AG10" s="109" t="str">
        <f>LEFT(AB10,SEARCH(":",AB10) -1)</f>
        <v>12</v>
      </c>
      <c r="AH10" s="109" t="str">
        <f>MID(AB10,SEARCH(":",AB10,1)+1,   IF(AE10,SEARCH(":",AB10,1+SEARCH(":",AB10,1))-SEARCH(":",AB10,1)-1, LEN(AB10)-SEARCH(":",AB10,1)))</f>
        <v>01</v>
      </c>
      <c r="AI10" s="109" t="str">
        <f>RIGHT(AB10,LEN(AB10)-SEARCH(":",AB10,SEARCH(":",AB10,1)+1))</f>
        <v>10</v>
      </c>
    </row>
    <row r="11" spans="1:51" x14ac:dyDescent="0.25">
      <c r="H11" s="1"/>
      <c r="I11" s="1"/>
      <c r="K11" s="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51" x14ac:dyDescent="0.25">
      <c r="H12" s="1"/>
      <c r="I12" s="1"/>
      <c r="J12" s="133">
        <f>J10-J6/15</f>
        <v>12.213033333333335</v>
      </c>
      <c r="K12" s="133" t="s">
        <v>112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51" x14ac:dyDescent="0.25">
      <c r="F13" s="7"/>
      <c r="H13" s="7"/>
      <c r="I13" s="8"/>
      <c r="K13" s="70" t="str">
        <f>AC13</f>
        <v>12:12:46.92</v>
      </c>
      <c r="L13" s="66" t="s">
        <v>39</v>
      </c>
      <c r="M13" s="67"/>
      <c r="N13" s="67"/>
      <c r="O13" s="68"/>
      <c r="P13" s="68"/>
      <c r="Q13" s="68"/>
      <c r="R13" s="68"/>
      <c r="S13"/>
      <c r="T13"/>
      <c r="U13"/>
      <c r="V13"/>
      <c r="W13"/>
      <c r="X13"/>
      <c r="Y13"/>
      <c r="AA13" s="93">
        <f>J12</f>
        <v>12.213033333333335</v>
      </c>
      <c r="AB13" s="1" t="str">
        <f>SUBSTITUTE(AA13,Constantes!$D$15,Constantes!$E$15)</f>
        <v>12.2130333333333</v>
      </c>
      <c r="AC13" s="113" t="str">
        <f>CONCATENATE(TEXT(AG13,"00"),":",TEXT(AH13,"00"),":",TEXT(AI13,"00.00"))</f>
        <v>12:12:46.92</v>
      </c>
      <c r="AD13"/>
      <c r="AE13"/>
      <c r="AF13"/>
      <c r="AG13" s="109">
        <f>INT(AB13)</f>
        <v>12</v>
      </c>
      <c r="AH13" s="109">
        <f>INT((AB13-AG13) * 60)</f>
        <v>12</v>
      </c>
      <c r="AI13" s="109">
        <f>(AB13-(AG13+AH13/60))*3600</f>
        <v>46.919999999882123</v>
      </c>
    </row>
    <row r="14" spans="1:51" x14ac:dyDescent="0.25">
      <c r="C14" s="7" t="s">
        <v>71</v>
      </c>
      <c r="G14" s="7"/>
      <c r="H14" s="44"/>
      <c r="I14" s="8"/>
      <c r="J14" s="7"/>
      <c r="K14" s="8"/>
      <c r="L14" s="7"/>
      <c r="M14" s="7"/>
      <c r="N14"/>
      <c r="O14"/>
      <c r="P14"/>
      <c r="Q14"/>
      <c r="R14"/>
      <c r="S14"/>
      <c r="T14"/>
      <c r="U14"/>
      <c r="V14"/>
      <c r="W14"/>
      <c r="X14"/>
      <c r="Y14"/>
    </row>
    <row r="15" spans="1:51" x14ac:dyDescent="0.25">
      <c r="F15" s="1" t="s">
        <v>72</v>
      </c>
      <c r="H15" s="136" t="s">
        <v>115</v>
      </c>
      <c r="I15" s="1" t="s">
        <v>13</v>
      </c>
      <c r="J15" s="133">
        <f>AC15</f>
        <v>0.25</v>
      </c>
      <c r="K15" s="1"/>
      <c r="N15"/>
      <c r="O15"/>
      <c r="P15"/>
      <c r="Q15"/>
      <c r="R15"/>
      <c r="S15"/>
      <c r="T15"/>
      <c r="U15"/>
      <c r="V15"/>
      <c r="W15"/>
      <c r="X15"/>
      <c r="Y15"/>
      <c r="AA15" s="93" t="str">
        <f>H15</f>
        <v>0:15</v>
      </c>
      <c r="AB15" s="1" t="str">
        <f>SUBSTITUTE(AA15,Constantes!$D$15,Constantes!$E$15)</f>
        <v>0:15</v>
      </c>
      <c r="AC15" s="113">
        <f>AH15+AI15/60+IF(AF15,AJ15/3600,0)</f>
        <v>0.25</v>
      </c>
      <c r="AD15" t="b">
        <f>ISNUMBER(SEARCH(":",AB15,1))</f>
        <v>1</v>
      </c>
      <c r="AE15">
        <f>SEARCH(":",AB15,1)</f>
        <v>2</v>
      </c>
      <c r="AF15" t="b">
        <f>ISNUMBER(SEARCH(":",AB15,AE15+1))</f>
        <v>0</v>
      </c>
      <c r="AG15">
        <f>IF(AF15,SEARCH(":",AC15,AE15+1),-1)</f>
        <v>-1</v>
      </c>
      <c r="AH15" s="109" t="str">
        <f>IF(AD15,LEFT(AB15,SEARCH(":",AB15)-1),AB15)</f>
        <v>0</v>
      </c>
      <c r="AI15" s="109" t="str">
        <f>IF(AD15,MID(AB15,SEARCH(":",AB15,1)+1,IF(AF15,SEARCH(":",AB15,1+SEARCH(":",AB15,1))-SEARCH(":",AB15,1)-1,LEN(AB15)-SEARCH(":",AB15,1))),0)</f>
        <v>15</v>
      </c>
      <c r="AJ15" s="109" t="e">
        <f>IF(AD15,RIGHT(AB15,LEN(AB15)-SEARCH(":",AB15,SEARCH(":",AB15,1)+1)),0)</f>
        <v>#VALUE!</v>
      </c>
    </row>
    <row r="16" spans="1:51" x14ac:dyDescent="0.25">
      <c r="H16" s="1"/>
      <c r="J16" s="133">
        <f>J12-J15</f>
        <v>11.963033333333335</v>
      </c>
      <c r="K16" s="70" t="str">
        <f>AC16</f>
        <v>11:57:46.92</v>
      </c>
      <c r="L16" s="66" t="s">
        <v>66</v>
      </c>
      <c r="M16" s="66"/>
      <c r="N16" s="66"/>
      <c r="O16" s="69"/>
      <c r="P16" s="67"/>
      <c r="Q16" s="67"/>
      <c r="R16" s="67"/>
      <c r="AA16" s="93">
        <f>J16</f>
        <v>11.963033333333335</v>
      </c>
      <c r="AB16" s="1" t="str">
        <f>SUBSTITUTE(AA16,Constantes!$D$15,Constantes!$E$15)</f>
        <v>11.9630333333333</v>
      </c>
      <c r="AC16" s="113" t="str">
        <f>CONCATENATE(TEXT(AG16,"00"),":",TEXT(AH16,"00"),":",TEXT(AI16,"00.00"))</f>
        <v>11:57:46.92</v>
      </c>
      <c r="AD16"/>
      <c r="AE16"/>
      <c r="AF16"/>
      <c r="AG16" s="109">
        <f>INT(AB16)</f>
        <v>11</v>
      </c>
      <c r="AH16" s="109">
        <f>INT((AB16-AG16) * 60)</f>
        <v>57</v>
      </c>
      <c r="AI16" s="109">
        <f>(AB16-(AG16+AH16/60))*3600</f>
        <v>46.919999999882123</v>
      </c>
    </row>
    <row r="17" spans="2:51" x14ac:dyDescent="0.25">
      <c r="H17" s="1"/>
      <c r="I17" s="8"/>
      <c r="J17" s="133">
        <f>J12+J15</f>
        <v>12.463033333333335</v>
      </c>
      <c r="K17" s="70" t="str">
        <f>AC17</f>
        <v>12:27:46.92</v>
      </c>
      <c r="M17"/>
      <c r="N17" s="7"/>
      <c r="O17" s="45"/>
      <c r="AA17" s="93">
        <f>J17</f>
        <v>12.463033333333335</v>
      </c>
      <c r="AB17" s="1" t="str">
        <f>SUBSTITUTE(AA17,Constantes!$D$15,Constantes!$E$15)</f>
        <v>12.4630333333333</v>
      </c>
      <c r="AC17" s="113" t="str">
        <f>CONCATENATE(TEXT(AG17,"00"),":",TEXT(AH17,"00"),":",TEXT(AI17,"00.00"))</f>
        <v>12:27:46.92</v>
      </c>
      <c r="AD17"/>
      <c r="AE17"/>
      <c r="AF17"/>
      <c r="AG17" s="109">
        <f>INT(AB17)</f>
        <v>12</v>
      </c>
      <c r="AH17" s="109">
        <f>INT((AB17-AG17) * 60)</f>
        <v>27</v>
      </c>
      <c r="AI17" s="109">
        <f>(AB17-(AG17+AH17/60))*3600</f>
        <v>46.919999999882123</v>
      </c>
    </row>
    <row r="18" spans="2:51" x14ac:dyDescent="0.25">
      <c r="F18" s="7"/>
      <c r="G18" s="7"/>
      <c r="H18" s="44"/>
      <c r="I18" s="8"/>
      <c r="J18" s="7"/>
      <c r="K18" s="1"/>
      <c r="L18"/>
      <c r="M18" s="7"/>
      <c r="N18" s="8"/>
    </row>
    <row r="19" spans="2:51" ht="15.75" thickBot="1" x14ac:dyDescent="0.3"/>
    <row r="20" spans="2:51" ht="15.75" thickBot="1" x14ac:dyDescent="0.3">
      <c r="B20" s="176" t="s">
        <v>41</v>
      </c>
      <c r="C20" s="175" t="s">
        <v>40</v>
      </c>
      <c r="D20" s="175"/>
      <c r="E20" s="175"/>
      <c r="F20" s="175"/>
      <c r="G20" s="175"/>
      <c r="H20" s="175"/>
      <c r="I20" s="175"/>
      <c r="J20" s="175"/>
      <c r="K20" s="175"/>
      <c r="L20" s="179"/>
    </row>
    <row r="21" spans="2:51" x14ac:dyDescent="0.25">
      <c r="B21" s="177"/>
    </row>
    <row r="22" spans="2:51" x14ac:dyDescent="0.25">
      <c r="B22" s="177"/>
    </row>
    <row r="23" spans="2:51" x14ac:dyDescent="0.25">
      <c r="B23" s="177"/>
      <c r="C23" s="9" t="s">
        <v>14</v>
      </c>
    </row>
    <row r="24" spans="2:51" x14ac:dyDescent="0.25">
      <c r="B24" s="177"/>
      <c r="C24" s="9"/>
      <c r="D24" s="1" t="s">
        <v>20</v>
      </c>
      <c r="I24" s="8"/>
      <c r="J24" s="7"/>
      <c r="K24" s="8"/>
      <c r="L24" s="7"/>
      <c r="M24" s="7"/>
    </row>
    <row r="25" spans="2:51" x14ac:dyDescent="0.25">
      <c r="B25" s="177"/>
      <c r="C25" s="9"/>
      <c r="F25" s="28" t="s">
        <v>87</v>
      </c>
      <c r="G25" s="51" t="s">
        <v>28</v>
      </c>
      <c r="H25" s="50" t="s">
        <v>74</v>
      </c>
      <c r="I25" s="18"/>
      <c r="J25" s="75">
        <f>AC25*VLOOKUP(G25,Constantes!$D$6:$E$7,2)</f>
        <v>0.05</v>
      </c>
      <c r="K25" s="76" t="s">
        <v>0</v>
      </c>
      <c r="L25" s="20"/>
      <c r="M25" s="19"/>
      <c r="N25" s="71"/>
      <c r="AA25" s="163" t="str">
        <f>H25</f>
        <v>0°03'</v>
      </c>
      <c r="AB25" s="1" t="str">
        <f>SUBSTITUTE(AA25,Constantes!$D$15,Constantes!$E$15)</f>
        <v>0°03'</v>
      </c>
      <c r="AC25" s="112">
        <f>IF(AI25,AY25,IF(OR(AJ25,AK25),AU25,IF(AL25,AQ25,IF(AP25,AR25,361))))</f>
        <v>0.05</v>
      </c>
      <c r="AD25" s="110" t="b">
        <f>ISNUMBER(SEARCH("°",AB25,1))</f>
        <v>1</v>
      </c>
      <c r="AE25" s="104" t="b">
        <f>ISNUMBER(SEARCH("'",AB25,1))</f>
        <v>1</v>
      </c>
      <c r="AF25" s="104" t="b">
        <f>ISNUMBER(SEARCH("""",AB25,1))</f>
        <v>0</v>
      </c>
      <c r="AG25" s="105" t="b">
        <f>IF(AD25,IF(SEARCH("°",AB25,1)=LEN(AB25),TRUE, FALSE), FALSE)</f>
        <v>0</v>
      </c>
      <c r="AH25" s="105" t="b">
        <f>IF(NOT(ISNUMBER(SEARCH("'",AB25,1))), FALSE, IF(SEARCH("'",AB25,1)=LEN(AB25),TRUE, FALSE))</f>
        <v>1</v>
      </c>
      <c r="AI25" s="106" t="b">
        <f>IF(AND(AF25,AE25,AD25),TRUE,FALSE)</f>
        <v>0</v>
      </c>
      <c r="AJ25" s="106" t="b">
        <f>IF(AND(AE25, AD25,NOT(AF25),AH25,NOT(AI25)),TRUE,FALSE)</f>
        <v>1</v>
      </c>
      <c r="AK25" s="106" t="b">
        <f>IF(AND(NOT(AE25),AD25,NOT(AF25),NOT(AG25)*NOT(AI25)),TRUE,FALSE)</f>
        <v>0</v>
      </c>
      <c r="AL25" s="106" t="b">
        <f>IF(AND(NOT(AI25),NOT(AJ25),AG25),TRUE,FALSE)</f>
        <v>0</v>
      </c>
      <c r="AM25" s="105" t="b">
        <f>IF(AND(AI25,RIGHT(AB25)=""""),TRUE, FALSE)</f>
        <v>0</v>
      </c>
      <c r="AN25" s="105" t="b">
        <f>IF(OR(AJ25,AK25),TRUE, FALSE)</f>
        <v>1</v>
      </c>
      <c r="AO25" s="105" t="b">
        <f>IF(AND(AL25,RIGHT(AB25)="°"),TRUE, FALSE)</f>
        <v>0</v>
      </c>
      <c r="AP25" s="105" t="b">
        <f>IF(AND(AH25,NOT(AD25),NOT(AF25)),TRUE, FALSE)</f>
        <v>0</v>
      </c>
      <c r="AQ25" s="34" t="str">
        <f>LEFT(AB25, SEARCH("°",AB25,1)-1)</f>
        <v>0</v>
      </c>
      <c r="AR25" s="34" t="e">
        <f>(LEFT(AB25, SEARCH("'",AB25,1)-1))/60</f>
        <v>#VALUE!</v>
      </c>
      <c r="AS25" s="35" t="str">
        <f>LEFT(AB25, SEARCH("°",AB25,1)-1)</f>
        <v>0</v>
      </c>
      <c r="AT25" s="35" t="str">
        <f>MID(AB25, SEARCH("°",AB25,1) +1, IF(AJ25,SEARCH("'",AB25,1) - SEARCH("°",AB25,1) -1,LEN(AB25)-SEARCH("°",AB25,1)))</f>
        <v>03</v>
      </c>
      <c r="AU25" s="36">
        <f>AS25+AT25*1/60</f>
        <v>0.05</v>
      </c>
      <c r="AV25" s="38" t="str">
        <f>LEFT(AB25,SEARCH("°",AB25,1)-1)</f>
        <v>0</v>
      </c>
      <c r="AW25" s="37" t="str">
        <f>MID(AB25,SEARCH("°",AB25,1)+1,SEARCH("'",AB25,1)-SEARCH("°",AB25,1)-1)</f>
        <v>03</v>
      </c>
      <c r="AX25" s="37" t="e">
        <f>MID(AB25,SEARCH("'",AB25,1)+1,SEARCH("""",AB25,1)-SEARCH("'",AB25,1)-1)</f>
        <v>#VALUE!</v>
      </c>
      <c r="AY25" s="37" t="e">
        <f>AV25+AW25/60+AX25/3600</f>
        <v>#VALUE!</v>
      </c>
    </row>
    <row r="26" spans="2:51" x14ac:dyDescent="0.25">
      <c r="B26" s="177"/>
      <c r="C26" s="9"/>
      <c r="I26" s="18"/>
      <c r="J26" s="19"/>
      <c r="K26" s="18"/>
      <c r="L26" s="19"/>
      <c r="M26" s="19"/>
      <c r="N26" s="72"/>
    </row>
    <row r="27" spans="2:51" x14ac:dyDescent="0.25">
      <c r="B27" s="177"/>
      <c r="D27" s="9" t="s">
        <v>15</v>
      </c>
      <c r="G27" s="5"/>
      <c r="I27" s="18"/>
      <c r="J27" s="19"/>
      <c r="K27" s="18"/>
      <c r="L27" s="19"/>
      <c r="M27" s="19"/>
      <c r="N27" s="72"/>
    </row>
    <row r="28" spans="2:51" ht="15" customHeight="1" x14ac:dyDescent="0.25">
      <c r="B28" s="177"/>
      <c r="F28" s="28" t="s">
        <v>73</v>
      </c>
      <c r="G28" s="51"/>
      <c r="H28" s="50" t="s">
        <v>75</v>
      </c>
      <c r="I28" s="18"/>
      <c r="J28" s="75">
        <f>AC28</f>
        <v>63.116666666666667</v>
      </c>
      <c r="K28" s="76" t="s">
        <v>0</v>
      </c>
      <c r="L28" s="20"/>
      <c r="M28" s="19"/>
      <c r="N28" s="71"/>
      <c r="AA28" s="163" t="str">
        <f>H28</f>
        <v>63°07'</v>
      </c>
      <c r="AB28" s="1" t="str">
        <f>SUBSTITUTE(AA28,Constantes!$D$15,Constantes!$E$15)</f>
        <v>63°07'</v>
      </c>
      <c r="AC28" s="112">
        <f>IF(AI28,AY28,IF(OR(AJ28,AK28),AU28,IF(AL28,AQ28,IF(AP28,AR28,361))))</f>
        <v>63.116666666666667</v>
      </c>
      <c r="AD28" s="110" t="b">
        <f>ISNUMBER(SEARCH("°",AB28,1))</f>
        <v>1</v>
      </c>
      <c r="AE28" s="104" t="b">
        <f>ISNUMBER(SEARCH("'",AB28,1))</f>
        <v>1</v>
      </c>
      <c r="AF28" s="104" t="b">
        <f>ISNUMBER(SEARCH("""",AB28,1))</f>
        <v>0</v>
      </c>
      <c r="AG28" s="105" t="b">
        <f>IF(AD28,IF(SEARCH("°",AB28,1)=LEN(AB28),TRUE, FALSE), FALSE)</f>
        <v>0</v>
      </c>
      <c r="AH28" s="105" t="b">
        <f>IF(NOT(ISNUMBER(SEARCH("'",AB28,1))), FALSE, IF(SEARCH("'",AB28,1)=LEN(AB28),TRUE, FALSE))</f>
        <v>1</v>
      </c>
      <c r="AI28" s="106" t="b">
        <f>IF(AND(AF28,AE28,AD28),TRUE,FALSE)</f>
        <v>0</v>
      </c>
      <c r="AJ28" s="106" t="b">
        <f>IF(AND(AE28, AD28,NOT(AF28),AH28,NOT(AI28)),TRUE,FALSE)</f>
        <v>1</v>
      </c>
      <c r="AK28" s="106" t="b">
        <f>IF(AND(NOT(AE28),AD28,NOT(AF28),NOT(AG28)*NOT(AI28)),TRUE,FALSE)</f>
        <v>0</v>
      </c>
      <c r="AL28" s="106" t="b">
        <f>IF(AND(NOT(AI28),NOT(AJ28),AG28),TRUE,FALSE)</f>
        <v>0</v>
      </c>
      <c r="AM28" s="105" t="b">
        <f>IF(AND(AI28,RIGHT(AB28)=""""),TRUE, FALSE)</f>
        <v>0</v>
      </c>
      <c r="AN28" s="105" t="b">
        <f>IF(OR(AJ28,AK28),TRUE, FALSE)</f>
        <v>1</v>
      </c>
      <c r="AO28" s="105" t="b">
        <f>IF(AND(AL28,RIGHT(AB28)="°"),TRUE, FALSE)</f>
        <v>0</v>
      </c>
      <c r="AP28" s="105" t="b">
        <f>IF(AND(AH28,NOT(AD28),NOT(AF28)),TRUE, FALSE)</f>
        <v>0</v>
      </c>
      <c r="AQ28" s="34" t="str">
        <f>LEFT(AB28, SEARCH("°",AB28,1)-1)</f>
        <v>63</v>
      </c>
      <c r="AR28" s="34" t="e">
        <f>(LEFT(AB28, SEARCH("'",AB28,1)-1))/60</f>
        <v>#VALUE!</v>
      </c>
      <c r="AS28" s="35" t="str">
        <f>LEFT(AB28, SEARCH("°",AB28,1)-1)</f>
        <v>63</v>
      </c>
      <c r="AT28" s="35" t="str">
        <f>MID(AB28, SEARCH("°",AB28,1) +1, IF(AJ28,SEARCH("'",AB28,1) - SEARCH("°",AB28,1) -1,LEN(AB28)-SEARCH("°",AB28,1)))</f>
        <v>07</v>
      </c>
      <c r="AU28" s="36">
        <f>AS28+AT28*1/60</f>
        <v>63.116666666666667</v>
      </c>
      <c r="AV28" s="38" t="str">
        <f>LEFT(AB28,SEARCH("°",AB28,1)-1)</f>
        <v>63</v>
      </c>
      <c r="AW28" s="37" t="str">
        <f>MID(AB28,SEARCH("°",AB28,1)+1,SEARCH("'",AB28,1)-SEARCH("°",AB28,1)-1)</f>
        <v>07</v>
      </c>
      <c r="AX28" s="37" t="e">
        <f>MID(AB28,SEARCH("'",AB28,1)+1,SEARCH("""",AB28,1)-SEARCH("'",AB28,1)-1)</f>
        <v>#VALUE!</v>
      </c>
      <c r="AY28" s="37" t="e">
        <f>AV28+AW28/60+AX28/3600</f>
        <v>#VALUE!</v>
      </c>
    </row>
    <row r="29" spans="2:51" x14ac:dyDescent="0.25">
      <c r="B29" s="177"/>
      <c r="I29" s="18"/>
      <c r="K29" s="75">
        <f>J28-J25</f>
        <v>63.06666666666667</v>
      </c>
      <c r="L29" s="73" t="str">
        <f>AC29</f>
        <v>63°04'00.00"</v>
      </c>
      <c r="M29" s="74" t="s">
        <v>76</v>
      </c>
      <c r="N29" s="46"/>
      <c r="O29" s="73"/>
      <c r="AA29" s="93">
        <f>K29</f>
        <v>63.06666666666667</v>
      </c>
      <c r="AB29" s="1" t="str">
        <f>SUBSTITUTE(AA29,Constantes!$D$15,Constantes!$E$15)</f>
        <v>63.0666666666667</v>
      </c>
      <c r="AC29" s="113" t="str">
        <f>AH29</f>
        <v>63°04'00.00"</v>
      </c>
      <c r="AD29" s="111" t="str">
        <f>SUBSTITUTE(AB29,"°","")</f>
        <v>63.0666666666667</v>
      </c>
      <c r="AE29" s="104" t="b">
        <f>IF(ISNUMBER(SEARCH("°",AB29,1)),IF(SEARCH("°",AB29,1)=LEN(AB29),TRUE,FALSE),FALSE)</f>
        <v>0</v>
      </c>
      <c r="AF29" s="157" t="b">
        <f>IF(ISNUMBER(SEARCH("'",AB29,1)),IF(SEARCH("'",AB29,1)=LEN(AB29),TRUE,FALSE),FALSE)</f>
        <v>0</v>
      </c>
      <c r="AG29" s="157" t="b">
        <f>IF(ISNUMBER(SEARCH("""",AB29,1)),IF(SEARCH("""",AB29,1)=LEN(AB29),TRUE,FALSE),FALSE)</f>
        <v>0</v>
      </c>
      <c r="AH29" s="158" t="str">
        <f>CONCATENATE(TEXT(AI29,"00"),"°",TEXT(AJ29,"00"),"'",TEXT(AK29,"00.00"),"""")</f>
        <v>63°04'00.00"</v>
      </c>
      <c r="AI29" s="109">
        <f>INT(AD29)</f>
        <v>63</v>
      </c>
      <c r="AJ29" s="109">
        <f>INT((AD29-AI29) * 60)</f>
        <v>4</v>
      </c>
      <c r="AK29" s="109">
        <f>(AD29-(AI29 + AJ29/60))*3600</f>
        <v>1.0231815394945443E-10</v>
      </c>
      <c r="AL29" s="35" t="str">
        <f>SUBSTITUTE(AB29,"'","")</f>
        <v>63.0666666666667</v>
      </c>
      <c r="AM29" s="35">
        <f>(AL29*100/60)/60</f>
        <v>1.7518518518518527</v>
      </c>
      <c r="AN29" s="162" t="str">
        <f>SUBSTITUTE(AD29,"""","")</f>
        <v>63.0666666666667</v>
      </c>
      <c r="AO29" s="162">
        <f>AN29*100/60</f>
        <v>105.11111111111116</v>
      </c>
      <c r="AP29"/>
      <c r="AQ29"/>
    </row>
    <row r="30" spans="2:51" x14ac:dyDescent="0.25">
      <c r="B30" s="177"/>
      <c r="C30" s="9"/>
      <c r="D30" s="1" t="s">
        <v>30</v>
      </c>
      <c r="I30" s="18"/>
      <c r="J30" s="19"/>
      <c r="K30" s="18"/>
      <c r="L30" s="19"/>
      <c r="M30" s="19"/>
      <c r="N30" s="72"/>
    </row>
    <row r="31" spans="2:51" ht="18.75" x14ac:dyDescent="0.3">
      <c r="B31" s="177"/>
      <c r="C31" s="9"/>
      <c r="F31" s="54" t="s">
        <v>37</v>
      </c>
      <c r="G31" s="55"/>
      <c r="H31" s="57">
        <v>4</v>
      </c>
      <c r="I31" s="59" t="s">
        <v>26</v>
      </c>
      <c r="J31" s="75">
        <v>0.2</v>
      </c>
      <c r="K31" s="76" t="s">
        <v>0</v>
      </c>
      <c r="L31" s="77" t="str">
        <f>CONCATENATE(INT(J31),"°",TEXT((J31-INT(J31))*60,"00.00"),"'")</f>
        <v>0°12.00'</v>
      </c>
      <c r="M31" s="151" t="s">
        <v>136</v>
      </c>
    </row>
    <row r="32" spans="2:51" x14ac:dyDescent="0.25">
      <c r="B32" s="177"/>
      <c r="C32" s="9"/>
      <c r="F32" s="17"/>
      <c r="G32" s="21"/>
      <c r="H32" s="23"/>
      <c r="I32" s="18"/>
      <c r="J32" s="19"/>
      <c r="P32"/>
    </row>
    <row r="33" spans="2:43" x14ac:dyDescent="0.25">
      <c r="B33" s="177"/>
      <c r="C33" s="9"/>
      <c r="D33" s="1" t="s">
        <v>31</v>
      </c>
      <c r="I33" s="72"/>
      <c r="J33" s="11"/>
      <c r="K33" s="72"/>
      <c r="L33" s="11"/>
      <c r="M33" s="11"/>
      <c r="N33" s="72"/>
    </row>
    <row r="34" spans="2:43" s="7" customFormat="1" ht="18" x14ac:dyDescent="0.25">
      <c r="B34" s="177"/>
      <c r="C34" s="22"/>
      <c r="F34" s="54" t="s">
        <v>38</v>
      </c>
      <c r="G34" s="56"/>
      <c r="H34" s="57" t="s">
        <v>33</v>
      </c>
      <c r="I34" s="18"/>
      <c r="J34" s="75">
        <f>VLOOKUP(H34,Constantes!$D$9:$E$10,2)</f>
        <v>0</v>
      </c>
      <c r="K34" s="76" t="s">
        <v>0</v>
      </c>
      <c r="L34" s="20"/>
      <c r="M34" s="19"/>
      <c r="N34" s="20"/>
    </row>
    <row r="35" spans="2:43" ht="15.75" thickBot="1" x14ac:dyDescent="0.3">
      <c r="B35" s="178"/>
      <c r="C35" s="9"/>
      <c r="I35" s="72"/>
      <c r="J35" s="11"/>
      <c r="K35" s="18">
        <f>K29+J31+J34</f>
        <v>63.266666666666673</v>
      </c>
      <c r="L35" s="73" t="str">
        <f>AC35</f>
        <v>63°16'00.00"</v>
      </c>
      <c r="M35" s="74" t="s">
        <v>85</v>
      </c>
      <c r="N35" s="46"/>
      <c r="O35" s="73"/>
      <c r="AA35" s="93">
        <f>K35</f>
        <v>63.266666666666673</v>
      </c>
      <c r="AB35" s="1" t="str">
        <f>SUBSTITUTE(AA35,Constantes!$D$15,Constantes!$E$15)</f>
        <v>63.2666666666667</v>
      </c>
      <c r="AC35" s="113" t="str">
        <f>AH35</f>
        <v>63°16'00.00"</v>
      </c>
      <c r="AD35" s="111" t="str">
        <f>SUBSTITUTE(AB35,"°","")</f>
        <v>63.2666666666667</v>
      </c>
      <c r="AE35" s="104" t="b">
        <f>IF(ISNUMBER(SEARCH("°",AB35,1)),IF(SEARCH("°",AB35,1)=LEN(AB35),TRUE,FALSE),FALSE)</f>
        <v>0</v>
      </c>
      <c r="AF35" s="157" t="b">
        <f>IF(ISNUMBER(SEARCH("'",AB35,1)),IF(SEARCH("'",AB35,1)=LEN(AB35),TRUE,FALSE),FALSE)</f>
        <v>0</v>
      </c>
      <c r="AG35" s="157" t="b">
        <f>IF(ISNUMBER(SEARCH("""",AB35,1)),IF(SEARCH("""",AB35,1)=LEN(AB35),TRUE,FALSE),FALSE)</f>
        <v>0</v>
      </c>
      <c r="AH35" s="158" t="str">
        <f>CONCATENATE(TEXT(AI35,"00"),"°",TEXT(AJ35,"00"),"'",TEXT(AK35,"00.00"),"""")</f>
        <v>63°16'00.00"</v>
      </c>
      <c r="AI35" s="109">
        <f>INT(AD35)</f>
        <v>63</v>
      </c>
      <c r="AJ35" s="109">
        <f>INT((AD35-AI35) * 60)</f>
        <v>16</v>
      </c>
      <c r="AK35" s="109">
        <f>(AD35-(AI35 + AJ35/60))*3600</f>
        <v>1.2789769243681803E-10</v>
      </c>
      <c r="AL35" s="35" t="str">
        <f>SUBSTITUTE(AB35,"'","")</f>
        <v>63.2666666666667</v>
      </c>
      <c r="AM35" s="35">
        <f>(AL35*100/60)/60</f>
        <v>1.7574074074074084</v>
      </c>
      <c r="AN35" s="162" t="str">
        <f>SUBSTITUTE(AD35,"""","")</f>
        <v>63.2666666666667</v>
      </c>
      <c r="AO35" s="162">
        <f>AN35*100/60</f>
        <v>105.4444444444445</v>
      </c>
      <c r="AP35"/>
      <c r="AQ35"/>
    </row>
    <row r="36" spans="2:43" x14ac:dyDescent="0.25">
      <c r="B36" s="24"/>
      <c r="C36" s="9"/>
    </row>
    <row r="37" spans="2:43" x14ac:dyDescent="0.25">
      <c r="B37" s="24"/>
      <c r="C37" s="9"/>
      <c r="D37" s="1" t="s">
        <v>44</v>
      </c>
    </row>
    <row r="38" spans="2:43" x14ac:dyDescent="0.25">
      <c r="B38" s="24"/>
      <c r="C38" s="9"/>
      <c r="H38" s="1"/>
      <c r="J38" s="83"/>
      <c r="K38" s="78">
        <f>90-K35</f>
        <v>26.733333333333327</v>
      </c>
      <c r="L38" s="73" t="str">
        <f>AC38</f>
        <v>26°43'60.00"</v>
      </c>
      <c r="M38" s="74" t="s">
        <v>86</v>
      </c>
      <c r="N38" s="46"/>
      <c r="O38" s="73"/>
      <c r="AA38" s="93">
        <f>K38</f>
        <v>26.733333333333327</v>
      </c>
      <c r="AB38" s="1" t="str">
        <f>SUBSTITUTE(AA38,Constantes!$D$15,Constantes!$E$15)</f>
        <v>26.7333333333333</v>
      </c>
      <c r="AC38" s="113" t="str">
        <f>AH38</f>
        <v>26°43'60.00"</v>
      </c>
      <c r="AD38" s="111" t="str">
        <f>SUBSTITUTE(AB38,"°","")</f>
        <v>26.7333333333333</v>
      </c>
      <c r="AE38" s="104" t="b">
        <f>IF(ISNUMBER(SEARCH("°",AB38,1)),IF(SEARCH("°",AB38,1)=LEN(AB38),TRUE,FALSE),FALSE)</f>
        <v>0</v>
      </c>
      <c r="AF38" s="157" t="b">
        <f>IF(ISNUMBER(SEARCH("'",AB38,1)),IF(SEARCH("'",AB38,1)=LEN(AB38),TRUE,FALSE),FALSE)</f>
        <v>0</v>
      </c>
      <c r="AG38" s="157" t="b">
        <f>IF(ISNUMBER(SEARCH("""",AB38,1)),IF(SEARCH("""",AB38,1)=LEN(AB38),TRUE,FALSE),FALSE)</f>
        <v>0</v>
      </c>
      <c r="AH38" s="158" t="str">
        <f>CONCATENATE(TEXT(AI38,"00"),"°",TEXT(AJ38,"00"),"'",TEXT(AK38,"00.00"),"""")</f>
        <v>26°43'60.00"</v>
      </c>
      <c r="AI38" s="109">
        <f>INT(AD38)</f>
        <v>26</v>
      </c>
      <c r="AJ38" s="109">
        <f>INT((AD38-AI38) * 60)</f>
        <v>43</v>
      </c>
      <c r="AK38" s="109">
        <f>(AD38-(AI38 + AJ38/60))*3600</f>
        <v>59.999999999881481</v>
      </c>
      <c r="AL38" s="35" t="str">
        <f>SUBSTITUTE(AB38,"'","")</f>
        <v>26.7333333333333</v>
      </c>
      <c r="AM38" s="35">
        <f>(AL38*100/60)/60</f>
        <v>0.74259259259259169</v>
      </c>
      <c r="AN38" s="162" t="str">
        <f>SUBSTITUTE(AD38,"""","")</f>
        <v>26.7333333333333</v>
      </c>
      <c r="AO38" s="162">
        <f>AN38*100/60</f>
        <v>44.5555555555555</v>
      </c>
      <c r="AP38"/>
      <c r="AQ38"/>
    </row>
    <row r="39" spans="2:43" ht="15.75" thickBot="1" x14ac:dyDescent="0.3">
      <c r="B39" s="24"/>
      <c r="C39" s="9"/>
      <c r="H39" s="1"/>
      <c r="I39" s="1"/>
      <c r="K39" s="1"/>
      <c r="N39" s="1"/>
    </row>
    <row r="40" spans="2:43" ht="15.75" thickBot="1" x14ac:dyDescent="0.3">
      <c r="B40" s="24"/>
      <c r="C40" s="9"/>
      <c r="D40" s="91"/>
      <c r="E40" s="91"/>
      <c r="F40" s="84" t="s">
        <v>45</v>
      </c>
      <c r="G40" s="89" t="str">
        <f>G9</f>
        <v>N</v>
      </c>
      <c r="H40" s="90" t="str">
        <f>AC40</f>
        <v>50°08'60.00"</v>
      </c>
      <c r="I40" s="87"/>
      <c r="J40" s="86"/>
      <c r="K40" s="86">
        <f>IF(J9&lt;0,J9-K38,J9+K38)</f>
        <v>50.149999999999991</v>
      </c>
      <c r="L40" s="86"/>
      <c r="M40" s="86"/>
      <c r="N40" s="88"/>
      <c r="AA40" s="93">
        <f>K40</f>
        <v>50.149999999999991</v>
      </c>
      <c r="AB40" s="1" t="str">
        <f>SUBSTITUTE(AA40,Constantes!$D$15,Constantes!$E$15)</f>
        <v>50.15</v>
      </c>
      <c r="AC40" s="113" t="str">
        <f>AH40</f>
        <v>50°08'60.00"</v>
      </c>
      <c r="AD40" s="111" t="str">
        <f>SUBSTITUTE(AB40,"°","")</f>
        <v>50.15</v>
      </c>
      <c r="AE40" s="104" t="b">
        <f>IF(ISNUMBER(SEARCH("°",AB40,1)),IF(SEARCH("°",AB40,1)=LEN(AB40),TRUE,FALSE),FALSE)</f>
        <v>0</v>
      </c>
      <c r="AF40" s="157" t="b">
        <f>IF(ISNUMBER(SEARCH("'",AB40,1)),IF(SEARCH("'",AB40,1)=LEN(AB40),TRUE,FALSE),FALSE)</f>
        <v>0</v>
      </c>
      <c r="AG40" s="157" t="b">
        <f>IF(ISNUMBER(SEARCH("""",AB40,1)),IF(SEARCH("""",AB40,1)=LEN(AB40),TRUE,FALSE),FALSE)</f>
        <v>0</v>
      </c>
      <c r="AH40" s="158" t="str">
        <f>CONCATENATE(TEXT(AI40,"00"),"°",TEXT(AJ40,"00"),"'",TEXT(AK40,"00.00"),"""")</f>
        <v>50°08'60.00"</v>
      </c>
      <c r="AI40" s="109">
        <f>INT(AD40)</f>
        <v>50</v>
      </c>
      <c r="AJ40" s="109">
        <f>INT((AD40-AI40) * 60)</f>
        <v>8</v>
      </c>
      <c r="AK40" s="109">
        <f>(AD40-(AI40 + AJ40/60))*3600</f>
        <v>59.999999999996589</v>
      </c>
      <c r="AL40" s="35" t="str">
        <f>SUBSTITUTE(AB40,"'","")</f>
        <v>50.15</v>
      </c>
      <c r="AM40" s="35">
        <f>(AL40*100/60)/60</f>
        <v>1.3930555555555555</v>
      </c>
      <c r="AN40" s="162" t="str">
        <f>SUBSTITUTE(AD40,"""","")</f>
        <v>50.15</v>
      </c>
      <c r="AO40" s="162">
        <f>AN40*100/60</f>
        <v>83.583333333333329</v>
      </c>
      <c r="AP40"/>
      <c r="AQ40"/>
    </row>
    <row r="41" spans="2:43" x14ac:dyDescent="0.25">
      <c r="B41" s="24"/>
      <c r="C41" s="9"/>
    </row>
    <row r="42" spans="2:43" x14ac:dyDescent="0.25">
      <c r="B42" s="24"/>
      <c r="C42" s="9"/>
    </row>
    <row r="43" spans="2:43" x14ac:dyDescent="0.25">
      <c r="B43" s="24"/>
      <c r="C43" s="9"/>
    </row>
    <row r="44" spans="2:43" ht="15.75" thickBot="1" x14ac:dyDescent="0.3">
      <c r="B44" s="24"/>
      <c r="C44" s="9"/>
    </row>
    <row r="45" spans="2:43" ht="13.5" customHeight="1" thickBot="1" x14ac:dyDescent="0.3">
      <c r="B45" s="180" t="s">
        <v>43</v>
      </c>
      <c r="C45" s="183" t="s">
        <v>42</v>
      </c>
      <c r="D45" s="183"/>
      <c r="E45" s="183"/>
      <c r="F45" s="183"/>
      <c r="G45" s="183"/>
      <c r="H45" s="183"/>
      <c r="I45" s="183"/>
      <c r="J45" s="183"/>
      <c r="K45" s="183"/>
      <c r="L45" s="184"/>
    </row>
    <row r="46" spans="2:43" ht="13.5" customHeight="1" x14ac:dyDescent="0.25">
      <c r="B46" s="181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2:43" ht="13.5" customHeight="1" x14ac:dyDescent="0.25">
      <c r="B47" s="181"/>
      <c r="C47" s="60"/>
      <c r="D47" s="61" t="s">
        <v>88</v>
      </c>
      <c r="E47" s="62"/>
      <c r="F47" s="62"/>
      <c r="G47" s="62"/>
      <c r="H47" s="7" t="str">
        <f>K13</f>
        <v>12:12:46.92</v>
      </c>
      <c r="I47" s="60"/>
      <c r="J47" s="60"/>
      <c r="K47" s="60">
        <f>AC47</f>
        <v>12.213033333333332</v>
      </c>
      <c r="L47" s="60"/>
      <c r="AA47" s="93" t="str">
        <f>H47</f>
        <v>12:12:46.92</v>
      </c>
      <c r="AB47" s="1" t="str">
        <f>SUBSTITUTE(AA47,Constantes!$D$15,Constantes!$E$15)</f>
        <v>12:12:46.92</v>
      </c>
      <c r="AC47" s="113">
        <f>AH47+AI47/60+IF(AF47,AJ47/3600,0)</f>
        <v>12.213033333333332</v>
      </c>
      <c r="AD47" t="b">
        <f>ISNUMBER(SEARCH(":",AB47,1))</f>
        <v>1</v>
      </c>
      <c r="AE47">
        <f>SEARCH(":",AB47,1)</f>
        <v>3</v>
      </c>
      <c r="AF47" t="b">
        <f>ISNUMBER(SEARCH(":",AB47,AE47+1))</f>
        <v>1</v>
      </c>
      <c r="AG47" t="e">
        <f>IF(AF47,SEARCH(":",AC47,AE47+1),-1)</f>
        <v>#VALUE!</v>
      </c>
      <c r="AH47" s="109" t="str">
        <f>IF(AD47,LEFT(AB47,SEARCH(":",AB47)-1),AB47)</f>
        <v>12</v>
      </c>
      <c r="AI47" s="109" t="str">
        <f>IF(AD47,MID(AB47,SEARCH(":",AB47,1)+1,IF(AF47,SEARCH(":",AB47,1+SEARCH(":",AB47,1))-SEARCH(":",AB47,1)-1,LEN(AB47)-SEARCH(":",AB47,1))),0)</f>
        <v>12</v>
      </c>
      <c r="AJ47" s="109" t="str">
        <f>IF(AD47,RIGHT(AB47,LEN(AB47)-SEARCH(":",AB47,SEARCH(":",AB47,1)+1)),0)</f>
        <v>46.92</v>
      </c>
    </row>
    <row r="48" spans="2:43" ht="13.5" customHeight="1" x14ac:dyDescent="0.25">
      <c r="B48" s="181"/>
      <c r="C48" s="60"/>
      <c r="D48" s="60"/>
      <c r="E48" s="60"/>
      <c r="F48" s="60"/>
      <c r="G48" s="60"/>
      <c r="H48" s="1"/>
      <c r="I48" s="60"/>
      <c r="J48" s="60"/>
      <c r="K48" s="60"/>
      <c r="L48" s="60"/>
    </row>
    <row r="49" spans="2:43" x14ac:dyDescent="0.25">
      <c r="B49" s="181"/>
      <c r="D49" s="9" t="s">
        <v>16</v>
      </c>
    </row>
    <row r="50" spans="2:43" x14ac:dyDescent="0.25">
      <c r="B50" s="181"/>
      <c r="D50" s="10"/>
      <c r="E50" s="12"/>
      <c r="F50" s="10"/>
      <c r="G50" s="10"/>
      <c r="H50" s="32"/>
      <c r="I50" s="10"/>
      <c r="J50" s="10"/>
      <c r="K50" s="10"/>
      <c r="L50" s="10"/>
      <c r="M50"/>
      <c r="N50"/>
    </row>
    <row r="51" spans="2:43" x14ac:dyDescent="0.25">
      <c r="B51" s="181"/>
      <c r="D51" s="11"/>
      <c r="E51" s="173" t="s">
        <v>17</v>
      </c>
      <c r="F51" s="173"/>
      <c r="G51" s="173"/>
      <c r="H51" s="59"/>
      <c r="I51" s="11"/>
      <c r="J51" s="11"/>
      <c r="K51" s="11"/>
      <c r="L51" s="11"/>
      <c r="M51"/>
      <c r="N51"/>
    </row>
    <row r="52" spans="2:43" x14ac:dyDescent="0.25">
      <c r="B52" s="181"/>
      <c r="F52" s="28" t="s">
        <v>67</v>
      </c>
      <c r="G52" s="14"/>
      <c r="H52" s="42" t="s">
        <v>98</v>
      </c>
      <c r="I52"/>
      <c r="J52"/>
      <c r="K52">
        <f>AC52</f>
        <v>10.086388888888889</v>
      </c>
      <c r="L52"/>
      <c r="M52"/>
      <c r="N52"/>
      <c r="AA52" s="93" t="str">
        <f>H52</f>
        <v>10:05:11</v>
      </c>
      <c r="AB52" s="1" t="str">
        <f>SUBSTITUTE(AA52,Constantes!$D$15,Constantes!$E$15)</f>
        <v>10:05:11</v>
      </c>
      <c r="AC52" s="94">
        <f>AI52+AJ52/60+IF(AF52,AK52/3600,0)</f>
        <v>10.086388888888889</v>
      </c>
      <c r="AD52"/>
      <c r="AE52">
        <f>SEARCH(":",AB52,1)</f>
        <v>3</v>
      </c>
      <c r="AF52" t="b">
        <f>ISNUMBER(SEARCH(":",AB52,AE52+1))</f>
        <v>1</v>
      </c>
      <c r="AG52" t="e">
        <f>IF(AF52,SEARCH(":",AC52,AE52+1),-1)</f>
        <v>#VALUE!</v>
      </c>
      <c r="AH52"/>
      <c r="AI52" t="str">
        <f>LEFT(AB52,SEARCH(":",AB52) -1)</f>
        <v>10</v>
      </c>
      <c r="AJ52" t="str">
        <f>MID(AB52,SEARCH(":",AB52,1)+1,   IF(AF52,SEARCH(":",AB52,1+SEARCH(":",AB52,1))-SEARCH(":",AB52,1)-1, LEN(AB52)-SEARCH(":",AB52,1)))</f>
        <v>05</v>
      </c>
      <c r="AK52" t="str">
        <f>RIGHT(AB52,LEN(AB52)-SEARCH(":",AB52,SEARCH(":",AB52,1)+1))</f>
        <v>11</v>
      </c>
    </row>
    <row r="53" spans="2:43" x14ac:dyDescent="0.25">
      <c r="B53" s="181"/>
      <c r="D53" s="11"/>
      <c r="E53" s="58"/>
      <c r="F53" s="11"/>
      <c r="G53" s="11"/>
      <c r="H53" s="59"/>
      <c r="I53" s="11"/>
      <c r="J53" s="11"/>
      <c r="K53" s="11"/>
      <c r="L53" s="11"/>
      <c r="M53"/>
      <c r="N53"/>
    </row>
    <row r="54" spans="2:43" x14ac:dyDescent="0.25">
      <c r="B54" s="181"/>
      <c r="D54" s="11"/>
      <c r="E54" s="173" t="s">
        <v>68</v>
      </c>
      <c r="F54" s="173"/>
      <c r="G54" s="173"/>
      <c r="H54" s="59"/>
      <c r="I54" s="11"/>
      <c r="J54" s="11"/>
      <c r="K54" s="11"/>
      <c r="L54" s="11"/>
      <c r="M54"/>
      <c r="N54"/>
    </row>
    <row r="55" spans="2:43" ht="15" customHeight="1" x14ac:dyDescent="0.25">
      <c r="B55" s="181"/>
      <c r="F55" s="28" t="s">
        <v>21</v>
      </c>
      <c r="G55" s="51"/>
      <c r="H55" s="31" t="s">
        <v>65</v>
      </c>
      <c r="I55" s="47"/>
      <c r="J55" s="48"/>
      <c r="K55" s="47"/>
      <c r="L55" s="49"/>
      <c r="M55"/>
      <c r="N55" t="s">
        <v>94</v>
      </c>
      <c r="Q55" s="1">
        <f>(K52+L59)/2</f>
        <v>12.172777777777778</v>
      </c>
      <c r="AA55" s="93">
        <f>Q55</f>
        <v>12.172777777777778</v>
      </c>
      <c r="AB55" s="1" t="str">
        <f>SUBSTITUTE(AA55,Constantes!$D$15,Constantes!$E$15)</f>
        <v>12.1727777777778</v>
      </c>
      <c r="AC55" s="94" t="str">
        <f>CONCATENATE(TEXT(AI55,"00"),":",TEXT(AJ55,"00"),":",TEXT(AK55,"00.00"))</f>
        <v>12:10:22.00</v>
      </c>
      <c r="AD55"/>
      <c r="AE55"/>
      <c r="AF55"/>
      <c r="AH55"/>
      <c r="AI55">
        <f>INT(AB55)</f>
        <v>12</v>
      </c>
      <c r="AJ55">
        <f>INT((AB55-AI55) * 60)</f>
        <v>10</v>
      </c>
      <c r="AK55">
        <f>(AB55-(AI55+AJ55/60))*3600</f>
        <v>22.000000000080178</v>
      </c>
      <c r="AL55"/>
    </row>
    <row r="56" spans="2:43" x14ac:dyDescent="0.25">
      <c r="B56" s="181"/>
      <c r="D56" s="11"/>
      <c r="E56" s="58"/>
      <c r="F56" s="11"/>
      <c r="G56" s="11"/>
      <c r="H56" s="59"/>
      <c r="I56" s="11"/>
      <c r="J56" s="11"/>
      <c r="K56" s="11"/>
      <c r="L56" s="11"/>
      <c r="M56"/>
      <c r="N56" t="s">
        <v>95</v>
      </c>
      <c r="Q56" s="1">
        <f>$J$10</f>
        <v>12.019444444444446</v>
      </c>
      <c r="AA56" s="93">
        <f>U56</f>
        <v>0</v>
      </c>
      <c r="AB56" s="1" t="str">
        <f>SUBSTITUTE(AA56,Constantes!$D$15,Constantes!$E$15)</f>
        <v>0</v>
      </c>
      <c r="AC56" s="94" t="str">
        <f>CONCATENATE(TEXT(AI56,"00"),":",TEXT(AJ56,"00"),":",TEXT(AK56,"00.00"))</f>
        <v>00:00:00.00</v>
      </c>
      <c r="AD56"/>
      <c r="AE56"/>
      <c r="AF56"/>
      <c r="AH56"/>
      <c r="AI56">
        <f>INT(AB56)</f>
        <v>0</v>
      </c>
      <c r="AJ56">
        <f>INT((AB56-AI56) * 60)</f>
        <v>0</v>
      </c>
      <c r="AK56">
        <f>(AB56-(AI56+AJ56/60))*3600</f>
        <v>0</v>
      </c>
      <c r="AN56" s="1">
        <f>60*(AB56-AI56)</f>
        <v>0</v>
      </c>
    </row>
    <row r="57" spans="2:43" x14ac:dyDescent="0.25">
      <c r="B57" s="181"/>
      <c r="D57" s="11"/>
      <c r="E57" s="173" t="s">
        <v>18</v>
      </c>
      <c r="F57" s="173"/>
      <c r="G57" s="173"/>
      <c r="H57" s="59"/>
      <c r="I57" s="11"/>
      <c r="J57" s="11"/>
      <c r="K57" s="11"/>
      <c r="L57" s="11"/>
      <c r="M57"/>
      <c r="N57"/>
    </row>
    <row r="58" spans="2:43" ht="15.75" thickBot="1" x14ac:dyDescent="0.3">
      <c r="B58" s="181"/>
      <c r="F58" s="28" t="s">
        <v>69</v>
      </c>
      <c r="G58" s="63"/>
      <c r="H58" s="3" t="str">
        <f>AC58</f>
        <v>14:20:22.84</v>
      </c>
      <c r="I58" s="39"/>
      <c r="J58" s="40"/>
      <c r="K58" s="39">
        <f>$K$47+($K$47-K52)</f>
        <v>14.339677777777775</v>
      </c>
      <c r="L58" s="40"/>
      <c r="M58"/>
      <c r="N58" t="s">
        <v>96</v>
      </c>
      <c r="Q58" s="1">
        <f>Q55-Q56</f>
        <v>0.15333333333333243</v>
      </c>
      <c r="AA58" s="93">
        <f>K58</f>
        <v>14.339677777777775</v>
      </c>
      <c r="AB58" s="1" t="str">
        <f>SUBSTITUTE(AA58,Constantes!$D$15,Constantes!$E$15)</f>
        <v>14.3396777777778</v>
      </c>
      <c r="AC58" s="113" t="str">
        <f>CONCATENATE(TEXT(AG58,"00"),":",TEXT(AH58,"00"),":",TEXT(AI58,"00.00"))</f>
        <v>14:20:22.84</v>
      </c>
      <c r="AD58"/>
      <c r="AE58"/>
      <c r="AF58"/>
      <c r="AG58" s="109">
        <f>INT(AB58)</f>
        <v>14</v>
      </c>
      <c r="AH58" s="109">
        <f>INT((AB58-AG58) * 60)</f>
        <v>20</v>
      </c>
      <c r="AI58" s="109">
        <f>(AB58-(AG58+AH58/60))*3600</f>
        <v>22.840000000076088</v>
      </c>
      <c r="AJ58"/>
      <c r="AK58"/>
      <c r="AL58"/>
      <c r="AM58"/>
      <c r="AN58"/>
    </row>
    <row r="59" spans="2:43" ht="16.5" thickTop="1" thickBot="1" x14ac:dyDescent="0.3">
      <c r="B59" s="181"/>
      <c r="D59" s="11"/>
      <c r="E59" s="58"/>
      <c r="F59" s="64" t="s">
        <v>70</v>
      </c>
      <c r="G59" s="11"/>
      <c r="H59" s="95" t="s">
        <v>99</v>
      </c>
      <c r="I59" s="11"/>
      <c r="J59" s="11"/>
      <c r="K59" s="11"/>
      <c r="L59" s="11">
        <f>AC59</f>
        <v>14.259166666666667</v>
      </c>
      <c r="M59"/>
      <c r="N59" s="96" t="s">
        <v>97</v>
      </c>
      <c r="O59" s="97"/>
      <c r="P59" s="98" t="str">
        <f>IF(Q58&gt;0,"W", "E")</f>
        <v>W</v>
      </c>
      <c r="Q59" s="99" t="str">
        <f>AC61</f>
        <v>00°09'12.00"</v>
      </c>
      <c r="AA59" s="93" t="str">
        <f>H59</f>
        <v>14:15:33</v>
      </c>
      <c r="AB59" s="1" t="str">
        <f>SUBSTITUTE(AA59,Constantes!$D$15,Constantes!$E$15)</f>
        <v>14:15:33</v>
      </c>
      <c r="AC59" s="113">
        <f>AH59+AI59/60+IF(AF59,AJ59/3600,0)</f>
        <v>14.259166666666667</v>
      </c>
      <c r="AD59" t="b">
        <f>ISNUMBER(SEARCH(":",AB59,1))</f>
        <v>1</v>
      </c>
      <c r="AE59">
        <f>SEARCH(":",AB59,1)</f>
        <v>3</v>
      </c>
      <c r="AF59" t="b">
        <f>ISNUMBER(SEARCH(":",AB59,AE59+1))</f>
        <v>1</v>
      </c>
      <c r="AG59" t="e">
        <f>IF(AF59,SEARCH(":",AC59,AE59+1),-1)</f>
        <v>#VALUE!</v>
      </c>
      <c r="AH59" s="109" t="str">
        <f>IF(AD59,LEFT(AB59,SEARCH(":",AB59)-1),AB59)</f>
        <v>14</v>
      </c>
      <c r="AI59" s="109" t="str">
        <f>IF(AD59,MID(AB59,SEARCH(":",AB59,1)+1,IF(AF59,SEARCH(":",AB59,1+SEARCH(":",AB59,1))-SEARCH(":",AB59,1)-1,LEN(AB59)-SEARCH(":",AB59,1))),0)</f>
        <v>15</v>
      </c>
      <c r="AJ59" s="109" t="str">
        <f>IF(AD59,RIGHT(AB59,LEN(AB59)-SEARCH(":",AB59,SEARCH(":",AB59,1)+1)),0)</f>
        <v>33</v>
      </c>
      <c r="AK59"/>
      <c r="AL59"/>
      <c r="AM59"/>
      <c r="AN59"/>
    </row>
    <row r="60" spans="2:43" ht="15.75" thickTop="1" x14ac:dyDescent="0.25">
      <c r="B60" s="181"/>
      <c r="E60" s="9"/>
      <c r="I60" s="1"/>
      <c r="K60" s="1"/>
      <c r="M60"/>
      <c r="N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  <row r="61" spans="2:43" x14ac:dyDescent="0.25">
      <c r="B61" s="181"/>
      <c r="D61" s="9" t="s">
        <v>19</v>
      </c>
      <c r="M61"/>
      <c r="N61"/>
      <c r="AA61" s="93">
        <f>Q58</f>
        <v>0.15333333333333243</v>
      </c>
      <c r="AB61" s="1" t="str">
        <f>SUBSTITUTE(AA61,Constantes!$D$15,Constantes!$E$15)</f>
        <v>0.153333333333332</v>
      </c>
      <c r="AC61" s="113" t="str">
        <f>AH61</f>
        <v>00°09'12.00"</v>
      </c>
      <c r="AD61" s="111" t="str">
        <f>SUBSTITUTE(AB61,"°","")</f>
        <v>0.153333333333332</v>
      </c>
      <c r="AE61" s="104" t="b">
        <f>IF(ISNUMBER(SEARCH("°",AB61,1)),IF(SEARCH("°",AB61,1)=LEN(AB61),TRUE,FALSE),FALSE)</f>
        <v>0</v>
      </c>
      <c r="AF61" s="157" t="b">
        <f>IF(ISNUMBER(SEARCH("'",AB61,1)),IF(SEARCH("'",AB61,1)=LEN(AB61),TRUE,FALSE),FALSE)</f>
        <v>0</v>
      </c>
      <c r="AG61" s="157" t="b">
        <f>IF(ISNUMBER(SEARCH("""",AB61,1)),IF(SEARCH("""",AB61,1)=LEN(AB61),TRUE,FALSE),FALSE)</f>
        <v>0</v>
      </c>
      <c r="AH61" s="158" t="str">
        <f>CONCATENATE(TEXT(AI61,"00"),"°",TEXT(AJ61,"00"),"'",TEXT(AK61,"00.00"),"""")</f>
        <v>00°09'12.00"</v>
      </c>
      <c r="AI61" s="109">
        <f>INT(AD61)</f>
        <v>0</v>
      </c>
      <c r="AJ61" s="109">
        <f>INT((AD61-AI61) * 60)</f>
        <v>9</v>
      </c>
      <c r="AK61" s="109">
        <f>(AD61-(AI61 + AJ61/60))*3600</f>
        <v>11.999999999995181</v>
      </c>
      <c r="AL61" s="35" t="str">
        <f>SUBSTITUTE(AB61,"'","")</f>
        <v>0.153333333333332</v>
      </c>
      <c r="AM61" s="35">
        <f>(AL61*100/60)/60</f>
        <v>4.2592592592592222E-3</v>
      </c>
      <c r="AN61" s="162" t="str">
        <f>SUBSTITUTE(AD61,"""","")</f>
        <v>0.153333333333332</v>
      </c>
      <c r="AO61" s="162">
        <f>AN61*100/60</f>
        <v>0.25555555555555332</v>
      </c>
      <c r="AP61"/>
      <c r="AQ61"/>
    </row>
    <row r="62" spans="2:43" x14ac:dyDescent="0.25">
      <c r="B62" s="181"/>
      <c r="D62" s="10"/>
      <c r="E62" s="12"/>
      <c r="F62" s="10"/>
      <c r="G62" s="10"/>
      <c r="H62" s="32"/>
      <c r="I62" s="10"/>
      <c r="J62" s="10"/>
      <c r="K62" s="10"/>
      <c r="L62" s="10"/>
      <c r="M62"/>
      <c r="N62"/>
    </row>
    <row r="63" spans="2:43" x14ac:dyDescent="0.25">
      <c r="B63" s="181"/>
      <c r="D63" s="11"/>
      <c r="E63" s="173" t="s">
        <v>17</v>
      </c>
      <c r="F63" s="173"/>
      <c r="G63" s="173"/>
      <c r="H63" s="59"/>
      <c r="I63" s="11"/>
      <c r="J63" s="11"/>
      <c r="K63" s="11"/>
      <c r="L63" s="11"/>
      <c r="M63"/>
      <c r="N63"/>
    </row>
    <row r="64" spans="2:43" x14ac:dyDescent="0.25">
      <c r="B64" s="181"/>
      <c r="F64" s="28" t="s">
        <v>67</v>
      </c>
      <c r="G64" s="14"/>
      <c r="H64" s="42" t="s">
        <v>137</v>
      </c>
      <c r="I64"/>
      <c r="J64"/>
      <c r="K64">
        <f>AC64</f>
        <v>9.0833333333333339</v>
      </c>
      <c r="L64"/>
      <c r="M64"/>
      <c r="N64"/>
      <c r="AA64" s="93" t="str">
        <f>H64</f>
        <v>9:05</v>
      </c>
      <c r="AB64" s="1" t="str">
        <f>SUBSTITUTE(AA64,Constantes!$D$15,Constantes!$E$15)</f>
        <v>9:05</v>
      </c>
      <c r="AC64" s="94">
        <f>AI64+AJ64/60+IF(AF64,AK64/3600,0)</f>
        <v>9.0833333333333339</v>
      </c>
      <c r="AD64"/>
      <c r="AE64">
        <f>SEARCH(":",AB64,1)</f>
        <v>2</v>
      </c>
      <c r="AF64" t="b">
        <f>ISNUMBER(SEARCH(":",AB64,AE64+1))</f>
        <v>0</v>
      </c>
      <c r="AG64">
        <f>IF(AF64,SEARCH(":",AC64,AE64+1),-1)</f>
        <v>-1</v>
      </c>
      <c r="AH64"/>
      <c r="AI64" t="str">
        <f>LEFT(AB64,SEARCH(":",AB64) -1)</f>
        <v>9</v>
      </c>
      <c r="AJ64" t="str">
        <f>MID(AB64,SEARCH(":",AB64,1)+1,   IF(AF64,SEARCH(":",AB64,1+SEARCH(":",AB64,1))-SEARCH(":",AB64,1)-1, LEN(AB64)-SEARCH(":",AB64,1)))</f>
        <v>05</v>
      </c>
      <c r="AK64" t="e">
        <f>RIGHT(AB64,LEN(AB64)-SEARCH(":",AB64,SEARCH(":",AB64,1)+1))</f>
        <v>#VALUE!</v>
      </c>
    </row>
    <row r="65" spans="2:43" x14ac:dyDescent="0.25">
      <c r="B65" s="181"/>
      <c r="D65" s="11"/>
      <c r="E65" s="58"/>
      <c r="F65" s="11"/>
      <c r="G65" s="11"/>
      <c r="H65" s="59"/>
      <c r="I65" s="11"/>
      <c r="J65" s="11"/>
      <c r="K65" s="11"/>
      <c r="L65" s="11"/>
      <c r="M65"/>
      <c r="N65"/>
    </row>
    <row r="66" spans="2:43" x14ac:dyDescent="0.25">
      <c r="B66" s="181"/>
      <c r="D66" s="11"/>
      <c r="E66" s="173" t="s">
        <v>68</v>
      </c>
      <c r="F66" s="173"/>
      <c r="G66" s="173"/>
      <c r="H66" s="59"/>
      <c r="I66" s="11"/>
      <c r="J66" s="11"/>
      <c r="K66" s="11"/>
      <c r="L66" s="11"/>
      <c r="M66"/>
      <c r="N66"/>
    </row>
    <row r="67" spans="2:43" ht="15" customHeight="1" x14ac:dyDescent="0.25">
      <c r="B67" s="181"/>
      <c r="F67" s="28" t="s">
        <v>21</v>
      </c>
      <c r="G67" s="51"/>
      <c r="H67" s="31" t="s">
        <v>65</v>
      </c>
      <c r="I67" s="47"/>
      <c r="J67" s="48"/>
      <c r="K67" s="47"/>
      <c r="L67" s="49"/>
      <c r="M67"/>
      <c r="N67" t="s">
        <v>94</v>
      </c>
      <c r="Q67" s="1">
        <f>(K64+L71)/2</f>
        <v>12.219722222222222</v>
      </c>
      <c r="AA67" s="93">
        <f>Q67</f>
        <v>12.219722222222222</v>
      </c>
      <c r="AB67" s="1" t="str">
        <f>SUBSTITUTE(AA67,Constantes!$D$15,Constantes!$E$15)</f>
        <v>12.2197222222222</v>
      </c>
      <c r="AC67" s="94" t="str">
        <f>CONCATENATE(TEXT(AI67,"00"),":",TEXT(AJ67,"00"),":",TEXT(AK67,"00.00"))</f>
        <v>12:13:11.00</v>
      </c>
      <c r="AD67"/>
      <c r="AE67"/>
      <c r="AF67"/>
      <c r="AH67"/>
      <c r="AI67">
        <f>INT(AB67)</f>
        <v>12</v>
      </c>
      <c r="AJ67">
        <f>INT((AB67-AI67) * 60)</f>
        <v>13</v>
      </c>
      <c r="AK67">
        <f>(AB67-(AI67+AJ67/60))*3600</f>
        <v>10.999999999921783</v>
      </c>
      <c r="AL67"/>
    </row>
    <row r="68" spans="2:43" x14ac:dyDescent="0.25">
      <c r="B68" s="181"/>
      <c r="D68" s="11"/>
      <c r="E68" s="58"/>
      <c r="F68" s="11"/>
      <c r="G68" s="11"/>
      <c r="H68" s="59"/>
      <c r="I68" s="11"/>
      <c r="J68" s="11"/>
      <c r="K68" s="11"/>
      <c r="L68" s="11"/>
      <c r="M68"/>
      <c r="N68" t="s">
        <v>95</v>
      </c>
      <c r="Q68" s="1">
        <f>$J$10</f>
        <v>12.019444444444446</v>
      </c>
      <c r="AA68" s="93">
        <f>U68</f>
        <v>0</v>
      </c>
      <c r="AB68" s="1" t="str">
        <f>SUBSTITUTE(AA68,Constantes!$D$15,Constantes!$E$15)</f>
        <v>0</v>
      </c>
      <c r="AC68" s="94" t="str">
        <f>CONCATENATE(TEXT(AI68,"00"),":",TEXT(AJ68,"00"),":",TEXT(AK68,"00.00"))</f>
        <v>00:00:00.00</v>
      </c>
      <c r="AD68"/>
      <c r="AE68"/>
      <c r="AF68"/>
      <c r="AH68"/>
      <c r="AI68">
        <f>INT(AB68)</f>
        <v>0</v>
      </c>
      <c r="AJ68">
        <f>INT((AB68-AI68) * 60)</f>
        <v>0</v>
      </c>
      <c r="AK68">
        <f>(AB68-(AI68+AJ68/60))*3600</f>
        <v>0</v>
      </c>
      <c r="AN68" s="1">
        <f>60*(AB68-AI68)</f>
        <v>0</v>
      </c>
    </row>
    <row r="69" spans="2:43" x14ac:dyDescent="0.25">
      <c r="B69" s="181"/>
      <c r="D69" s="11"/>
      <c r="E69" s="173" t="s">
        <v>18</v>
      </c>
      <c r="F69" s="173"/>
      <c r="G69" s="173"/>
      <c r="H69" s="59"/>
      <c r="I69" s="11"/>
      <c r="J69" s="11"/>
      <c r="K69" s="11"/>
      <c r="L69" s="11"/>
      <c r="M69"/>
      <c r="N69"/>
    </row>
    <row r="70" spans="2:43" ht="15.75" thickBot="1" x14ac:dyDescent="0.3">
      <c r="B70" s="181"/>
      <c r="F70" s="28" t="s">
        <v>69</v>
      </c>
      <c r="G70" s="63"/>
      <c r="H70" s="3" t="str">
        <f>AC70</f>
        <v>15:20:33.84</v>
      </c>
      <c r="I70" s="39"/>
      <c r="J70" s="40"/>
      <c r="K70" s="39">
        <f>$K$47+($K$47-K64)</f>
        <v>15.34273333333333</v>
      </c>
      <c r="L70" s="40"/>
      <c r="M70"/>
      <c r="N70" t="s">
        <v>96</v>
      </c>
      <c r="Q70" s="1">
        <f>Q67-Q68</f>
        <v>0.20027777777777622</v>
      </c>
      <c r="AA70" s="93">
        <f>K70</f>
        <v>15.34273333333333</v>
      </c>
      <c r="AB70" s="1" t="str">
        <f>SUBSTITUTE(AA70,Constantes!$D$15,Constantes!$E$15)</f>
        <v>15.3427333333333</v>
      </c>
      <c r="AC70" s="113" t="str">
        <f>CONCATENATE(TEXT(AG70,"00"),":",TEXT(AH70,"00"),":",TEXT(AI70,"00.00"))</f>
        <v>15:20:33.84</v>
      </c>
      <c r="AD70"/>
      <c r="AE70"/>
      <c r="AF70"/>
      <c r="AG70" s="109">
        <f>INT(AB70)</f>
        <v>15</v>
      </c>
      <c r="AH70" s="109">
        <f>INT((AB70-AG70) * 60)</f>
        <v>20</v>
      </c>
      <c r="AI70" s="109">
        <f>(AB70-(AG70+AH70/60))*3600</f>
        <v>33.839999999876369</v>
      </c>
      <c r="AJ70"/>
      <c r="AK70"/>
      <c r="AL70"/>
      <c r="AM70"/>
      <c r="AN70"/>
    </row>
    <row r="71" spans="2:43" ht="16.5" thickTop="1" thickBot="1" x14ac:dyDescent="0.3">
      <c r="B71" s="181"/>
      <c r="D71" s="11"/>
      <c r="E71" s="58"/>
      <c r="F71" s="64" t="s">
        <v>70</v>
      </c>
      <c r="G71" s="11"/>
      <c r="H71" s="95" t="s">
        <v>138</v>
      </c>
      <c r="I71" s="11"/>
      <c r="J71" s="11"/>
      <c r="K71" s="11"/>
      <c r="L71" s="11">
        <f>AC71</f>
        <v>15.35611111111111</v>
      </c>
      <c r="M71"/>
      <c r="N71" s="96" t="s">
        <v>97</v>
      </c>
      <c r="O71" s="97"/>
      <c r="P71" s="98" t="str">
        <f>IF(Q70&gt;0,"W", "E")</f>
        <v>W</v>
      </c>
      <c r="Q71" s="99" t="str">
        <f>AC73</f>
        <v>00°12'01.00"</v>
      </c>
      <c r="AA71" s="93" t="str">
        <f>H71</f>
        <v>15:21:22</v>
      </c>
      <c r="AB71" s="1" t="str">
        <f>SUBSTITUTE(AA71,Constantes!$D$15,Constantes!$E$15)</f>
        <v>15:21:22</v>
      </c>
      <c r="AC71" s="113">
        <f>AH71+AI71/60+IF(AF71,AJ71/3600,0)</f>
        <v>15.35611111111111</v>
      </c>
      <c r="AD71" t="b">
        <f>ISNUMBER(SEARCH(":",AB71,1))</f>
        <v>1</v>
      </c>
      <c r="AE71">
        <f>SEARCH(":",AB71,1)</f>
        <v>3</v>
      </c>
      <c r="AF71" t="b">
        <f>ISNUMBER(SEARCH(":",AB71,AE71+1))</f>
        <v>1</v>
      </c>
      <c r="AG71" t="e">
        <f>IF(AF71,SEARCH(":",AC71,AE71+1),-1)</f>
        <v>#VALUE!</v>
      </c>
      <c r="AH71" s="109" t="str">
        <f>IF(AD71,LEFT(AB71,SEARCH(":",AB71)-1),AB71)</f>
        <v>15</v>
      </c>
      <c r="AI71" s="109" t="str">
        <f>IF(AD71,MID(AB71,SEARCH(":",AB71,1)+1,IF(AF71,SEARCH(":",AB71,1+SEARCH(":",AB71,1))-SEARCH(":",AB71,1)-1,LEN(AB71)-SEARCH(":",AB71,1))),0)</f>
        <v>21</v>
      </c>
      <c r="AJ71" s="109" t="str">
        <f>IF(AD71,RIGHT(AB71,LEN(AB71)-SEARCH(":",AB71,SEARCH(":",AB71,1)+1)),0)</f>
        <v>22</v>
      </c>
      <c r="AK71"/>
      <c r="AL71"/>
      <c r="AM71"/>
      <c r="AN71"/>
    </row>
    <row r="72" spans="2:43" ht="16.5" thickTop="1" thickBot="1" x14ac:dyDescent="0.3">
      <c r="B72" s="182"/>
      <c r="E72" s="9"/>
      <c r="I72" s="1"/>
      <c r="K72" s="1"/>
      <c r="M72"/>
      <c r="N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</row>
    <row r="73" spans="2:43" x14ac:dyDescent="0.25">
      <c r="D73" s="9"/>
      <c r="M73"/>
      <c r="N73"/>
      <c r="AA73" s="93">
        <f>Q70</f>
        <v>0.20027777777777622</v>
      </c>
      <c r="AB73" s="1" t="str">
        <f>SUBSTITUTE(AA73,Constantes!$D$15,Constantes!$E$15)</f>
        <v>0.200277777777776</v>
      </c>
      <c r="AC73" s="113" t="str">
        <f>AH73</f>
        <v>00°12'01.00"</v>
      </c>
      <c r="AD73" s="111" t="str">
        <f>SUBSTITUTE(AB73,"°","")</f>
        <v>0.200277777777776</v>
      </c>
      <c r="AE73" s="104" t="b">
        <f>IF(ISNUMBER(SEARCH("°",AB73,1)),IF(SEARCH("°",AB73,1)=LEN(AB73),TRUE,FALSE),FALSE)</f>
        <v>0</v>
      </c>
      <c r="AF73" s="157" t="b">
        <f>IF(ISNUMBER(SEARCH("'",AB73,1)),IF(SEARCH("'",AB73,1)=LEN(AB73),TRUE,FALSE),FALSE)</f>
        <v>0</v>
      </c>
      <c r="AG73" s="157" t="b">
        <f>IF(ISNUMBER(SEARCH("""",AB73,1)),IF(SEARCH("""",AB73,1)=LEN(AB73),TRUE,FALSE),FALSE)</f>
        <v>0</v>
      </c>
      <c r="AH73" s="158" t="str">
        <f>CONCATENATE(TEXT(AI73,"00"),"°",TEXT(AJ73,"00"),"'",TEXT(AK73,"00.00"),"""")</f>
        <v>00°12'01.00"</v>
      </c>
      <c r="AI73" s="109">
        <f>INT(AD73)</f>
        <v>0</v>
      </c>
      <c r="AJ73" s="109">
        <f>INT((AD73-AI73) * 60)</f>
        <v>12</v>
      </c>
      <c r="AK73" s="109">
        <f>(AD73-(AI73 + AJ73/60))*3600</f>
        <v>0.99999999999356159</v>
      </c>
      <c r="AL73" s="35" t="str">
        <f>SUBSTITUTE(AB73,"'","")</f>
        <v>0.200277777777776</v>
      </c>
      <c r="AM73" s="35">
        <f>(AL73*100/60)/60</f>
        <v>5.5632716049382226E-3</v>
      </c>
      <c r="AN73" s="162" t="str">
        <f>SUBSTITUTE(AD73,"""","")</f>
        <v>0.200277777777776</v>
      </c>
      <c r="AO73" s="162">
        <f>AN73*100/60</f>
        <v>0.33379629629629337</v>
      </c>
      <c r="AP73"/>
      <c r="AQ73"/>
    </row>
  </sheetData>
  <sheetProtection selectLockedCells="1"/>
  <mergeCells count="11">
    <mergeCell ref="E69:G69"/>
    <mergeCell ref="C2:N2"/>
    <mergeCell ref="B20:B35"/>
    <mergeCell ref="C20:L20"/>
    <mergeCell ref="B45:B72"/>
    <mergeCell ref="C45:L45"/>
    <mergeCell ref="E51:G51"/>
    <mergeCell ref="E54:G54"/>
    <mergeCell ref="E57:G57"/>
    <mergeCell ref="E63:G63"/>
    <mergeCell ref="E66:G66"/>
  </mergeCells>
  <dataValidations count="2">
    <dataValidation allowBlank="1" showInputMessage="1" showErrorMessage="1" promptTitle="Saisie une heure" prompt="Attention mettre la cellule au format Text_x000a_Format horaire possible_x000a_   - hh:mm:ss_x000a_   - hh:mm.ss_x000a_   - hh.mmss" sqref="H9 H52 H64"/>
    <dataValidation allowBlank="1" showInputMessage="1" showErrorMessage="1" promptTitle="Saisir un angle ----------------" prompt="Saisir un angle au format :                           _x000a_  sexa          2°59'59&quot;_x000a_  semi sexa 2°59.98' ou 2°59.98 _x000a_  decimal    2.9825°" sqref="H6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CorrecteurHauteurOeil!$D$3:$H$3</xm:f>
          </x14:formula1>
          <xm:sqref>H31</xm:sqref>
        </x14:dataValidation>
        <x14:dataValidation type="list" allowBlank="1" showInputMessage="1" showErrorMessage="1">
          <x14:formula1>
            <xm:f>Constantes!$D$2:$D$4</xm:f>
          </x14:formula1>
          <xm:sqref>G9</xm:sqref>
        </x14:dataValidation>
        <x14:dataValidation type="list" allowBlank="1" showInputMessage="1" showErrorMessage="1">
          <x14:formula1>
            <xm:f>Constantes!$D$9:$D$10</xm:f>
          </x14:formula1>
          <xm:sqref>H34</xm:sqref>
        </x14:dataValidation>
        <x14:dataValidation type="list" allowBlank="1" showInputMessage="1" showErrorMessage="1">
          <x14:formula1>
            <xm:f>Constantes!$D$6:$D$7</xm:f>
          </x14:formula1>
          <xm:sqref>G25 H32</xm:sqref>
        </x14:dataValidation>
        <x14:dataValidation type="list" allowBlank="1" showInputMessage="1" showErrorMessage="1">
          <x14:formula1>
            <xm:f>Constantes!$G$2:$G$3</xm:f>
          </x14:formula1>
          <xm:sqref>G6 C6:E6 G28 G55 G67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W73"/>
  <sheetViews>
    <sheetView zoomScaleNormal="100" workbookViewId="0">
      <selection activeCell="J74" sqref="J74"/>
    </sheetView>
  </sheetViews>
  <sheetFormatPr defaultRowHeight="15" outlineLevelCol="1" x14ac:dyDescent="0.25"/>
  <cols>
    <col min="1" max="1" width="9.140625" style="1"/>
    <col min="2" max="2" width="2.7109375" style="1" customWidth="1"/>
    <col min="3" max="5" width="4" style="1" customWidth="1"/>
    <col min="6" max="6" width="22" style="1" customWidth="1"/>
    <col min="7" max="7" width="4" style="1" customWidth="1"/>
    <col min="8" max="8" width="12.85546875" style="43" customWidth="1"/>
    <col min="9" max="9" width="4" style="2" customWidth="1"/>
    <col min="10" max="10" width="12.85546875" style="1" customWidth="1"/>
    <col min="11" max="11" width="10.85546875" style="2" customWidth="1"/>
    <col min="12" max="12" width="11.140625" style="1" customWidth="1"/>
    <col min="13" max="13" width="8.28515625" style="1" customWidth="1"/>
    <col min="14" max="14" width="8.28515625" style="2" customWidth="1"/>
    <col min="15" max="26" width="9.140625" style="1"/>
    <col min="27" max="40" width="9.140625" style="1" customWidth="1" outlineLevel="1"/>
    <col min="41" max="16384" width="9.140625" style="1"/>
  </cols>
  <sheetData>
    <row r="1" spans="1:49" ht="15.75" thickBot="1" x14ac:dyDescent="0.3"/>
    <row r="2" spans="1:49" ht="15.75" thickBot="1" x14ac:dyDescent="0.3">
      <c r="C2" s="174" t="s">
        <v>8</v>
      </c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4" spans="1:49" x14ac:dyDescent="0.25">
      <c r="C4" s="9" t="s">
        <v>9</v>
      </c>
      <c r="D4" s="9"/>
      <c r="E4" s="9"/>
    </row>
    <row r="5" spans="1:49" x14ac:dyDescent="0.25">
      <c r="F5" s="25" t="s">
        <v>10</v>
      </c>
      <c r="G5" s="33" t="s">
        <v>4</v>
      </c>
      <c r="H5" s="33" t="s">
        <v>4</v>
      </c>
    </row>
    <row r="6" spans="1:49" x14ac:dyDescent="0.25">
      <c r="A6" s="2"/>
      <c r="B6" s="2"/>
      <c r="C6" s="27"/>
      <c r="D6" s="6"/>
      <c r="E6" s="6"/>
      <c r="F6" s="25" t="s">
        <v>11</v>
      </c>
      <c r="G6" s="30" t="s">
        <v>6</v>
      </c>
      <c r="H6" s="41" t="s">
        <v>64</v>
      </c>
      <c r="I6" s="8"/>
      <c r="J6" s="133">
        <f>AC6*VLOOKUP(G6,Constantes!$G$2:$H$4,2)</f>
        <v>-2.903833333333333</v>
      </c>
      <c r="K6" s="134" t="s">
        <v>0</v>
      </c>
      <c r="L6" s="29"/>
      <c r="M6" s="7"/>
      <c r="N6" s="4"/>
      <c r="AA6" s="83" t="str">
        <f>H6</f>
        <v>2°54.23'</v>
      </c>
      <c r="AB6" s="1" t="str">
        <f>SUBSTITUTE(AA6,Constantes!$D$15,Constantes!$E$15)</f>
        <v>2°54.23'</v>
      </c>
      <c r="AC6" s="112">
        <f>IF(AI6,AW6,IF(OR(AJ6,AK6),AS6,IF(AL6,AP6,361)))</f>
        <v>2.903833333333333</v>
      </c>
      <c r="AD6" s="110" t="b">
        <f>ISNUMBER(SEARCH("°",AA6,1))</f>
        <v>1</v>
      </c>
      <c r="AE6" s="104" t="b">
        <f>ISNUMBER(SEARCH("'",AA6,1))</f>
        <v>1</v>
      </c>
      <c r="AF6" s="104" t="b">
        <f>ISNUMBER(SEARCH("""",AA6,1))</f>
        <v>0</v>
      </c>
      <c r="AG6" s="105" t="b">
        <f>IF(SEARCH("°",AA6,1)=LEN(AA6),TRUE, FALSE)</f>
        <v>0</v>
      </c>
      <c r="AH6" s="105" t="b">
        <f>IF(NOT(ISNUMBER(SEARCH("'",AA6,1))), FALSE, IF(SEARCH("'",AA6,1)=LEN(AA6),TRUE, FALSE))</f>
        <v>1</v>
      </c>
      <c r="AI6" s="106" t="b">
        <f>IF(AND(AF6,AE6,AD6),TRUE,FALSE)</f>
        <v>0</v>
      </c>
      <c r="AJ6" s="106" t="b">
        <f>IF(AND(AE6, AD6,NOT(AF6),AH6,NOT(AI6)),TRUE,FALSE)</f>
        <v>1</v>
      </c>
      <c r="AK6" s="106" t="b">
        <f>IF(AND(NOT(AE6),AD6,NOT(AF6),NOT(AG6)*NOT(AI6)),TRUE,FALSE)</f>
        <v>0</v>
      </c>
      <c r="AL6" s="106" t="b">
        <f>IF(AND(NOT(AI6),NOT(AJ6),AG6),TRUE,FALSE)</f>
        <v>0</v>
      </c>
      <c r="AM6" s="105" t="b">
        <f>IF(AND(AI6,RIGHT(AA6)=""""),TRUE, FALSE)</f>
        <v>0</v>
      </c>
      <c r="AN6" s="105" t="b">
        <f>IF(OR(AJ6,AK6),TRUE, FALSE)</f>
        <v>1</v>
      </c>
      <c r="AO6" s="105" t="b">
        <f>IF(AND(AL6,RIGHT(AA6)="°"),TRUE, FALSE)</f>
        <v>0</v>
      </c>
      <c r="AP6" s="34" t="str">
        <f>LEFT(AB6, SEARCH("°",AB6,1)-1)</f>
        <v>2</v>
      </c>
      <c r="AQ6" s="35" t="str">
        <f>LEFT(AB6, SEARCH("°",AB6,1)-1)</f>
        <v>2</v>
      </c>
      <c r="AR6" s="35" t="str">
        <f>MID(AB6, SEARCH("°",AB6,1) +1, IF(AJ6,SEARCH("'",AB6,1) - SEARCH("°",AB6,1) -1,LEN(AB6)-SEARCH("°",AB6,1)))</f>
        <v>54.23</v>
      </c>
      <c r="AS6" s="36">
        <f>AQ6+AR6*1/60</f>
        <v>2.903833333333333</v>
      </c>
      <c r="AT6" s="38" t="str">
        <f>LEFT(AB6,SEARCH("°",AB6,1)-1)</f>
        <v>2</v>
      </c>
      <c r="AU6" s="37" t="str">
        <f>MID(AB6,SEARCH("°",AB6,1)+1,SEARCH("'",AB6,1)-SEARCH("°",AB6,1)-1)</f>
        <v>54.23</v>
      </c>
      <c r="AV6" s="37" t="e">
        <f>MID(AB6,SEARCH("'",AB6,1)+1,SEARCH("""",AB6,1)-SEARCH("'",AB6,1)-1)</f>
        <v>#VALUE!</v>
      </c>
      <c r="AW6" s="37" t="e">
        <f>AT6+AU6/60+AV6/3600</f>
        <v>#VALUE!</v>
      </c>
    </row>
    <row r="8" spans="1:49" x14ac:dyDescent="0.25">
      <c r="C8" s="9" t="s">
        <v>82</v>
      </c>
      <c r="D8" s="9"/>
      <c r="E8" s="9"/>
    </row>
    <row r="9" spans="1:49" x14ac:dyDescent="0.25">
      <c r="F9" s="28" t="s">
        <v>83</v>
      </c>
      <c r="G9" s="85" t="s">
        <v>2</v>
      </c>
      <c r="H9" s="80" t="s">
        <v>81</v>
      </c>
      <c r="I9"/>
      <c r="J9" s="135">
        <f>AC9*VLOOKUP(G9,Constantes!$D$2:$E$4,2)</f>
        <v>23.416666666666668</v>
      </c>
      <c r="K9" s="135" t="s">
        <v>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AA9" s="83" t="str">
        <f>H9</f>
        <v>23°25'</v>
      </c>
      <c r="AB9" s="1" t="str">
        <f>SUBSTITUTE(AA9,Constantes!$D$15,Constantes!$E$15)</f>
        <v>23°25'</v>
      </c>
      <c r="AC9" s="112">
        <f>IF(AI9,AW9,IF(OR(AJ9,AK9),AS9,IF(AL9,AP9,361)))</f>
        <v>23.416666666666668</v>
      </c>
      <c r="AD9" s="110" t="b">
        <f>ISNUMBER(SEARCH("°",AA9,1))</f>
        <v>1</v>
      </c>
      <c r="AE9" s="104" t="b">
        <f>ISNUMBER(SEARCH("'",AA9,1))</f>
        <v>1</v>
      </c>
      <c r="AF9" s="104" t="b">
        <f>ISNUMBER(SEARCH("""",AA9,1))</f>
        <v>0</v>
      </c>
      <c r="AG9" s="105" t="b">
        <f>IF(SEARCH("°",AA9,1)=LEN(AA9),TRUE, FALSE)</f>
        <v>0</v>
      </c>
      <c r="AH9" s="105" t="b">
        <f>IF(NOT(ISNUMBER(SEARCH("'",AA9,1))), FALSE, IF(SEARCH("'",AA9,1)=LEN(AA9),TRUE, FALSE))</f>
        <v>1</v>
      </c>
      <c r="AI9" s="106" t="b">
        <f>IF(AND(AF9,AE9,AD9),TRUE,FALSE)</f>
        <v>0</v>
      </c>
      <c r="AJ9" s="106" t="b">
        <f>IF(AND(AE9, AD9,NOT(AF9),AH9,NOT(AI9)),TRUE,FALSE)</f>
        <v>1</v>
      </c>
      <c r="AK9" s="106" t="b">
        <f>IF(AND(NOT(AE9),AD9,NOT(AF9),NOT(AG9)*NOT(AI9)),TRUE,FALSE)</f>
        <v>0</v>
      </c>
      <c r="AL9" s="106" t="b">
        <f>IF(AND(NOT(AI9),NOT(AJ9),AG9),TRUE,FALSE)</f>
        <v>0</v>
      </c>
      <c r="AM9" s="105" t="b">
        <f>IF(AND(AI9,RIGHT(AA9)=""""),TRUE, FALSE)</f>
        <v>0</v>
      </c>
      <c r="AN9" s="105" t="b">
        <f>IF(OR(AJ9,AK9),TRUE, FALSE)</f>
        <v>1</v>
      </c>
      <c r="AO9" s="105" t="b">
        <f>IF(AND(AL9,RIGHT(AA9)="°"),TRUE, FALSE)</f>
        <v>0</v>
      </c>
      <c r="AP9" s="34" t="str">
        <f>LEFT(AB9, SEARCH("°",AB9,1)-1)</f>
        <v>23</v>
      </c>
      <c r="AQ9" s="35" t="str">
        <f>LEFT(AB9, SEARCH("°",AB9,1)-1)</f>
        <v>23</v>
      </c>
      <c r="AR9" s="35" t="str">
        <f>MID(AB9, SEARCH("°",AB9,1) +1, IF(AJ9,SEARCH("'",AB9,1) - SEARCH("°",AB9,1) -1,LEN(AB9)-SEARCH("°",AB9,1)))</f>
        <v>25</v>
      </c>
      <c r="AS9" s="36">
        <f>AQ9+AR9*1/60</f>
        <v>23.416666666666668</v>
      </c>
      <c r="AT9" s="38" t="str">
        <f>LEFT(AB9,SEARCH("°",AB9,1)-1)</f>
        <v>23</v>
      </c>
      <c r="AU9" s="37" t="str">
        <f>MID(AB9,SEARCH("°",AB9,1)+1,SEARCH("'",AB9,1)-SEARCH("°",AB9,1)-1)</f>
        <v>25</v>
      </c>
      <c r="AV9" s="37" t="e">
        <f>MID(AB9,SEARCH("'",AB9,1)+1,SEARCH("""",AB9,1)-SEARCH("'",AB9,1)-1)</f>
        <v>#VALUE!</v>
      </c>
      <c r="AW9" s="37" t="e">
        <f>AT9+AU9/60+AV9/3600</f>
        <v>#VALUE!</v>
      </c>
    </row>
    <row r="10" spans="1:49" x14ac:dyDescent="0.25">
      <c r="F10" s="81" t="s">
        <v>84</v>
      </c>
      <c r="G10" s="79"/>
      <c r="H10" s="82" t="s">
        <v>100</v>
      </c>
      <c r="J10" s="133">
        <f>AC10</f>
        <v>12.019444444444446</v>
      </c>
      <c r="K10" s="134" t="s">
        <v>13</v>
      </c>
      <c r="N10"/>
      <c r="O10"/>
      <c r="P10"/>
      <c r="Q10"/>
      <c r="R10"/>
      <c r="S10"/>
      <c r="T10"/>
      <c r="U10"/>
      <c r="V10"/>
      <c r="W10"/>
      <c r="X10"/>
      <c r="Y10"/>
      <c r="AA10" s="93" t="str">
        <f>H10</f>
        <v>12:01:10</v>
      </c>
      <c r="AB10" s="1" t="str">
        <f>SUBSTITUTE(AA10,Constantes!$D$15,Constantes!$E$15)</f>
        <v>12:01:10</v>
      </c>
      <c r="AC10" s="113">
        <f>AG10+AH10/60+IF(AE10,AI10/3600,0)</f>
        <v>12.019444444444446</v>
      </c>
      <c r="AD10">
        <f>SEARCH(":",AB10,1)</f>
        <v>3</v>
      </c>
      <c r="AE10" t="b">
        <f>ISNUMBER(SEARCH(":",AB10,AD10+1))</f>
        <v>1</v>
      </c>
      <c r="AF10" t="e">
        <f>IF(AE10,SEARCH(":",AC10,AD10+1),-1)</f>
        <v>#VALUE!</v>
      </c>
      <c r="AG10" s="109" t="str">
        <f>LEFT(AB10,SEARCH(":",AB10) -1)</f>
        <v>12</v>
      </c>
      <c r="AH10" s="109" t="str">
        <f>MID(AB10,SEARCH(":",AB10,1)+1,   IF(AE10,SEARCH(":",AB10,1+SEARCH(":",AB10,1))-SEARCH(":",AB10,1)-1, LEN(AB10)-SEARCH(":",AB10,1)))</f>
        <v>01</v>
      </c>
      <c r="AI10" s="109" t="str">
        <f>RIGHT(AB10,LEN(AB10)-SEARCH(":",AB10,SEARCH(":",AB10,1)+1))</f>
        <v>10</v>
      </c>
    </row>
    <row r="11" spans="1:49" x14ac:dyDescent="0.25">
      <c r="H11" s="1"/>
      <c r="I11" s="1"/>
      <c r="K11" s="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49" x14ac:dyDescent="0.25">
      <c r="H12" s="1"/>
      <c r="I12" s="1"/>
      <c r="J12" s="133">
        <f>J10-J6/15</f>
        <v>12.213033333333335</v>
      </c>
      <c r="K12" s="133" t="s">
        <v>112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49" x14ac:dyDescent="0.25">
      <c r="F13" s="7"/>
      <c r="H13" s="7"/>
      <c r="I13" s="8"/>
      <c r="K13" s="70" t="str">
        <f>AC13</f>
        <v>12:12:46.92</v>
      </c>
      <c r="L13" s="66" t="s">
        <v>39</v>
      </c>
      <c r="M13" s="67"/>
      <c r="N13" s="67"/>
      <c r="O13" s="68"/>
      <c r="P13" s="68"/>
      <c r="Q13" s="68"/>
      <c r="R13" s="68"/>
      <c r="S13"/>
      <c r="T13"/>
      <c r="U13"/>
      <c r="V13"/>
      <c r="W13"/>
      <c r="X13"/>
      <c r="Y13"/>
      <c r="AA13" s="93">
        <f>J12</f>
        <v>12.213033333333335</v>
      </c>
      <c r="AB13" s="1" t="str">
        <f>SUBSTITUTE(AA13,Constantes!$D$15,Constantes!$E$15)</f>
        <v>12.2130333333333</v>
      </c>
      <c r="AC13" s="113" t="str">
        <f>CONCATENATE(TEXT(AG13,"00"),":",TEXT(AH13,"00"),":",TEXT(AI13,"00.00"))</f>
        <v>12:12:46.92</v>
      </c>
      <c r="AD13"/>
      <c r="AE13"/>
      <c r="AF13"/>
      <c r="AG13" s="109">
        <f>INT(AB13)</f>
        <v>12</v>
      </c>
      <c r="AH13" s="109">
        <f>INT((AB13-AG13) * 60)</f>
        <v>12</v>
      </c>
      <c r="AI13" s="109">
        <f>(AB13-(AG13+AH13/60))*3600</f>
        <v>46.919999999882123</v>
      </c>
    </row>
    <row r="14" spans="1:49" x14ac:dyDescent="0.25">
      <c r="C14" s="7" t="s">
        <v>71</v>
      </c>
      <c r="G14" s="7"/>
      <c r="H14" s="44"/>
      <c r="I14" s="8"/>
      <c r="J14" s="7"/>
      <c r="K14" s="8"/>
      <c r="L14" s="7"/>
      <c r="M14" s="7"/>
      <c r="N14"/>
      <c r="O14"/>
      <c r="P14"/>
      <c r="Q14"/>
      <c r="R14"/>
      <c r="S14"/>
      <c r="T14"/>
      <c r="U14"/>
      <c r="V14"/>
      <c r="W14"/>
      <c r="X14"/>
      <c r="Y14"/>
    </row>
    <row r="15" spans="1:49" x14ac:dyDescent="0.25">
      <c r="F15" s="1" t="s">
        <v>72</v>
      </c>
      <c r="H15" s="136" t="s">
        <v>115</v>
      </c>
      <c r="I15" s="1" t="s">
        <v>13</v>
      </c>
      <c r="J15" s="133">
        <f>AC15</f>
        <v>0.25</v>
      </c>
      <c r="K15" s="1"/>
      <c r="N15"/>
      <c r="O15"/>
      <c r="P15"/>
      <c r="Q15"/>
      <c r="R15"/>
      <c r="S15"/>
      <c r="T15"/>
      <c r="U15"/>
      <c r="V15"/>
      <c r="W15"/>
      <c r="X15"/>
      <c r="Y15"/>
      <c r="AA15" s="93" t="str">
        <f>H15</f>
        <v>0:15</v>
      </c>
      <c r="AB15" s="1" t="str">
        <f>SUBSTITUTE(AA15,Constantes!$D$15,Constantes!$E$15)</f>
        <v>0:15</v>
      </c>
      <c r="AC15" s="113">
        <f>AH15+AI15/60+IF(AF15,AJ15/3600,0)</f>
        <v>0.25</v>
      </c>
      <c r="AD15" t="b">
        <f>ISNUMBER(SEARCH(":",AB15,1))</f>
        <v>1</v>
      </c>
      <c r="AE15">
        <f>SEARCH(":",AB15,1)</f>
        <v>2</v>
      </c>
      <c r="AF15" t="b">
        <f>ISNUMBER(SEARCH(":",AB15,AE15+1))</f>
        <v>0</v>
      </c>
      <c r="AG15">
        <f>IF(AF15,SEARCH(":",AC15,AE15+1),-1)</f>
        <v>-1</v>
      </c>
      <c r="AH15" s="109" t="str">
        <f>IF(AD15,LEFT(AB15,SEARCH(":",AB15)-1),AB15)</f>
        <v>0</v>
      </c>
      <c r="AI15" s="109" t="str">
        <f>IF(AD15,MID(AB15,SEARCH(":",AB15,1)+1,IF(AF15,SEARCH(":",AB15,1+SEARCH(":",AB15,1))-SEARCH(":",AB15,1)-1,LEN(AB15)-SEARCH(":",AB15,1))),0)</f>
        <v>15</v>
      </c>
      <c r="AJ15" s="109" t="e">
        <f>IF(AD15,RIGHT(AB15,LEN(AB15)-SEARCH(":",AB15,SEARCH(":",AB15,1)+1)),0)</f>
        <v>#VALUE!</v>
      </c>
    </row>
    <row r="16" spans="1:49" x14ac:dyDescent="0.25">
      <c r="H16" s="1"/>
      <c r="J16" s="133">
        <f>J12-J15</f>
        <v>11.963033333333335</v>
      </c>
      <c r="K16" s="70" t="str">
        <f>AC16</f>
        <v>11:57:46.92</v>
      </c>
      <c r="L16" s="66" t="s">
        <v>66</v>
      </c>
      <c r="M16" s="66"/>
      <c r="N16" s="66"/>
      <c r="O16" s="69"/>
      <c r="P16" s="67"/>
      <c r="Q16" s="67"/>
      <c r="R16" s="67"/>
      <c r="AA16" s="93">
        <f>J16</f>
        <v>11.963033333333335</v>
      </c>
      <c r="AB16" s="1" t="str">
        <f>SUBSTITUTE(AA16,Constantes!$D$15,Constantes!$E$15)</f>
        <v>11.9630333333333</v>
      </c>
      <c r="AC16" s="113" t="str">
        <f>CONCATENATE(TEXT(AG16,"00"),":",TEXT(AH16,"00"),":",TEXT(AI16,"00.00"))</f>
        <v>11:57:46.92</v>
      </c>
      <c r="AD16"/>
      <c r="AE16"/>
      <c r="AF16"/>
      <c r="AG16" s="109">
        <f>INT(AB16)</f>
        <v>11</v>
      </c>
      <c r="AH16" s="109">
        <f>INT((AB16-AG16) * 60)</f>
        <v>57</v>
      </c>
      <c r="AI16" s="109">
        <f>(AB16-(AG16+AH16/60))*3600</f>
        <v>46.919999999882123</v>
      </c>
    </row>
    <row r="17" spans="2:49" x14ac:dyDescent="0.25">
      <c r="H17" s="1"/>
      <c r="I17" s="8"/>
      <c r="J17" s="133">
        <f>J12+J15</f>
        <v>12.463033333333335</v>
      </c>
      <c r="K17" s="70" t="str">
        <f>AC17</f>
        <v>12:27:46.92</v>
      </c>
      <c r="M17"/>
      <c r="N17" s="7"/>
      <c r="O17" s="45"/>
      <c r="AA17" s="93">
        <f>J17</f>
        <v>12.463033333333335</v>
      </c>
      <c r="AB17" s="1" t="str">
        <f>SUBSTITUTE(AA17,Constantes!$D$15,Constantes!$E$15)</f>
        <v>12.4630333333333</v>
      </c>
      <c r="AC17" s="113" t="str">
        <f>CONCATENATE(TEXT(AG17,"00"),":",TEXT(AH17,"00"),":",TEXT(AI17,"00.00"))</f>
        <v>12:27:46.92</v>
      </c>
      <c r="AD17"/>
      <c r="AE17"/>
      <c r="AF17"/>
      <c r="AG17" s="109">
        <f>INT(AB17)</f>
        <v>12</v>
      </c>
      <c r="AH17" s="109">
        <f>INT((AB17-AG17) * 60)</f>
        <v>27</v>
      </c>
      <c r="AI17" s="109">
        <f>(AB17-(AG17+AH17/60))*3600</f>
        <v>46.919999999882123</v>
      </c>
    </row>
    <row r="18" spans="2:49" x14ac:dyDescent="0.25">
      <c r="F18" s="7"/>
      <c r="G18" s="7"/>
      <c r="H18" s="44"/>
      <c r="I18" s="8"/>
      <c r="J18" s="7"/>
      <c r="K18" s="1"/>
      <c r="L18"/>
      <c r="M18" s="7"/>
      <c r="N18" s="8"/>
    </row>
    <row r="19" spans="2:49" ht="15.75" thickBot="1" x14ac:dyDescent="0.3"/>
    <row r="20" spans="2:49" ht="15.75" thickBot="1" x14ac:dyDescent="0.3">
      <c r="B20" s="176" t="s">
        <v>41</v>
      </c>
      <c r="C20" s="175" t="s">
        <v>40</v>
      </c>
      <c r="D20" s="175"/>
      <c r="E20" s="175"/>
      <c r="F20" s="175"/>
      <c r="G20" s="175"/>
      <c r="H20" s="175"/>
      <c r="I20" s="175"/>
      <c r="J20" s="175"/>
      <c r="K20" s="175"/>
      <c r="L20" s="179"/>
    </row>
    <row r="21" spans="2:49" x14ac:dyDescent="0.25">
      <c r="B21" s="177"/>
    </row>
    <row r="22" spans="2:49" x14ac:dyDescent="0.25">
      <c r="B22" s="177"/>
    </row>
    <row r="23" spans="2:49" x14ac:dyDescent="0.25">
      <c r="B23" s="177"/>
      <c r="C23" s="9" t="s">
        <v>14</v>
      </c>
    </row>
    <row r="24" spans="2:49" x14ac:dyDescent="0.25">
      <c r="B24" s="177"/>
      <c r="C24" s="9"/>
      <c r="D24" s="1" t="s">
        <v>20</v>
      </c>
      <c r="I24" s="8"/>
      <c r="J24" s="7"/>
      <c r="K24" s="8"/>
      <c r="L24" s="7"/>
      <c r="M24" s="7"/>
    </row>
    <row r="25" spans="2:49" x14ac:dyDescent="0.25">
      <c r="B25" s="177"/>
      <c r="C25" s="9"/>
      <c r="F25" s="28" t="s">
        <v>87</v>
      </c>
      <c r="G25" s="51" t="s">
        <v>28</v>
      </c>
      <c r="H25" s="50" t="s">
        <v>74</v>
      </c>
      <c r="I25" s="18"/>
      <c r="J25" s="75">
        <f>AC25*VLOOKUP(G25,Constantes!$D$6:$E$7,2)</f>
        <v>0.05</v>
      </c>
      <c r="K25" s="76" t="s">
        <v>0</v>
      </c>
      <c r="L25" s="20"/>
      <c r="M25" s="19"/>
      <c r="N25" s="71"/>
      <c r="AA25" s="83" t="str">
        <f>H25</f>
        <v>0°03'</v>
      </c>
      <c r="AB25" s="1" t="str">
        <f>SUBSTITUTE(AA25,Constantes!$D$15,Constantes!$E$15)</f>
        <v>0°03'</v>
      </c>
      <c r="AC25" s="112">
        <f>IF(AI25,AW25,IF(OR(AJ25,AK25),AS25,IF(AL25,AP25,361)))</f>
        <v>0.05</v>
      </c>
      <c r="AD25" s="110" t="b">
        <f>ISNUMBER(SEARCH("°",AA25,1))</f>
        <v>1</v>
      </c>
      <c r="AE25" s="104" t="b">
        <f>ISNUMBER(SEARCH("'",AA25,1))</f>
        <v>1</v>
      </c>
      <c r="AF25" s="104" t="b">
        <f>ISNUMBER(SEARCH("""",AA25,1))</f>
        <v>0</v>
      </c>
      <c r="AG25" s="105" t="b">
        <f>IF(SEARCH("°",AA25,1)=LEN(AA25),TRUE, FALSE)</f>
        <v>0</v>
      </c>
      <c r="AH25" s="105" t="b">
        <f>IF(NOT(ISNUMBER(SEARCH("'",AA25,1))), FALSE, IF(SEARCH("'",AA25,1)=LEN(AA25),TRUE, FALSE))</f>
        <v>1</v>
      </c>
      <c r="AI25" s="106" t="b">
        <f>IF(AND(AF25,AE25,AD25),TRUE,FALSE)</f>
        <v>0</v>
      </c>
      <c r="AJ25" s="106" t="b">
        <f>IF(AND(AE25, AD25,NOT(AF25),AH25,NOT(AI25)),TRUE,FALSE)</f>
        <v>1</v>
      </c>
      <c r="AK25" s="106" t="b">
        <f>IF(AND(NOT(AE25),AD25,NOT(AF25),NOT(AG25)*NOT(AI25)),TRUE,FALSE)</f>
        <v>0</v>
      </c>
      <c r="AL25" s="106" t="b">
        <f>IF(AND(NOT(AI25),NOT(AJ25),AG25),TRUE,FALSE)</f>
        <v>0</v>
      </c>
      <c r="AM25" s="105" t="b">
        <f>IF(AND(AI25,RIGHT(AA25)=""""),TRUE, FALSE)</f>
        <v>0</v>
      </c>
      <c r="AN25" s="105" t="b">
        <f>IF(OR(AJ25,AK25),TRUE, FALSE)</f>
        <v>1</v>
      </c>
      <c r="AO25" s="105" t="b">
        <f>IF(AND(AL25,RIGHT(AA25)="°"),TRUE, FALSE)</f>
        <v>0</v>
      </c>
      <c r="AP25" s="34" t="str">
        <f>LEFT(AB25, SEARCH("°",AB25,1)-1)</f>
        <v>0</v>
      </c>
      <c r="AQ25" s="35" t="str">
        <f>LEFT(AB25, SEARCH("°",AB25,1)-1)</f>
        <v>0</v>
      </c>
      <c r="AR25" s="35" t="str">
        <f>MID(AB25, SEARCH("°",AB25,1) +1, IF(AJ25,SEARCH("'",AB25,1) - SEARCH("°",AB25,1) -1,LEN(AB25)-SEARCH("°",AB25,1)))</f>
        <v>03</v>
      </c>
      <c r="AS25" s="36">
        <f>AQ25+AR25*1/60</f>
        <v>0.05</v>
      </c>
      <c r="AT25" s="38" t="str">
        <f>LEFT(AB25,SEARCH("°",AB25,1)-1)</f>
        <v>0</v>
      </c>
      <c r="AU25" s="37" t="str">
        <f>MID(AB25,SEARCH("°",AB25,1)+1,SEARCH("'",AB25,1)-SEARCH("°",AB25,1)-1)</f>
        <v>03</v>
      </c>
      <c r="AV25" s="37" t="e">
        <f>MID(AB25,SEARCH("'",AB25,1)+1,SEARCH("""",AB25,1)-SEARCH("'",AB25,1)-1)</f>
        <v>#VALUE!</v>
      </c>
      <c r="AW25" s="37" t="e">
        <f>AT25+AU25/60+AV25/3600</f>
        <v>#VALUE!</v>
      </c>
    </row>
    <row r="26" spans="2:49" x14ac:dyDescent="0.25">
      <c r="B26" s="177"/>
      <c r="C26" s="9"/>
      <c r="I26" s="18"/>
      <c r="J26" s="19"/>
      <c r="K26" s="18"/>
      <c r="L26" s="19"/>
      <c r="M26" s="19"/>
      <c r="N26" s="72"/>
    </row>
    <row r="27" spans="2:49" x14ac:dyDescent="0.25">
      <c r="B27" s="177"/>
      <c r="D27" s="9" t="s">
        <v>15</v>
      </c>
      <c r="G27" s="5"/>
      <c r="I27" s="18"/>
      <c r="J27" s="19"/>
      <c r="K27" s="18"/>
      <c r="L27" s="19"/>
      <c r="M27" s="19"/>
      <c r="N27" s="72"/>
    </row>
    <row r="28" spans="2:49" ht="15" customHeight="1" x14ac:dyDescent="0.25">
      <c r="B28" s="177"/>
      <c r="F28" s="28" t="s">
        <v>73</v>
      </c>
      <c r="G28" s="51"/>
      <c r="H28" s="50" t="s">
        <v>75</v>
      </c>
      <c r="I28" s="18"/>
      <c r="J28" s="75">
        <f>AC28</f>
        <v>63.116666666666667</v>
      </c>
      <c r="K28" s="76" t="s">
        <v>0</v>
      </c>
      <c r="L28" s="20"/>
      <c r="M28" s="19"/>
      <c r="N28" s="71"/>
      <c r="AA28" s="83" t="str">
        <f>H28</f>
        <v>63°07'</v>
      </c>
      <c r="AB28" s="1" t="str">
        <f>SUBSTITUTE(AA28,Constantes!$D$15,Constantes!$E$15)</f>
        <v>63°07'</v>
      </c>
      <c r="AC28" s="112">
        <f>IF(AI28,AW28,IF(OR(AJ28,AK28),AS28,IF(AL28,AP28,361)))</f>
        <v>63.116666666666667</v>
      </c>
      <c r="AD28" s="110" t="b">
        <f>ISNUMBER(SEARCH("°",AA28,1))</f>
        <v>1</v>
      </c>
      <c r="AE28" s="104" t="b">
        <f>ISNUMBER(SEARCH("'",AA28,1))</f>
        <v>1</v>
      </c>
      <c r="AF28" s="104" t="b">
        <f>ISNUMBER(SEARCH("""",AA28,1))</f>
        <v>0</v>
      </c>
      <c r="AG28" s="105" t="b">
        <f>IF(SEARCH("°",AA28,1)=LEN(AA28),TRUE, FALSE)</f>
        <v>0</v>
      </c>
      <c r="AH28" s="105" t="b">
        <f>IF(NOT(ISNUMBER(SEARCH("'",AA28,1))), FALSE, IF(SEARCH("'",AA28,1)=LEN(AA28),TRUE, FALSE))</f>
        <v>1</v>
      </c>
      <c r="AI28" s="106" t="b">
        <f>IF(AND(AF28,AE28,AD28),TRUE,FALSE)</f>
        <v>0</v>
      </c>
      <c r="AJ28" s="106" t="b">
        <f>IF(AND(AE28, AD28,NOT(AF28),AH28,NOT(AI28)),TRUE,FALSE)</f>
        <v>1</v>
      </c>
      <c r="AK28" s="106" t="b">
        <f>IF(AND(NOT(AE28),AD28,NOT(AF28),NOT(AG28)*NOT(AI28)),TRUE,FALSE)</f>
        <v>0</v>
      </c>
      <c r="AL28" s="106" t="b">
        <f>IF(AND(NOT(AI28),NOT(AJ28),AG28),TRUE,FALSE)</f>
        <v>0</v>
      </c>
      <c r="AM28" s="105" t="b">
        <f>IF(AND(AI28,RIGHT(AA28)=""""),TRUE, FALSE)</f>
        <v>0</v>
      </c>
      <c r="AN28" s="105" t="b">
        <f>IF(OR(AJ28,AK28),TRUE, FALSE)</f>
        <v>1</v>
      </c>
      <c r="AO28" s="105" t="b">
        <f>IF(AND(AL28,RIGHT(AA28)="°"),TRUE, FALSE)</f>
        <v>0</v>
      </c>
      <c r="AP28" s="34" t="str">
        <f>LEFT(AB28, SEARCH("°",AB28,1)-1)</f>
        <v>63</v>
      </c>
      <c r="AQ28" s="35" t="str">
        <f>LEFT(AB28, SEARCH("°",AB28,1)-1)</f>
        <v>63</v>
      </c>
      <c r="AR28" s="35" t="str">
        <f>MID(AB28, SEARCH("°",AB28,1) +1, IF(AJ28,SEARCH("'",AB28,1) - SEARCH("°",AB28,1) -1,LEN(AB28)-SEARCH("°",AB28,1)))</f>
        <v>07</v>
      </c>
      <c r="AS28" s="36">
        <f>AQ28+AR28*1/60</f>
        <v>63.116666666666667</v>
      </c>
      <c r="AT28" s="38" t="str">
        <f>LEFT(AB28,SEARCH("°",AB28,1)-1)</f>
        <v>63</v>
      </c>
      <c r="AU28" s="37" t="str">
        <f>MID(AB28,SEARCH("°",AB28,1)+1,SEARCH("'",AB28,1)-SEARCH("°",AB28,1)-1)</f>
        <v>07</v>
      </c>
      <c r="AV28" s="37" t="e">
        <f>MID(AB28,SEARCH("'",AB28,1)+1,SEARCH("""",AB28,1)-SEARCH("'",AB28,1)-1)</f>
        <v>#VALUE!</v>
      </c>
      <c r="AW28" s="37" t="e">
        <f>AT28+AU28/60+AV28/3600</f>
        <v>#VALUE!</v>
      </c>
    </row>
    <row r="29" spans="2:49" x14ac:dyDescent="0.25">
      <c r="B29" s="177"/>
      <c r="I29" s="18"/>
      <c r="K29" s="75">
        <f>J28-J25</f>
        <v>63.06666666666667</v>
      </c>
      <c r="L29" s="73" t="str">
        <f>AC29</f>
        <v>63°04'00.00"</v>
      </c>
      <c r="M29" s="74" t="s">
        <v>76</v>
      </c>
      <c r="N29" s="46"/>
      <c r="O29" s="73"/>
      <c r="AA29" s="93">
        <f>K29</f>
        <v>63.06666666666667</v>
      </c>
      <c r="AB29" s="1" t="str">
        <f>SUBSTITUTE(AA29,Constantes!$D$15,Constantes!$E$15)</f>
        <v>63.0666666666667</v>
      </c>
      <c r="AC29" s="113" t="str">
        <f>CONCATENATE(TEXT(INT(AF29),"00"),"°",TEXT(AG29,"00"),"'",TEXT(AH29,"00.00"),"""")</f>
        <v>63°04'00.00"</v>
      </c>
      <c r="AD29" s="111" t="str">
        <f>SUBSTITUTE(AB29,"°","")</f>
        <v>63.0666666666667</v>
      </c>
      <c r="AE29" s="104" t="e">
        <f>IF(SEARCH("°",AA29,1)=LEN(AA29),TRUE, FALSE)</f>
        <v>#VALUE!</v>
      </c>
      <c r="AF29" s="109">
        <f>INT(AD29)</f>
        <v>63</v>
      </c>
      <c r="AG29" s="109">
        <f>INT((AD29-AF29) * 60)</f>
        <v>4</v>
      </c>
      <c r="AH29" s="109">
        <f>(AD29-(AF29 + AG29/60))*3600</f>
        <v>1.0231815394945443E-10</v>
      </c>
      <c r="AI29" s="109">
        <f>(AB29-(AG29+AH29/60))*3600</f>
        <v>212639.99999999398</v>
      </c>
    </row>
    <row r="30" spans="2:49" x14ac:dyDescent="0.25">
      <c r="B30" s="177"/>
      <c r="C30" s="9"/>
      <c r="D30" s="1" t="s">
        <v>30</v>
      </c>
      <c r="I30" s="18"/>
      <c r="J30" s="19"/>
      <c r="K30" s="18"/>
      <c r="L30" s="19"/>
      <c r="M30" s="19"/>
      <c r="N30" s="72"/>
    </row>
    <row r="31" spans="2:49" ht="18.75" x14ac:dyDescent="0.3">
      <c r="B31" s="177"/>
      <c r="C31" s="9"/>
      <c r="F31" s="54" t="s">
        <v>37</v>
      </c>
      <c r="G31" s="55"/>
      <c r="H31" s="57">
        <v>4</v>
      </c>
      <c r="I31" s="59" t="s">
        <v>26</v>
      </c>
      <c r="J31" s="75">
        <v>0.2</v>
      </c>
      <c r="K31" s="76" t="s">
        <v>0</v>
      </c>
      <c r="L31" s="77" t="str">
        <f>CONCATENATE(INT(J31),"°",TEXT((J31-INT(J31))*60,"00.00"),"'")</f>
        <v>0°12.00'</v>
      </c>
      <c r="M31" s="151" t="s">
        <v>136</v>
      </c>
    </row>
    <row r="32" spans="2:49" x14ac:dyDescent="0.25">
      <c r="B32" s="177"/>
      <c r="C32" s="9"/>
      <c r="F32" s="17"/>
      <c r="G32" s="21"/>
      <c r="H32" s="23"/>
      <c r="I32" s="18"/>
      <c r="J32" s="19"/>
      <c r="P32"/>
    </row>
    <row r="33" spans="2:36" x14ac:dyDescent="0.25">
      <c r="B33" s="177"/>
      <c r="C33" s="9"/>
      <c r="D33" s="1" t="s">
        <v>31</v>
      </c>
      <c r="I33" s="72"/>
      <c r="J33" s="11"/>
      <c r="K33" s="72"/>
      <c r="L33" s="11"/>
      <c r="M33" s="11"/>
      <c r="N33" s="72"/>
    </row>
    <row r="34" spans="2:36" s="7" customFormat="1" ht="18" x14ac:dyDescent="0.25">
      <c r="B34" s="177"/>
      <c r="C34" s="22"/>
      <c r="F34" s="54" t="s">
        <v>38</v>
      </c>
      <c r="G34" s="56"/>
      <c r="H34" s="57" t="s">
        <v>33</v>
      </c>
      <c r="I34" s="18"/>
      <c r="J34" s="75">
        <f>VLOOKUP(H34,Constantes!$D$9:$E$10,2)</f>
        <v>0</v>
      </c>
      <c r="K34" s="76" t="s">
        <v>0</v>
      </c>
      <c r="L34" s="20"/>
      <c r="M34" s="19"/>
      <c r="N34" s="20"/>
    </row>
    <row r="35" spans="2:36" ht="15.75" thickBot="1" x14ac:dyDescent="0.3">
      <c r="B35" s="178"/>
      <c r="C35" s="9"/>
      <c r="I35" s="72"/>
      <c r="J35" s="11"/>
      <c r="K35" s="18">
        <f>K29+J31+J34</f>
        <v>63.266666666666673</v>
      </c>
      <c r="L35" s="73" t="str">
        <f>AC35</f>
        <v>63°16'00.00"</v>
      </c>
      <c r="M35" s="74" t="s">
        <v>85</v>
      </c>
      <c r="N35" s="46"/>
      <c r="O35" s="73"/>
      <c r="AA35" s="93">
        <f>K35</f>
        <v>63.266666666666673</v>
      </c>
      <c r="AB35" s="1" t="str">
        <f>SUBSTITUTE(AA35,Constantes!$D$15,Constantes!$E$15)</f>
        <v>63.2666666666667</v>
      </c>
      <c r="AC35" s="113" t="str">
        <f>CONCATENATE(TEXT(INT(AF35),"00"),"°",TEXT(AG35,"00"),"'",TEXT(AH35,"00.00"),"""")</f>
        <v>63°16'00.00"</v>
      </c>
      <c r="AD35" s="111" t="str">
        <f>SUBSTITUTE(AB35,"°","")</f>
        <v>63.2666666666667</v>
      </c>
      <c r="AE35" s="104" t="e">
        <f>IF(SEARCH("°",AA35,1)=LEN(AA35),TRUE, FALSE)</f>
        <v>#VALUE!</v>
      </c>
      <c r="AF35" s="109">
        <f>INT(AD35)</f>
        <v>63</v>
      </c>
      <c r="AG35" s="109">
        <f>INT((AD35-AF35) * 60)</f>
        <v>16</v>
      </c>
      <c r="AH35" s="109">
        <f>(AD35-(AF35 + AG35/60))*3600</f>
        <v>1.2789769243681803E-10</v>
      </c>
      <c r="AI35" s="109">
        <f>(AB35-(AG35+AH35/60))*3600</f>
        <v>170159.99999999246</v>
      </c>
    </row>
    <row r="36" spans="2:36" x14ac:dyDescent="0.25">
      <c r="B36" s="24"/>
      <c r="C36" s="9"/>
    </row>
    <row r="37" spans="2:36" x14ac:dyDescent="0.25">
      <c r="B37" s="24"/>
      <c r="C37" s="9"/>
      <c r="D37" s="1" t="s">
        <v>44</v>
      </c>
    </row>
    <row r="38" spans="2:36" x14ac:dyDescent="0.25">
      <c r="B38" s="24"/>
      <c r="C38" s="9"/>
      <c r="H38" s="1"/>
      <c r="J38" s="83"/>
      <c r="K38" s="78">
        <f>90-K35</f>
        <v>26.733333333333327</v>
      </c>
      <c r="L38" s="73" t="str">
        <f>AC38</f>
        <v>26°43'60.00"</v>
      </c>
      <c r="M38" s="74" t="s">
        <v>86</v>
      </c>
      <c r="N38" s="46"/>
      <c r="O38" s="73"/>
      <c r="AA38" s="93">
        <f>K38</f>
        <v>26.733333333333327</v>
      </c>
      <c r="AB38" s="1" t="str">
        <f>SUBSTITUTE(AA38,Constantes!$D$15,Constantes!$E$15)</f>
        <v>26.7333333333333</v>
      </c>
      <c r="AC38" s="113" t="str">
        <f>CONCATENATE(TEXT(INT(AF38),"00"),"°",TEXT(AG38,"00"),"'",TEXT(AH38,"00.00"),"""")</f>
        <v>26°43'60.00"</v>
      </c>
      <c r="AD38" s="111" t="str">
        <f>SUBSTITUTE(AB38,"°","")</f>
        <v>26.7333333333333</v>
      </c>
      <c r="AE38" s="104" t="e">
        <f>IF(SEARCH("°",AA38,1)=LEN(AA38),TRUE, FALSE)</f>
        <v>#VALUE!</v>
      </c>
      <c r="AF38" s="109">
        <f>INT(AD38)</f>
        <v>26</v>
      </c>
      <c r="AG38" s="109">
        <f>INT((AD38-AF38) * 60)</f>
        <v>43</v>
      </c>
      <c r="AH38" s="109">
        <f>(AD38-(AF38 + AG38/60))*3600</f>
        <v>59.999999999881481</v>
      </c>
      <c r="AI38" s="109">
        <f>(AB38-(AG38+AH38/60))*3600</f>
        <v>-62159.999999993015</v>
      </c>
    </row>
    <row r="39" spans="2:36" ht="15.75" thickBot="1" x14ac:dyDescent="0.3">
      <c r="B39" s="24"/>
      <c r="C39" s="9"/>
      <c r="H39" s="1"/>
      <c r="I39" s="1"/>
      <c r="K39" s="1"/>
      <c r="N39" s="1"/>
    </row>
    <row r="40" spans="2:36" ht="15.75" thickBot="1" x14ac:dyDescent="0.3">
      <c r="B40" s="24"/>
      <c r="C40" s="9"/>
      <c r="D40" s="91"/>
      <c r="E40" s="91"/>
      <c r="F40" s="84" t="s">
        <v>45</v>
      </c>
      <c r="G40" s="89" t="str">
        <f>G9</f>
        <v>N</v>
      </c>
      <c r="H40" s="90" t="str">
        <f>AC40</f>
        <v>50°08'60.00"</v>
      </c>
      <c r="I40" s="87"/>
      <c r="J40" s="86"/>
      <c r="K40" s="86">
        <f>IF(J9&lt;0,J9-K38,J9+K38)</f>
        <v>50.149999999999991</v>
      </c>
      <c r="L40" s="86"/>
      <c r="M40" s="86"/>
      <c r="N40" s="88"/>
      <c r="AA40" s="93">
        <f>K40</f>
        <v>50.149999999999991</v>
      </c>
      <c r="AB40" s="1" t="str">
        <f>SUBSTITUTE(AA40,Constantes!$D$15,Constantes!$E$15)</f>
        <v>50.15</v>
      </c>
      <c r="AC40" s="113" t="str">
        <f>CONCATENATE(TEXT(INT(AF40),"00"),"°",TEXT(AG40,"00"),"'",TEXT(AH40,"00.00"),"""")</f>
        <v>50°08'60.00"</v>
      </c>
      <c r="AD40" s="111" t="str">
        <f>SUBSTITUTE(AB40,"°","")</f>
        <v>50.15</v>
      </c>
      <c r="AE40" s="104" t="e">
        <f>IF(SEARCH("°",AA40,1)=LEN(AA40),TRUE, FALSE)</f>
        <v>#VALUE!</v>
      </c>
      <c r="AF40" s="109">
        <f>INT(AD40)</f>
        <v>50</v>
      </c>
      <c r="AG40" s="109">
        <f>INT((AD40-AF40) * 60)</f>
        <v>8</v>
      </c>
      <c r="AH40" s="109">
        <f>(AD40-(AF40 + AG40/60))*3600</f>
        <v>59.999999999996589</v>
      </c>
    </row>
    <row r="41" spans="2:36" x14ac:dyDescent="0.25">
      <c r="B41" s="24"/>
      <c r="C41" s="9"/>
    </row>
    <row r="42" spans="2:36" x14ac:dyDescent="0.25">
      <c r="B42" s="24"/>
      <c r="C42" s="9"/>
    </row>
    <row r="43" spans="2:36" x14ac:dyDescent="0.25">
      <c r="B43" s="24"/>
      <c r="C43" s="9"/>
    </row>
    <row r="44" spans="2:36" ht="15.75" thickBot="1" x14ac:dyDescent="0.3">
      <c r="B44" s="24"/>
      <c r="C44" s="9"/>
    </row>
    <row r="45" spans="2:36" ht="13.5" customHeight="1" thickBot="1" x14ac:dyDescent="0.3">
      <c r="B45" s="180" t="s">
        <v>43</v>
      </c>
      <c r="C45" s="183" t="s">
        <v>42</v>
      </c>
      <c r="D45" s="183"/>
      <c r="E45" s="183"/>
      <c r="F45" s="183"/>
      <c r="G45" s="183"/>
      <c r="H45" s="183"/>
      <c r="I45" s="183"/>
      <c r="J45" s="183"/>
      <c r="K45" s="183"/>
      <c r="L45" s="184"/>
    </row>
    <row r="46" spans="2:36" ht="13.5" customHeight="1" x14ac:dyDescent="0.25">
      <c r="B46" s="181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2:36" ht="13.5" customHeight="1" x14ac:dyDescent="0.25">
      <c r="B47" s="181"/>
      <c r="C47" s="60"/>
      <c r="D47" s="61" t="s">
        <v>88</v>
      </c>
      <c r="E47" s="62"/>
      <c r="F47" s="62"/>
      <c r="G47" s="62"/>
      <c r="H47" s="7" t="str">
        <f>K13</f>
        <v>12:12:46.92</v>
      </c>
      <c r="I47" s="60"/>
      <c r="J47" s="60"/>
      <c r="K47" s="60">
        <f>AC47</f>
        <v>12.213033333333332</v>
      </c>
      <c r="L47" s="60"/>
      <c r="AA47" s="93" t="str">
        <f>H47</f>
        <v>12:12:46.92</v>
      </c>
      <c r="AB47" s="1" t="str">
        <f>SUBSTITUTE(AA47,Constantes!$D$15,Constantes!$E$15)</f>
        <v>12:12:46.92</v>
      </c>
      <c r="AC47" s="113">
        <f>AH47+AI47/60+IF(AF47,AJ47/3600,0)</f>
        <v>12.213033333333332</v>
      </c>
      <c r="AD47" t="b">
        <f>ISNUMBER(SEARCH(":",AB47,1))</f>
        <v>1</v>
      </c>
      <c r="AE47">
        <f>SEARCH(":",AB47,1)</f>
        <v>3</v>
      </c>
      <c r="AF47" t="b">
        <f>ISNUMBER(SEARCH(":",AB47,AE47+1))</f>
        <v>1</v>
      </c>
      <c r="AG47" t="e">
        <f>IF(AF47,SEARCH(":",AC47,AE47+1),-1)</f>
        <v>#VALUE!</v>
      </c>
      <c r="AH47" s="109" t="str">
        <f>IF(AD47,LEFT(AB47,SEARCH(":",AB47)-1),AB47)</f>
        <v>12</v>
      </c>
      <c r="AI47" s="109" t="str">
        <f>IF(AD47,MID(AB47,SEARCH(":",AB47,1)+1,IF(AF47,SEARCH(":",AB47,1+SEARCH(":",AB47,1))-SEARCH(":",AB47,1)-1,LEN(AB47)-SEARCH(":",AB47,1))),0)</f>
        <v>12</v>
      </c>
      <c r="AJ47" s="109" t="str">
        <f>IF(AD47,RIGHT(AB47,LEN(AB47)-SEARCH(":",AB47,SEARCH(":",AB47,1)+1)),0)</f>
        <v>46.92</v>
      </c>
    </row>
    <row r="48" spans="2:36" ht="13.5" customHeight="1" x14ac:dyDescent="0.25">
      <c r="B48" s="181"/>
      <c r="C48" s="60"/>
      <c r="D48" s="60"/>
      <c r="E48" s="60"/>
      <c r="F48" s="60"/>
      <c r="G48" s="60"/>
      <c r="H48" s="1"/>
      <c r="I48" s="60"/>
      <c r="J48" s="60"/>
      <c r="K48" s="60"/>
      <c r="L48" s="60"/>
    </row>
    <row r="49" spans="2:40" x14ac:dyDescent="0.25">
      <c r="B49" s="181"/>
      <c r="D49" s="9" t="s">
        <v>16</v>
      </c>
    </row>
    <row r="50" spans="2:40" x14ac:dyDescent="0.25">
      <c r="B50" s="181"/>
      <c r="D50" s="10"/>
      <c r="E50" s="12"/>
      <c r="F50" s="10"/>
      <c r="G50" s="10"/>
      <c r="H50" s="32"/>
      <c r="I50" s="10"/>
      <c r="J50" s="10"/>
      <c r="K50" s="10"/>
      <c r="L50" s="10"/>
      <c r="M50"/>
      <c r="N50"/>
    </row>
    <row r="51" spans="2:40" x14ac:dyDescent="0.25">
      <c r="B51" s="181"/>
      <c r="D51" s="11"/>
      <c r="E51" s="173" t="s">
        <v>17</v>
      </c>
      <c r="F51" s="173"/>
      <c r="G51" s="173"/>
      <c r="H51" s="59"/>
      <c r="I51" s="11"/>
      <c r="J51" s="11"/>
      <c r="K51" s="11"/>
      <c r="L51" s="11"/>
      <c r="M51"/>
      <c r="N51"/>
    </row>
    <row r="52" spans="2:40" x14ac:dyDescent="0.25">
      <c r="B52" s="181"/>
      <c r="F52" s="28" t="s">
        <v>67</v>
      </c>
      <c r="G52" s="14"/>
      <c r="H52" s="42" t="s">
        <v>98</v>
      </c>
      <c r="I52"/>
      <c r="J52"/>
      <c r="K52">
        <f>AC52</f>
        <v>10.086388888888889</v>
      </c>
      <c r="L52"/>
      <c r="M52"/>
      <c r="N52"/>
      <c r="AA52" s="93" t="str">
        <f>H52</f>
        <v>10:05:11</v>
      </c>
      <c r="AB52" s="1" t="str">
        <f>SUBSTITUTE(AA52,Constantes!$D$15,Constantes!$E$15)</f>
        <v>10:05:11</v>
      </c>
      <c r="AC52" s="94">
        <f>AI52+AJ52/60+IF(AF52,AK52/3600,0)</f>
        <v>10.086388888888889</v>
      </c>
      <c r="AD52"/>
      <c r="AE52">
        <f>SEARCH(":",AB52,1)</f>
        <v>3</v>
      </c>
      <c r="AF52" t="b">
        <f>ISNUMBER(SEARCH(":",AB52,AE52+1))</f>
        <v>1</v>
      </c>
      <c r="AG52" t="e">
        <f>IF(AF52,SEARCH(":",AC52,AE52+1),-1)</f>
        <v>#VALUE!</v>
      </c>
      <c r="AH52"/>
      <c r="AI52" t="str">
        <f>LEFT(AB52,SEARCH(":",AB52) -1)</f>
        <v>10</v>
      </c>
      <c r="AJ52" t="str">
        <f>MID(AB52,SEARCH(":",AB52,1)+1,   IF(AF52,SEARCH(":",AB52,1+SEARCH(":",AB52,1))-SEARCH(":",AB52,1)-1, LEN(AB52)-SEARCH(":",AB52,1)))</f>
        <v>05</v>
      </c>
      <c r="AK52" t="str">
        <f>RIGHT(AB52,LEN(AB52)-SEARCH(":",AB52,SEARCH(":",AB52,1)+1))</f>
        <v>11</v>
      </c>
    </row>
    <row r="53" spans="2:40" x14ac:dyDescent="0.25">
      <c r="B53" s="181"/>
      <c r="D53" s="11"/>
      <c r="E53" s="58"/>
      <c r="F53" s="11"/>
      <c r="G53" s="11"/>
      <c r="H53" s="59"/>
      <c r="I53" s="11"/>
      <c r="J53" s="11"/>
      <c r="K53" s="11"/>
      <c r="L53" s="11"/>
      <c r="M53"/>
      <c r="N53"/>
    </row>
    <row r="54" spans="2:40" x14ac:dyDescent="0.25">
      <c r="B54" s="181"/>
      <c r="D54" s="11"/>
      <c r="E54" s="173" t="s">
        <v>68</v>
      </c>
      <c r="F54" s="173"/>
      <c r="G54" s="173"/>
      <c r="H54" s="59"/>
      <c r="I54" s="11"/>
      <c r="J54" s="11"/>
      <c r="K54" s="11"/>
      <c r="L54" s="11"/>
      <c r="M54"/>
      <c r="N54"/>
    </row>
    <row r="55" spans="2:40" ht="15" customHeight="1" x14ac:dyDescent="0.25">
      <c r="B55" s="181"/>
      <c r="F55" s="28" t="s">
        <v>21</v>
      </c>
      <c r="G55" s="51"/>
      <c r="H55" s="31" t="s">
        <v>65</v>
      </c>
      <c r="I55" s="47"/>
      <c r="J55" s="48"/>
      <c r="K55" s="47"/>
      <c r="L55" s="49"/>
      <c r="M55"/>
      <c r="N55" t="s">
        <v>94</v>
      </c>
      <c r="Q55" s="1">
        <f>(K52+L59)/2</f>
        <v>12.172777777777778</v>
      </c>
      <c r="AA55" s="93">
        <f>Q55</f>
        <v>12.172777777777778</v>
      </c>
      <c r="AB55" s="1" t="str">
        <f>SUBSTITUTE(AA55,Constantes!$D$15,Constantes!$E$15)</f>
        <v>12.1727777777778</v>
      </c>
      <c r="AC55" s="94" t="str">
        <f>CONCATENATE(TEXT(AI55,"00"),":",TEXT(AJ55,"00"),":",TEXT(AK55,"00.00"))</f>
        <v>12:10:22.00</v>
      </c>
      <c r="AD55"/>
      <c r="AE55"/>
      <c r="AF55"/>
      <c r="AH55"/>
      <c r="AI55">
        <f>INT(AB55)</f>
        <v>12</v>
      </c>
      <c r="AJ55">
        <f>INT((AB55-AI55) * 60)</f>
        <v>10</v>
      </c>
      <c r="AK55">
        <f>(AB55-(AI55+AJ55/60))*3600</f>
        <v>22.000000000080178</v>
      </c>
      <c r="AL55"/>
    </row>
    <row r="56" spans="2:40" x14ac:dyDescent="0.25">
      <c r="B56" s="181"/>
      <c r="D56" s="11"/>
      <c r="E56" s="58"/>
      <c r="F56" s="11"/>
      <c r="G56" s="11"/>
      <c r="H56" s="59"/>
      <c r="I56" s="11"/>
      <c r="J56" s="11"/>
      <c r="K56" s="11"/>
      <c r="L56" s="11"/>
      <c r="M56"/>
      <c r="N56" t="s">
        <v>95</v>
      </c>
      <c r="Q56" s="1">
        <f>$J$10</f>
        <v>12.019444444444446</v>
      </c>
      <c r="AA56" s="93">
        <f>U56</f>
        <v>0</v>
      </c>
      <c r="AB56" s="1" t="str">
        <f>SUBSTITUTE(AA56,Constantes!$D$15,Constantes!$E$15)</f>
        <v>0</v>
      </c>
      <c r="AC56" s="94" t="str">
        <f>CONCATENATE(TEXT(AI56,"00"),":",TEXT(AJ56,"00"),":",TEXT(AK56,"00.00"))</f>
        <v>00:00:00.00</v>
      </c>
      <c r="AD56"/>
      <c r="AE56"/>
      <c r="AF56"/>
      <c r="AH56"/>
      <c r="AI56">
        <f>INT(AB56)</f>
        <v>0</v>
      </c>
      <c r="AJ56">
        <f>INT((AB56-AI56) * 60)</f>
        <v>0</v>
      </c>
      <c r="AK56">
        <f>(AB56-(AI56+AJ56/60))*3600</f>
        <v>0</v>
      </c>
      <c r="AN56" s="1">
        <f>60*(AB56-AI56)</f>
        <v>0</v>
      </c>
    </row>
    <row r="57" spans="2:40" x14ac:dyDescent="0.25">
      <c r="B57" s="181"/>
      <c r="D57" s="11"/>
      <c r="E57" s="173" t="s">
        <v>18</v>
      </c>
      <c r="F57" s="173"/>
      <c r="G57" s="173"/>
      <c r="H57" s="59"/>
      <c r="I57" s="11"/>
      <c r="J57" s="11"/>
      <c r="K57" s="11"/>
      <c r="L57" s="11"/>
      <c r="M57"/>
      <c r="N57"/>
    </row>
    <row r="58" spans="2:40" ht="15.75" thickBot="1" x14ac:dyDescent="0.3">
      <c r="B58" s="181"/>
      <c r="F58" s="28" t="s">
        <v>69</v>
      </c>
      <c r="G58" s="63"/>
      <c r="H58" s="3" t="str">
        <f>AC58</f>
        <v>14:20:22.84</v>
      </c>
      <c r="I58" s="39"/>
      <c r="J58" s="40"/>
      <c r="K58" s="39">
        <f>$K$47+($K$47-K52)</f>
        <v>14.339677777777775</v>
      </c>
      <c r="L58" s="40"/>
      <c r="M58"/>
      <c r="N58" t="s">
        <v>96</v>
      </c>
      <c r="Q58" s="1">
        <f>Q55-Q56</f>
        <v>0.15333333333333243</v>
      </c>
      <c r="AA58" s="93">
        <f>K58</f>
        <v>14.339677777777775</v>
      </c>
      <c r="AB58" s="1" t="str">
        <f>SUBSTITUTE(AA58,Constantes!$D$15,Constantes!$E$15)</f>
        <v>14.3396777777778</v>
      </c>
      <c r="AC58" s="113" t="str">
        <f>CONCATENATE(TEXT(AG58,"00"),":",TEXT(AH58,"00"),":",TEXT(AI58,"00.00"))</f>
        <v>14:20:22.84</v>
      </c>
      <c r="AD58"/>
      <c r="AE58"/>
      <c r="AF58"/>
      <c r="AG58" s="109">
        <f>INT(AB58)</f>
        <v>14</v>
      </c>
      <c r="AH58" s="109">
        <f>INT((AB58-AG58) * 60)</f>
        <v>20</v>
      </c>
      <c r="AI58" s="109">
        <f>(AB58-(AG58+AH58/60))*3600</f>
        <v>22.840000000076088</v>
      </c>
      <c r="AJ58"/>
      <c r="AK58"/>
      <c r="AL58"/>
      <c r="AM58"/>
      <c r="AN58"/>
    </row>
    <row r="59" spans="2:40" ht="16.5" thickTop="1" thickBot="1" x14ac:dyDescent="0.3">
      <c r="B59" s="181"/>
      <c r="D59" s="11"/>
      <c r="E59" s="58"/>
      <c r="F59" s="64" t="s">
        <v>70</v>
      </c>
      <c r="G59" s="11"/>
      <c r="H59" s="95" t="s">
        <v>99</v>
      </c>
      <c r="I59" s="11"/>
      <c r="J59" s="11"/>
      <c r="K59" s="11"/>
      <c r="L59" s="11">
        <f>AC59</f>
        <v>14.259166666666667</v>
      </c>
      <c r="M59"/>
      <c r="N59" s="96" t="s">
        <v>97</v>
      </c>
      <c r="O59" s="97"/>
      <c r="P59" s="98" t="str">
        <f>IF(Q58&gt;0,"W", "E")</f>
        <v>W</v>
      </c>
      <c r="Q59" s="99" t="str">
        <f>AC61</f>
        <v>00°09'12.00"</v>
      </c>
      <c r="AA59" s="93" t="str">
        <f>H59</f>
        <v>14:15:33</v>
      </c>
      <c r="AB59" s="1" t="str">
        <f>SUBSTITUTE(AA59,Constantes!$D$15,Constantes!$E$15)</f>
        <v>14:15:33</v>
      </c>
      <c r="AC59" s="113">
        <f>AH59+AI59/60+IF(AF59,AJ59/3600,0)</f>
        <v>14.259166666666667</v>
      </c>
      <c r="AD59" t="b">
        <f>ISNUMBER(SEARCH(":",AB59,1))</f>
        <v>1</v>
      </c>
      <c r="AE59">
        <f>SEARCH(":",AB59,1)</f>
        <v>3</v>
      </c>
      <c r="AF59" t="b">
        <f>ISNUMBER(SEARCH(":",AB59,AE59+1))</f>
        <v>1</v>
      </c>
      <c r="AG59" t="e">
        <f>IF(AF59,SEARCH(":",AC59,AE59+1),-1)</f>
        <v>#VALUE!</v>
      </c>
      <c r="AH59" s="109" t="str">
        <f>IF(AD59,LEFT(AB59,SEARCH(":",AB59)-1),AB59)</f>
        <v>14</v>
      </c>
      <c r="AI59" s="109" t="str">
        <f>IF(AD59,MID(AB59,SEARCH(":",AB59,1)+1,IF(AF59,SEARCH(":",AB59,1+SEARCH(":",AB59,1))-SEARCH(":",AB59,1)-1,LEN(AB59)-SEARCH(":",AB59,1))),0)</f>
        <v>15</v>
      </c>
      <c r="AJ59" s="109" t="str">
        <f>IF(AD59,RIGHT(AB59,LEN(AB59)-SEARCH(":",AB59,SEARCH(":",AB59,1)+1)),0)</f>
        <v>33</v>
      </c>
      <c r="AK59"/>
      <c r="AL59"/>
      <c r="AM59"/>
      <c r="AN59"/>
    </row>
    <row r="60" spans="2:40" ht="15.75" thickTop="1" x14ac:dyDescent="0.25">
      <c r="B60" s="181"/>
      <c r="E60" s="9"/>
      <c r="I60" s="1"/>
      <c r="K60" s="1"/>
      <c r="M60"/>
      <c r="N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  <row r="61" spans="2:40" x14ac:dyDescent="0.25">
      <c r="B61" s="181"/>
      <c r="D61" s="9" t="s">
        <v>19</v>
      </c>
      <c r="M61"/>
      <c r="N61"/>
      <c r="AA61" s="93">
        <f>Q58</f>
        <v>0.15333333333333243</v>
      </c>
      <c r="AB61" s="1" t="str">
        <f>SUBSTITUTE(AA61,Constantes!$D$15,Constantes!$E$15)</f>
        <v>0.153333333333332</v>
      </c>
      <c r="AC61" s="113" t="str">
        <f>CONCATENATE(TEXT(INT(AF61),"00"),"°",TEXT(AG61,"00"),"'",TEXT(AH61,"00.00"),"""")</f>
        <v>00°09'12.00"</v>
      </c>
      <c r="AD61" s="111" t="str">
        <f>SUBSTITUTE(AB61,"°","")</f>
        <v>0.153333333333332</v>
      </c>
      <c r="AE61" s="104" t="e">
        <f>IF(SEARCH("°",AA61,1)=LEN(AA61),TRUE, FALSE)</f>
        <v>#VALUE!</v>
      </c>
      <c r="AF61" s="109">
        <f>INT(AD61)</f>
        <v>0</v>
      </c>
      <c r="AG61" s="109">
        <f>INT((AD61-AF61) * 60)</f>
        <v>9</v>
      </c>
      <c r="AH61" s="109">
        <f>(AD61-(AF61 + AG61/60))*3600</f>
        <v>11.999999999995181</v>
      </c>
    </row>
    <row r="62" spans="2:40" x14ac:dyDescent="0.25">
      <c r="B62" s="181"/>
      <c r="D62" s="10"/>
      <c r="E62" s="12"/>
      <c r="F62" s="10"/>
      <c r="G62" s="10"/>
      <c r="H62" s="32"/>
      <c r="I62" s="10"/>
      <c r="J62" s="10"/>
      <c r="K62" s="10"/>
      <c r="L62" s="10"/>
      <c r="M62"/>
      <c r="N62"/>
    </row>
    <row r="63" spans="2:40" x14ac:dyDescent="0.25">
      <c r="B63" s="181"/>
      <c r="D63" s="11"/>
      <c r="E63" s="173" t="s">
        <v>17</v>
      </c>
      <c r="F63" s="173"/>
      <c r="G63" s="173"/>
      <c r="H63" s="59"/>
      <c r="I63" s="11"/>
      <c r="J63" s="11"/>
      <c r="K63" s="11"/>
      <c r="L63" s="11"/>
      <c r="M63"/>
      <c r="N63"/>
    </row>
    <row r="64" spans="2:40" x14ac:dyDescent="0.25">
      <c r="B64" s="181"/>
      <c r="F64" s="28" t="s">
        <v>67</v>
      </c>
      <c r="G64" s="14"/>
      <c r="H64" s="42" t="s">
        <v>137</v>
      </c>
      <c r="I64"/>
      <c r="J64"/>
      <c r="K64">
        <f>AC64</f>
        <v>9.0833333333333339</v>
      </c>
      <c r="L64"/>
      <c r="M64"/>
      <c r="N64"/>
      <c r="AA64" s="93" t="str">
        <f>H64</f>
        <v>9:05</v>
      </c>
      <c r="AB64" s="1" t="str">
        <f>SUBSTITUTE(AA64,Constantes!$D$15,Constantes!$E$15)</f>
        <v>9:05</v>
      </c>
      <c r="AC64" s="94">
        <f>AI64+AJ64/60+IF(AF64,AK64/3600,0)</f>
        <v>9.0833333333333339</v>
      </c>
      <c r="AD64"/>
      <c r="AE64">
        <f>SEARCH(":",AB64,1)</f>
        <v>2</v>
      </c>
      <c r="AF64" t="b">
        <f>ISNUMBER(SEARCH(":",AB64,AE64+1))</f>
        <v>0</v>
      </c>
      <c r="AG64">
        <f>IF(AF64,SEARCH(":",AC64,AE64+1),-1)</f>
        <v>-1</v>
      </c>
      <c r="AH64"/>
      <c r="AI64" t="str">
        <f>LEFT(AB64,SEARCH(":",AB64) -1)</f>
        <v>9</v>
      </c>
      <c r="AJ64" t="str">
        <f>MID(AB64,SEARCH(":",AB64,1)+1,   IF(AF64,SEARCH(":",AB64,1+SEARCH(":",AB64,1))-SEARCH(":",AB64,1)-1, LEN(AB64)-SEARCH(":",AB64,1)))</f>
        <v>05</v>
      </c>
      <c r="AK64" t="e">
        <f>RIGHT(AB64,LEN(AB64)-SEARCH(":",AB64,SEARCH(":",AB64,1)+1))</f>
        <v>#VALUE!</v>
      </c>
    </row>
    <row r="65" spans="2:40" x14ac:dyDescent="0.25">
      <c r="B65" s="181"/>
      <c r="D65" s="11"/>
      <c r="E65" s="58"/>
      <c r="F65" s="11"/>
      <c r="G65" s="11"/>
      <c r="H65" s="59"/>
      <c r="I65" s="11"/>
      <c r="J65" s="11"/>
      <c r="K65" s="11"/>
      <c r="L65" s="11"/>
      <c r="M65"/>
      <c r="N65"/>
    </row>
    <row r="66" spans="2:40" x14ac:dyDescent="0.25">
      <c r="B66" s="181"/>
      <c r="D66" s="11"/>
      <c r="E66" s="173" t="s">
        <v>68</v>
      </c>
      <c r="F66" s="173"/>
      <c r="G66" s="173"/>
      <c r="H66" s="59"/>
      <c r="I66" s="11"/>
      <c r="J66" s="11"/>
      <c r="K66" s="11"/>
      <c r="L66" s="11"/>
      <c r="M66"/>
      <c r="N66"/>
    </row>
    <row r="67" spans="2:40" ht="15" customHeight="1" x14ac:dyDescent="0.25">
      <c r="B67" s="181"/>
      <c r="F67" s="28" t="s">
        <v>21</v>
      </c>
      <c r="G67" s="51"/>
      <c r="H67" s="31" t="s">
        <v>65</v>
      </c>
      <c r="I67" s="47"/>
      <c r="J67" s="48"/>
      <c r="K67" s="47"/>
      <c r="L67" s="49"/>
      <c r="M67"/>
      <c r="N67" t="s">
        <v>94</v>
      </c>
      <c r="Q67" s="1">
        <f>(K64+L71)/2</f>
        <v>12.219722222222222</v>
      </c>
      <c r="AA67" s="93">
        <f>Q67</f>
        <v>12.219722222222222</v>
      </c>
      <c r="AB67" s="1" t="str">
        <f>SUBSTITUTE(AA67,Constantes!$D$15,Constantes!$E$15)</f>
        <v>12.2197222222222</v>
      </c>
      <c r="AC67" s="94" t="str">
        <f>CONCATENATE(TEXT(AI67,"00"),":",TEXT(AJ67,"00"),":",TEXT(AK67,"00.00"))</f>
        <v>12:13:11.00</v>
      </c>
      <c r="AD67"/>
      <c r="AE67"/>
      <c r="AF67"/>
      <c r="AH67"/>
      <c r="AI67">
        <f>INT(AB67)</f>
        <v>12</v>
      </c>
      <c r="AJ67">
        <f>INT((AB67-AI67) * 60)</f>
        <v>13</v>
      </c>
      <c r="AK67">
        <f>(AB67-(AI67+AJ67/60))*3600</f>
        <v>10.999999999921783</v>
      </c>
      <c r="AL67"/>
    </row>
    <row r="68" spans="2:40" x14ac:dyDescent="0.25">
      <c r="B68" s="181"/>
      <c r="D68" s="11"/>
      <c r="E68" s="58"/>
      <c r="F68" s="11"/>
      <c r="G68" s="11"/>
      <c r="H68" s="59"/>
      <c r="I68" s="11"/>
      <c r="J68" s="11"/>
      <c r="K68" s="11"/>
      <c r="L68" s="11"/>
      <c r="M68"/>
      <c r="N68" t="s">
        <v>95</v>
      </c>
      <c r="Q68" s="1">
        <f>$J$10</f>
        <v>12.019444444444446</v>
      </c>
      <c r="AA68" s="93">
        <f>U68</f>
        <v>0</v>
      </c>
      <c r="AB68" s="1" t="str">
        <f>SUBSTITUTE(AA68,Constantes!$D$15,Constantes!$E$15)</f>
        <v>0</v>
      </c>
      <c r="AC68" s="94" t="str">
        <f>CONCATENATE(TEXT(AI68,"00"),":",TEXT(AJ68,"00"),":",TEXT(AK68,"00.00"))</f>
        <v>00:00:00.00</v>
      </c>
      <c r="AD68"/>
      <c r="AE68"/>
      <c r="AF68"/>
      <c r="AH68"/>
      <c r="AI68">
        <f>INT(AB68)</f>
        <v>0</v>
      </c>
      <c r="AJ68">
        <f>INT((AB68-AI68) * 60)</f>
        <v>0</v>
      </c>
      <c r="AK68">
        <f>(AB68-(AI68+AJ68/60))*3600</f>
        <v>0</v>
      </c>
      <c r="AN68" s="1">
        <f>60*(AB68-AI68)</f>
        <v>0</v>
      </c>
    </row>
    <row r="69" spans="2:40" x14ac:dyDescent="0.25">
      <c r="B69" s="181"/>
      <c r="D69" s="11"/>
      <c r="E69" s="173" t="s">
        <v>18</v>
      </c>
      <c r="F69" s="173"/>
      <c r="G69" s="173"/>
      <c r="H69" s="59"/>
      <c r="I69" s="11"/>
      <c r="J69" s="11"/>
      <c r="K69" s="11"/>
      <c r="L69" s="11"/>
      <c r="M69"/>
      <c r="N69"/>
    </row>
    <row r="70" spans="2:40" ht="15.75" thickBot="1" x14ac:dyDescent="0.3">
      <c r="B70" s="181"/>
      <c r="F70" s="28" t="s">
        <v>69</v>
      </c>
      <c r="G70" s="63"/>
      <c r="H70" s="3" t="str">
        <f>AC70</f>
        <v>15:20:33.84</v>
      </c>
      <c r="I70" s="39"/>
      <c r="J70" s="40"/>
      <c r="K70" s="39">
        <f>$K$47+($K$47-K64)</f>
        <v>15.34273333333333</v>
      </c>
      <c r="L70" s="40"/>
      <c r="M70"/>
      <c r="N70" t="s">
        <v>96</v>
      </c>
      <c r="Q70" s="1">
        <f>Q67-Q68</f>
        <v>0.20027777777777622</v>
      </c>
      <c r="AA70" s="93">
        <f>K70</f>
        <v>15.34273333333333</v>
      </c>
      <c r="AB70" s="1" t="str">
        <f>SUBSTITUTE(AA70,Constantes!$D$15,Constantes!$E$15)</f>
        <v>15.3427333333333</v>
      </c>
      <c r="AC70" s="113" t="str">
        <f>CONCATENATE(TEXT(AG70,"00"),":",TEXT(AH70,"00"),":",TEXT(AI70,"00.00"))</f>
        <v>15:20:33.84</v>
      </c>
      <c r="AD70"/>
      <c r="AE70"/>
      <c r="AF70"/>
      <c r="AG70" s="109">
        <f>INT(AB70)</f>
        <v>15</v>
      </c>
      <c r="AH70" s="109">
        <f>INT((AB70-AG70) * 60)</f>
        <v>20</v>
      </c>
      <c r="AI70" s="109">
        <f>(AB70-(AG70+AH70/60))*3600</f>
        <v>33.839999999876369</v>
      </c>
      <c r="AJ70"/>
      <c r="AK70"/>
      <c r="AL70"/>
      <c r="AM70"/>
      <c r="AN70"/>
    </row>
    <row r="71" spans="2:40" ht="16.5" thickTop="1" thickBot="1" x14ac:dyDescent="0.3">
      <c r="B71" s="181"/>
      <c r="D71" s="11"/>
      <c r="E71" s="58"/>
      <c r="F71" s="64" t="s">
        <v>70</v>
      </c>
      <c r="G71" s="11"/>
      <c r="H71" s="95" t="s">
        <v>138</v>
      </c>
      <c r="I71" s="11"/>
      <c r="J71" s="11"/>
      <c r="K71" s="11"/>
      <c r="L71" s="11">
        <f>AC71</f>
        <v>15.35611111111111</v>
      </c>
      <c r="M71"/>
      <c r="N71" s="96" t="s">
        <v>97</v>
      </c>
      <c r="O71" s="97"/>
      <c r="P71" s="98" t="str">
        <f>IF(Q70&gt;0,"W", "E")</f>
        <v>W</v>
      </c>
      <c r="Q71" s="99" t="str">
        <f>AC73</f>
        <v>00°12'01.00"</v>
      </c>
      <c r="AA71" s="93" t="str">
        <f>H71</f>
        <v>15:21:22</v>
      </c>
      <c r="AB71" s="1" t="str">
        <f>SUBSTITUTE(AA71,Constantes!$D$15,Constantes!$E$15)</f>
        <v>15:21:22</v>
      </c>
      <c r="AC71" s="113">
        <f>AH71+AI71/60+IF(AF71,AJ71/3600,0)</f>
        <v>15.35611111111111</v>
      </c>
      <c r="AD71" t="b">
        <f>ISNUMBER(SEARCH(":",AB71,1))</f>
        <v>1</v>
      </c>
      <c r="AE71">
        <f>SEARCH(":",AB71,1)</f>
        <v>3</v>
      </c>
      <c r="AF71" t="b">
        <f>ISNUMBER(SEARCH(":",AB71,AE71+1))</f>
        <v>1</v>
      </c>
      <c r="AG71" t="e">
        <f>IF(AF71,SEARCH(":",AC71,AE71+1),-1)</f>
        <v>#VALUE!</v>
      </c>
      <c r="AH71" s="109" t="str">
        <f>IF(AD71,LEFT(AB71,SEARCH(":",AB71)-1),AB71)</f>
        <v>15</v>
      </c>
      <c r="AI71" s="109" t="str">
        <f>IF(AD71,MID(AB71,SEARCH(":",AB71,1)+1,IF(AF71,SEARCH(":",AB71,1+SEARCH(":",AB71,1))-SEARCH(":",AB71,1)-1,LEN(AB71)-SEARCH(":",AB71,1))),0)</f>
        <v>21</v>
      </c>
      <c r="AJ71" s="109" t="str">
        <f>IF(AD71,RIGHT(AB71,LEN(AB71)-SEARCH(":",AB71,SEARCH(":",AB71,1)+1)),0)</f>
        <v>22</v>
      </c>
      <c r="AK71"/>
      <c r="AL71"/>
      <c r="AM71"/>
      <c r="AN71"/>
    </row>
    <row r="72" spans="2:40" ht="16.5" thickTop="1" thickBot="1" x14ac:dyDescent="0.3">
      <c r="B72" s="182"/>
      <c r="E72" s="9"/>
      <c r="H72" s="92"/>
      <c r="I72" s="1"/>
      <c r="K72" s="1"/>
      <c r="M72"/>
      <c r="N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</row>
    <row r="73" spans="2:40" x14ac:dyDescent="0.25">
      <c r="D73" s="9"/>
      <c r="H73" s="92"/>
      <c r="M73"/>
      <c r="N73"/>
      <c r="AA73" s="93">
        <f>Q70</f>
        <v>0.20027777777777622</v>
      </c>
      <c r="AB73" s="1" t="str">
        <f>SUBSTITUTE(AA73,Constantes!$D$15,Constantes!$E$15)</f>
        <v>0.200277777777776</v>
      </c>
      <c r="AC73" s="113" t="str">
        <f>CONCATENATE(TEXT(INT(AF73),"00"),"°",TEXT(AG73,"00"),"'",TEXT(AH73,"00.00"),"""")</f>
        <v>00°12'01.00"</v>
      </c>
      <c r="AD73" s="111" t="str">
        <f>SUBSTITUTE(AB73,"°","")</f>
        <v>0.200277777777776</v>
      </c>
      <c r="AE73" s="104" t="e">
        <f>IF(SEARCH("°",AA73,1)=LEN(AA73),TRUE, FALSE)</f>
        <v>#VALUE!</v>
      </c>
      <c r="AF73" s="109">
        <f>INT(AD73)</f>
        <v>0</v>
      </c>
      <c r="AG73" s="109">
        <f>INT((AD73-AF73) * 60)</f>
        <v>12</v>
      </c>
      <c r="AH73" s="109">
        <f>(AD73-(AF73 + AG73/60))*3600</f>
        <v>0.99999999999356159</v>
      </c>
    </row>
  </sheetData>
  <sheetProtection selectLockedCells="1"/>
  <mergeCells count="11">
    <mergeCell ref="B20:B35"/>
    <mergeCell ref="C45:L45"/>
    <mergeCell ref="B45:B72"/>
    <mergeCell ref="C2:N2"/>
    <mergeCell ref="C20:L20"/>
    <mergeCell ref="E54:G54"/>
    <mergeCell ref="E57:G57"/>
    <mergeCell ref="E51:G51"/>
    <mergeCell ref="E63:G63"/>
    <mergeCell ref="E66:G66"/>
    <mergeCell ref="E69:G69"/>
  </mergeCells>
  <dataValidations count="2">
    <dataValidation allowBlank="1" showInputMessage="1" showErrorMessage="1" promptTitle="Saisir un angle ----------------" prompt="Saisir un angle au format :                           _x000a_  sexa          2°59'59&quot;_x000a_  semi sexa 2°59.98' ou 2°59.98 _x000a_  decimal    2.9825°" sqref="H6"/>
    <dataValidation allowBlank="1" showInputMessage="1" showErrorMessage="1" promptTitle="Saisie une heure" prompt="Attention mettre la cellule au format Text_x000a_Format horaire possible_x000a_   - hh:mm:ss_x000a_   - hh:mm.ss_x000a_   - hh.mmss" sqref="H9 H52 H64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Constantes!$G$2:$G$3</xm:f>
          </x14:formula1>
          <xm:sqref>G6 C6:E6 G28 G55 G67</xm:sqref>
        </x14:dataValidation>
        <x14:dataValidation type="list" allowBlank="1" showInputMessage="1" showErrorMessage="1">
          <x14:formula1>
            <xm:f>Constantes!$D$6:$D$7</xm:f>
          </x14:formula1>
          <xm:sqref>G25 H32</xm:sqref>
        </x14:dataValidation>
        <x14:dataValidation type="list" allowBlank="1" showInputMessage="1" showErrorMessage="1">
          <x14:formula1>
            <xm:f>Constantes!$D$9:$D$10</xm:f>
          </x14:formula1>
          <xm:sqref>H34</xm:sqref>
        </x14:dataValidation>
        <x14:dataValidation type="list" allowBlank="1" showInputMessage="1" showErrorMessage="1">
          <x14:formula1>
            <xm:f>Constantes!$D$2:$D$4</xm:f>
          </x14:formula1>
          <xm:sqref>G9</xm:sqref>
        </x14:dataValidation>
        <x14:dataValidation type="list" allowBlank="1" showInputMessage="1" showErrorMessage="1">
          <x14:formula1>
            <xm:f>CorrecteurHauteurOeil!$D$3:$H$3</xm:f>
          </x14:formula1>
          <xm:sqref>H31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I67"/>
  <sheetViews>
    <sheetView tabSelected="1" topLeftCell="B52" zoomScale="80" zoomScaleNormal="80" workbookViewId="0">
      <selection activeCell="J79" sqref="J79"/>
    </sheetView>
  </sheetViews>
  <sheetFormatPr defaultRowHeight="15" x14ac:dyDescent="0.25"/>
  <cols>
    <col min="10" max="10" width="12.7109375" customWidth="1"/>
  </cols>
  <sheetData>
    <row r="2" spans="1:51" ht="15.75" thickBot="1" x14ac:dyDescent="0.3"/>
    <row r="3" spans="1:51" s="1" customFormat="1" ht="15.75" thickBot="1" x14ac:dyDescent="0.3">
      <c r="C3" s="174" t="s">
        <v>147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1:51" s="1" customFormat="1" x14ac:dyDescent="0.25">
      <c r="H4" s="92"/>
      <c r="I4" s="2"/>
      <c r="K4" s="2"/>
      <c r="N4" s="2"/>
    </row>
    <row r="5" spans="1:51" s="1" customFormat="1" x14ac:dyDescent="0.25">
      <c r="C5" s="1" t="s">
        <v>140</v>
      </c>
      <c r="F5" s="1" t="s">
        <v>143</v>
      </c>
      <c r="H5" s="92"/>
      <c r="I5" s="2"/>
      <c r="J5" s="1" t="s">
        <v>145</v>
      </c>
      <c r="K5" s="2"/>
      <c r="N5" s="2"/>
    </row>
    <row r="6" spans="1:51" s="1" customFormat="1" x14ac:dyDescent="0.25">
      <c r="D6" s="4" t="s">
        <v>141</v>
      </c>
      <c r="G6" s="1">
        <v>8412</v>
      </c>
      <c r="H6" s="92" t="s">
        <v>144</v>
      </c>
      <c r="I6" s="2"/>
      <c r="K6" s="2" t="s">
        <v>146</v>
      </c>
      <c r="N6" s="2"/>
    </row>
    <row r="7" spans="1:51" s="1" customFormat="1" x14ac:dyDescent="0.25">
      <c r="D7" s="4" t="s">
        <v>142</v>
      </c>
      <c r="H7" s="92"/>
      <c r="I7" s="2"/>
      <c r="K7" s="2"/>
      <c r="N7" s="2"/>
    </row>
    <row r="8" spans="1:51" s="1" customFormat="1" x14ac:dyDescent="0.25">
      <c r="H8" s="92"/>
      <c r="I8" s="2"/>
      <c r="K8" s="2"/>
      <c r="N8" s="2"/>
    </row>
    <row r="9" spans="1:51" s="1" customFormat="1" x14ac:dyDescent="0.25">
      <c r="C9" s="9" t="s">
        <v>9</v>
      </c>
      <c r="D9" s="9"/>
      <c r="E9" s="9"/>
      <c r="H9" s="92"/>
      <c r="I9" s="2"/>
      <c r="K9" s="2"/>
      <c r="N9" s="2"/>
    </row>
    <row r="10" spans="1:51" s="1" customFormat="1" x14ac:dyDescent="0.25">
      <c r="F10" s="25" t="s">
        <v>10</v>
      </c>
      <c r="G10" s="50" t="s">
        <v>2</v>
      </c>
      <c r="H10" s="50" t="s">
        <v>178</v>
      </c>
      <c r="I10" s="2"/>
      <c r="J10" s="133">
        <f>AC10*VLOOKUP(G10,Constantes!$D$2:$E$4,2)</f>
        <v>47.483333333333334</v>
      </c>
      <c r="K10" s="134" t="s">
        <v>0</v>
      </c>
      <c r="N10" s="2"/>
      <c r="AA10" s="163" t="str">
        <f>H10</f>
        <v>47°29'</v>
      </c>
      <c r="AB10" s="1" t="str">
        <f>SUBSTITUTE(AA10,Constantes!$D$15,Constantes!$E$15)</f>
        <v>47°29'</v>
      </c>
      <c r="AC10" s="112">
        <f>IF(AI10,AY10,IF(OR(AJ10,AK10),AU10,IF(AL10,AQ10,IF(AP10,AR10,361))))</f>
        <v>47.483333333333334</v>
      </c>
      <c r="AD10" s="110" t="b">
        <f>ISNUMBER(SEARCH("°",AB10,1))</f>
        <v>1</v>
      </c>
      <c r="AE10" s="104" t="b">
        <f>ISNUMBER(SEARCH("'",AB10,1))</f>
        <v>1</v>
      </c>
      <c r="AF10" s="104" t="b">
        <f>ISNUMBER(SEARCH("""",AB10,1))</f>
        <v>0</v>
      </c>
      <c r="AG10" s="105" t="b">
        <f>IF(AD10,IF(SEARCH("°",AB10,1)=LEN(AB10),TRUE, FALSE), FALSE)</f>
        <v>0</v>
      </c>
      <c r="AH10" s="105" t="b">
        <f>IF(NOT(ISNUMBER(SEARCH("'",AB10,1))), FALSE, IF(SEARCH("'",AB10,1)=LEN(AB10),TRUE, FALSE))</f>
        <v>1</v>
      </c>
      <c r="AI10" s="106" t="b">
        <f>IF(AND(AF10,AE10,AD10),TRUE,FALSE)</f>
        <v>0</v>
      </c>
      <c r="AJ10" s="106" t="b">
        <f>IF(AND(AE10, AD10,NOT(AF10),AH10,NOT(AI10)),TRUE,FALSE)</f>
        <v>1</v>
      </c>
      <c r="AK10" s="106" t="b">
        <f>IF(AND(NOT(AE10),AD10,NOT(AF10),NOT(AG10)*NOT(AI10)),TRUE,FALSE)</f>
        <v>0</v>
      </c>
      <c r="AL10" s="106" t="b">
        <f>IF(AND(NOT(AI10),NOT(AJ10),AG10),TRUE,FALSE)</f>
        <v>0</v>
      </c>
      <c r="AM10" s="105" t="b">
        <f>IF(AND(AI10,RIGHT(AB10)=""""),TRUE, FALSE)</f>
        <v>0</v>
      </c>
      <c r="AN10" s="105" t="b">
        <f>IF(OR(AJ10,AK10),TRUE, FALSE)</f>
        <v>1</v>
      </c>
      <c r="AO10" s="105" t="b">
        <f>IF(AND(AL10,RIGHT(AB10)="°"),TRUE, FALSE)</f>
        <v>0</v>
      </c>
      <c r="AP10" s="105" t="b">
        <f>IF(AND(AH10,NOT(AD10),NOT(AF10)),TRUE, FALSE)</f>
        <v>0</v>
      </c>
      <c r="AQ10" s="34" t="str">
        <f>LEFT(AB10, SEARCH("°",AB10,1)-1)</f>
        <v>47</v>
      </c>
      <c r="AR10" s="34" t="e">
        <f>(LEFT(AB10, SEARCH("'",AB10,1)-1))/60</f>
        <v>#VALUE!</v>
      </c>
      <c r="AS10" s="35" t="str">
        <f>LEFT(AB10, SEARCH("°",AB10,1)-1)</f>
        <v>47</v>
      </c>
      <c r="AT10" s="35" t="str">
        <f>MID(AB10, SEARCH("°",AB10,1) +1, IF(AJ10,SEARCH("'",AB10,1) - SEARCH("°",AB10,1) -1,LEN(AB10)-SEARCH("°",AB10,1)))</f>
        <v>29</v>
      </c>
      <c r="AU10" s="36">
        <f>AS10+AT10*1/60</f>
        <v>47.483333333333334</v>
      </c>
      <c r="AV10" s="38" t="str">
        <f>LEFT(AB10,SEARCH("°",AB10,1)-1)</f>
        <v>47</v>
      </c>
      <c r="AW10" s="37" t="str">
        <f>MID(AB10,SEARCH("°",AB10,1)+1,SEARCH("'",AB10,1)-SEARCH("°",AB10,1)-1)</f>
        <v>29</v>
      </c>
      <c r="AX10" s="37" t="e">
        <f>MID(AB10,SEARCH("'",AB10,1)+1,SEARCH("""",AB10,1)-SEARCH("'",AB10,1)-1)</f>
        <v>#VALUE!</v>
      </c>
      <c r="AY10" s="37" t="e">
        <f>AV10+AW10/60+AX10/3600</f>
        <v>#VALUE!</v>
      </c>
    </row>
    <row r="11" spans="1:51" s="1" customFormat="1" x14ac:dyDescent="0.25">
      <c r="A11" s="2"/>
      <c r="B11" s="2"/>
      <c r="C11" s="27"/>
      <c r="D11" s="138"/>
      <c r="E11" s="138"/>
      <c r="F11" s="25" t="s">
        <v>11</v>
      </c>
      <c r="G11" s="30" t="s">
        <v>5</v>
      </c>
      <c r="H11" s="41" t="s">
        <v>177</v>
      </c>
      <c r="I11" s="8"/>
      <c r="J11" s="133">
        <f>AC11*VLOOKUP(G11,Constantes!$G$2:$H$4,2)</f>
        <v>2.8833333333333333</v>
      </c>
      <c r="K11" s="134" t="s">
        <v>0</v>
      </c>
      <c r="L11" s="29"/>
      <c r="M11" s="7"/>
      <c r="N11" s="4"/>
      <c r="AA11" s="83" t="str">
        <f>H11</f>
        <v>2°53'</v>
      </c>
      <c r="AB11" s="1" t="str">
        <f>SUBSTITUTE(AA11,Constantes!$D$15,Constantes!$E$15)</f>
        <v>2°53'</v>
      </c>
      <c r="AC11" s="112">
        <f>IF(AI11,AY11,IF(OR(AJ11,AK11),AU11,IF(AL11,AQ11,IF(AP11,AR11,361))))</f>
        <v>2.8833333333333333</v>
      </c>
      <c r="AD11" s="110" t="b">
        <f>ISNUMBER(SEARCH("°",AB11,1))</f>
        <v>1</v>
      </c>
      <c r="AE11" s="104" t="b">
        <f>ISNUMBER(SEARCH("'",AB11,1))</f>
        <v>1</v>
      </c>
      <c r="AF11" s="104" t="b">
        <f>ISNUMBER(SEARCH("""",AB11,1))</f>
        <v>0</v>
      </c>
      <c r="AG11" s="105" t="b">
        <f>IF(AD11,IF(SEARCH("°",AB11,1)=LEN(AB11),TRUE, FALSE), FALSE)</f>
        <v>0</v>
      </c>
      <c r="AH11" s="105" t="b">
        <f>IF(NOT(ISNUMBER(SEARCH("'",AB11,1))), FALSE, IF(SEARCH("'",AB11,1)=LEN(AB11),TRUE, FALSE))</f>
        <v>1</v>
      </c>
      <c r="AI11" s="106" t="b">
        <f>IF(AND(AF11,AE11,AD11),TRUE,FALSE)</f>
        <v>0</v>
      </c>
      <c r="AJ11" s="106" t="b">
        <f>IF(AND(AE11, AD11,NOT(AF11),AH11,NOT(AI11)),TRUE,FALSE)</f>
        <v>1</v>
      </c>
      <c r="AK11" s="106" t="b">
        <f>IF(AND(NOT(AE11),AD11,NOT(AF11),NOT(AG11)*NOT(AI11)),TRUE,FALSE)</f>
        <v>0</v>
      </c>
      <c r="AL11" s="106" t="b">
        <f>IF(AND(NOT(AI11),NOT(AJ11),AG11),TRUE,FALSE)</f>
        <v>0</v>
      </c>
      <c r="AM11" s="105" t="b">
        <f>IF(AND(AI11,RIGHT(AB11)=""""),TRUE, FALSE)</f>
        <v>0</v>
      </c>
      <c r="AN11" s="105" t="b">
        <f>IF(OR(AJ11,AK11),TRUE, FALSE)</f>
        <v>1</v>
      </c>
      <c r="AO11" s="105" t="b">
        <f>IF(AND(AL11,RIGHT(AB11)="°"),TRUE, FALSE)</f>
        <v>0</v>
      </c>
      <c r="AP11" s="105" t="b">
        <f>IF(AND(AH11,NOT(AD11),NOT(AF11)),TRUE, FALSE)</f>
        <v>0</v>
      </c>
      <c r="AQ11" s="34" t="str">
        <f>LEFT(AB11, SEARCH("°",AB11,1)-1)</f>
        <v>2</v>
      </c>
      <c r="AR11" s="34" t="e">
        <f>(LEFT(AB11, SEARCH("'",AB11,1)-1))/60</f>
        <v>#VALUE!</v>
      </c>
      <c r="AS11" s="35" t="str">
        <f>LEFT(AB11, SEARCH("°",AB11,1)-1)</f>
        <v>2</v>
      </c>
      <c r="AT11" s="35" t="str">
        <f>MID(AB11, SEARCH("°",AB11,1) +1, IF(AJ11,SEARCH("'",AB11,1) - SEARCH("°",AB11,1) -1,LEN(AB11)-SEARCH("°",AB11,1)))</f>
        <v>53</v>
      </c>
      <c r="AU11" s="36">
        <f>AS11+AT11*1/60</f>
        <v>2.8833333333333333</v>
      </c>
      <c r="AV11" s="38" t="str">
        <f>LEFT(AB11,SEARCH("°",AB11,1)-1)</f>
        <v>2</v>
      </c>
      <c r="AW11" s="37" t="str">
        <f>MID(AB11,SEARCH("°",AB11,1)+1,SEARCH("'",AB11,1)-SEARCH("°",AB11,1)-1)</f>
        <v>53</v>
      </c>
      <c r="AX11" s="37" t="e">
        <f>MID(AB11,SEARCH("'",AB11,1)+1,SEARCH("""",AB11,1)-SEARCH("'",AB11,1)-1)</f>
        <v>#VALUE!</v>
      </c>
      <c r="AY11" s="37" t="e">
        <f>AV11+AW11/60+AX11/3600</f>
        <v>#VALUE!</v>
      </c>
    </row>
    <row r="12" spans="1:51" s="1" customFormat="1" x14ac:dyDescent="0.25">
      <c r="H12" s="92"/>
      <c r="I12" s="2"/>
      <c r="K12" s="2"/>
      <c r="N12" s="2"/>
    </row>
    <row r="13" spans="1:51" s="1" customFormat="1" x14ac:dyDescent="0.25">
      <c r="C13" s="9" t="s">
        <v>171</v>
      </c>
      <c r="D13" s="9"/>
      <c r="E13" s="9"/>
      <c r="H13" s="92"/>
      <c r="I13" s="2"/>
      <c r="K13" s="2"/>
      <c r="N13" s="2"/>
    </row>
    <row r="14" spans="1:51" s="1" customFormat="1" x14ac:dyDescent="0.25">
      <c r="F14" s="81" t="s">
        <v>84</v>
      </c>
      <c r="G14" s="164"/>
      <c r="H14" s="82" t="s">
        <v>172</v>
      </c>
      <c r="I14" s="2"/>
      <c r="J14" s="133">
        <f>AC14</f>
        <v>15.401111111111112</v>
      </c>
      <c r="K14" s="134" t="s">
        <v>13</v>
      </c>
      <c r="N14"/>
      <c r="O14"/>
      <c r="P14"/>
      <c r="Q14"/>
      <c r="R14"/>
      <c r="S14"/>
      <c r="T14"/>
      <c r="U14"/>
      <c r="V14"/>
      <c r="W14"/>
      <c r="X14"/>
      <c r="Y14"/>
      <c r="AA14" s="93" t="str">
        <f>H14</f>
        <v>15:24:04</v>
      </c>
      <c r="AB14" s="1" t="str">
        <f>SUBSTITUTE(AA14,Constantes!$D$15,Constantes!$E$15)</f>
        <v>15:24:04</v>
      </c>
      <c r="AC14" s="113">
        <f>AG14+AH14/60+IF(AE14,AI14/3600,0)</f>
        <v>15.401111111111112</v>
      </c>
      <c r="AD14">
        <f>SEARCH(":",AB14,1)</f>
        <v>3</v>
      </c>
      <c r="AE14" t="b">
        <f>ISNUMBER(SEARCH(":",AB14,AD14+1))</f>
        <v>1</v>
      </c>
      <c r="AF14" t="e">
        <f>IF(AE14,SEARCH(":",AC14,AD14+1),-1)</f>
        <v>#VALUE!</v>
      </c>
      <c r="AG14" s="109" t="str">
        <f>LEFT(AB14,SEARCH(":",AB14) -1)</f>
        <v>15</v>
      </c>
      <c r="AH14" s="109" t="str">
        <f>MID(AB14,SEARCH(":",AB14,1)+1,   IF(AE14,SEARCH(":",AB14,1+SEARCH(":",AB14,1))-SEARCH(":",AB14,1)-1, LEN(AB14)-SEARCH(":",AB14,1)))</f>
        <v>24</v>
      </c>
      <c r="AI14" s="109" t="str">
        <f>RIGHT(AB14,LEN(AB14)-SEARCH(":",AB14,SEARCH(":",AB14,1)+1))</f>
        <v>04</v>
      </c>
    </row>
    <row r="15" spans="1:51" s="1" customFormat="1" x14ac:dyDescent="0.25"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51" s="1" customFormat="1" x14ac:dyDescent="0.25">
      <c r="H16" s="92"/>
      <c r="I16" s="2"/>
      <c r="K16" s="2"/>
      <c r="N16" s="2"/>
    </row>
    <row r="17" spans="3:61" s="1" customFormat="1" x14ac:dyDescent="0.25">
      <c r="C17" s="13" t="s">
        <v>160</v>
      </c>
      <c r="D17" s="13"/>
      <c r="E17" s="13"/>
      <c r="F17" s="13"/>
      <c r="G17" s="13"/>
      <c r="H17" s="92"/>
      <c r="I17" s="2"/>
      <c r="K17" s="2"/>
      <c r="N17" s="2"/>
    </row>
    <row r="18" spans="3:61" s="1" customFormat="1" ht="28.5" x14ac:dyDescent="0.25">
      <c r="C18" s="13"/>
      <c r="D18" s="153" t="s">
        <v>161</v>
      </c>
      <c r="E18" s="153" t="s">
        <v>162</v>
      </c>
      <c r="F18" s="153" t="s">
        <v>163</v>
      </c>
      <c r="G18" s="153" t="s">
        <v>164</v>
      </c>
      <c r="H18" s="92"/>
      <c r="I18" s="2"/>
      <c r="K18" s="2"/>
      <c r="N18" s="2"/>
    </row>
    <row r="19" spans="3:61" s="1" customFormat="1" ht="28.5" x14ac:dyDescent="0.25">
      <c r="C19" s="13"/>
      <c r="D19" s="153" t="s">
        <v>165</v>
      </c>
      <c r="E19" s="153" t="s">
        <v>166</v>
      </c>
      <c r="F19" s="153" t="s">
        <v>167</v>
      </c>
      <c r="G19" s="153" t="s">
        <v>168</v>
      </c>
      <c r="H19" s="92"/>
      <c r="I19" s="2"/>
      <c r="K19" s="2"/>
      <c r="N19" s="2"/>
    </row>
    <row r="20" spans="3:61" s="1" customFormat="1" x14ac:dyDescent="0.25">
      <c r="H20" s="92"/>
      <c r="I20" s="2"/>
      <c r="K20" s="2"/>
      <c r="N20" s="2"/>
    </row>
    <row r="21" spans="3:61" s="1" customFormat="1" x14ac:dyDescent="0.25">
      <c r="H21" s="92"/>
      <c r="I21" s="2"/>
      <c r="K21" s="2"/>
      <c r="N21" s="2"/>
    </row>
    <row r="22" spans="3:61" x14ac:dyDescent="0.25">
      <c r="C22" t="s">
        <v>151</v>
      </c>
    </row>
    <row r="23" spans="3:61" s="1" customFormat="1" x14ac:dyDescent="0.25">
      <c r="D23" s="185" t="s">
        <v>170</v>
      </c>
      <c r="E23" s="186"/>
      <c r="F23" s="81" t="s">
        <v>84</v>
      </c>
      <c r="G23" s="164"/>
      <c r="H23" s="82" t="s">
        <v>173</v>
      </c>
      <c r="I23" s="2"/>
      <c r="J23" s="133">
        <f>AC23</f>
        <v>0</v>
      </c>
      <c r="K23" s="134" t="s">
        <v>13</v>
      </c>
      <c r="N23"/>
      <c r="O23"/>
      <c r="P23"/>
      <c r="Q23"/>
      <c r="R23"/>
      <c r="S23"/>
      <c r="T23"/>
      <c r="U23"/>
      <c r="V23"/>
      <c r="W23"/>
      <c r="X23"/>
      <c r="Y23"/>
      <c r="AA23" s="93" t="str">
        <f>H23</f>
        <v>00:00:00</v>
      </c>
      <c r="AB23" s="1" t="str">
        <f>SUBSTITUTE(AA23,Constantes!$D$15,Constantes!$E$15)</f>
        <v>00:00:00</v>
      </c>
      <c r="AC23" s="113">
        <f>AG23+AH23/60+IF(AE23,AI23/3600,0)</f>
        <v>0</v>
      </c>
      <c r="AD23">
        <f>SEARCH(":",AB23,1)</f>
        <v>3</v>
      </c>
      <c r="AE23" t="b">
        <f>ISNUMBER(SEARCH(":",AB23,AD23+1))</f>
        <v>1</v>
      </c>
      <c r="AF23" t="e">
        <f>IF(AE23,SEARCH(":",AC23,AD23+1),-1)</f>
        <v>#VALUE!</v>
      </c>
      <c r="AG23" s="109" t="str">
        <f>LEFT(AB23,SEARCH(":",AB23) -1)</f>
        <v>00</v>
      </c>
      <c r="AH23" s="109" t="str">
        <f>MID(AB23,SEARCH(":",AB23,1)+1,   IF(AE23,SEARCH(":",AB23,1+SEARCH(":",AB23,1))-SEARCH(":",AB23,1)-1, LEN(AB23)-SEARCH(":",AB23,1)))</f>
        <v>00</v>
      </c>
      <c r="AI23" s="109" t="str">
        <f>RIGHT(AB23,LEN(AB23)-SEARCH(":",AB23,SEARCH(":",AB23,1)+1))</f>
        <v>00</v>
      </c>
    </row>
    <row r="24" spans="3:61" s="1" customFormat="1" x14ac:dyDescent="0.25">
      <c r="D24" s="185"/>
      <c r="E24" s="186"/>
      <c r="F24" s="25" t="s">
        <v>169</v>
      </c>
      <c r="G24" s="50" t="s">
        <v>3</v>
      </c>
      <c r="H24" s="50" t="s">
        <v>174</v>
      </c>
      <c r="I24" s="2"/>
      <c r="J24" s="133">
        <f>AC24*VLOOKUP(G24,Constantes!$D$2:$E$4,2)</f>
        <v>-6.6</v>
      </c>
      <c r="K24" s="134" t="s">
        <v>0</v>
      </c>
      <c r="N24" s="2"/>
      <c r="AA24" s="163" t="str">
        <f>H24</f>
        <v>6°36.0'</v>
      </c>
      <c r="AB24" s="1" t="str">
        <f>SUBSTITUTE(AA24,Constantes!$D$15,Constantes!$E$15)</f>
        <v>6°36.0'</v>
      </c>
      <c r="AC24" s="112">
        <f>IF(AI24,AY24,IF(OR(AJ24,AK24),AU24,IF(AL24,AQ24,IF(AP24,AR24,361))))</f>
        <v>6.6</v>
      </c>
      <c r="AD24" s="110" t="b">
        <f>ISNUMBER(SEARCH("°",AB24,1))</f>
        <v>1</v>
      </c>
      <c r="AE24" s="104" t="b">
        <f>ISNUMBER(SEARCH("'",AB24,1))</f>
        <v>1</v>
      </c>
      <c r="AF24" s="104" t="b">
        <f>ISNUMBER(SEARCH("""",AB24,1))</f>
        <v>0</v>
      </c>
      <c r="AG24" s="105" t="b">
        <f>IF(AD24,IF(SEARCH("°",AB24,1)=LEN(AB24),TRUE, FALSE), FALSE)</f>
        <v>0</v>
      </c>
      <c r="AH24" s="105" t="b">
        <f>IF(NOT(ISNUMBER(SEARCH("'",AB24,1))), FALSE, IF(SEARCH("'",AB24,1)=LEN(AB24),TRUE, FALSE))</f>
        <v>1</v>
      </c>
      <c r="AI24" s="106" t="b">
        <f>IF(AND(AF24,AE24,AD24),TRUE,FALSE)</f>
        <v>0</v>
      </c>
      <c r="AJ24" s="106" t="b">
        <f>IF(AND(AE24, AD24,NOT(AF24),AH24,NOT(AI24)),TRUE,FALSE)</f>
        <v>1</v>
      </c>
      <c r="AK24" s="106" t="b">
        <f>IF(AND(NOT(AE24),AD24,NOT(AF24),NOT(AG24)*NOT(AI24)),TRUE,FALSE)</f>
        <v>0</v>
      </c>
      <c r="AL24" s="106" t="b">
        <f>IF(AND(NOT(AI24),NOT(AJ24),AG24),TRUE,FALSE)</f>
        <v>0</v>
      </c>
      <c r="AM24" s="105" t="b">
        <f>IF(AND(AI24,RIGHT(AB24)=""""),TRUE, FALSE)</f>
        <v>0</v>
      </c>
      <c r="AN24" s="105" t="b">
        <f>IF(OR(AJ24,AK24),TRUE, FALSE)</f>
        <v>1</v>
      </c>
      <c r="AO24" s="105" t="b">
        <f>IF(AND(AL24,RIGHT(AB24)="°"),TRUE, FALSE)</f>
        <v>0</v>
      </c>
      <c r="AP24" s="105" t="b">
        <f>IF(AND(AH24,NOT(AD24),NOT(AF24)),TRUE, FALSE)</f>
        <v>0</v>
      </c>
      <c r="AQ24" s="34" t="str">
        <f>LEFT(AB24, SEARCH("°",AB24,1)-1)</f>
        <v>6</v>
      </c>
      <c r="AR24" s="34" t="e">
        <f>(LEFT(AB24, SEARCH("'",AB24,1)-1))/60</f>
        <v>#VALUE!</v>
      </c>
      <c r="AS24" s="35" t="str">
        <f>LEFT(AB24, SEARCH("°",AB24,1)-1)</f>
        <v>6</v>
      </c>
      <c r="AT24" s="35" t="str">
        <f>MID(AB24, SEARCH("°",AB24,1) +1, IF(AJ24,SEARCH("'",AB24,1) - SEARCH("°",AB24,1) -1,LEN(AB24)-SEARCH("°",AB24,1)))</f>
        <v>36.0</v>
      </c>
      <c r="AU24" s="36">
        <f>AS24+AT24*1/60</f>
        <v>6.6</v>
      </c>
      <c r="AV24" s="38" t="str">
        <f>LEFT(AB24,SEARCH("°",AB24,1)-1)</f>
        <v>6</v>
      </c>
      <c r="AW24" s="37" t="str">
        <f>MID(AB24,SEARCH("°",AB24,1)+1,SEARCH("'",AB24,1)-SEARCH("°",AB24,1)-1)</f>
        <v>36.0</v>
      </c>
      <c r="AX24" s="37" t="e">
        <f>MID(AB24,SEARCH("'",AB24,1)+1,SEARCH("""",AB24,1)-SEARCH("'",AB24,1)-1)</f>
        <v>#VALUE!</v>
      </c>
      <c r="AY24" s="37" t="e">
        <f>AV24+AW24/60+AX24/3600</f>
        <v>#VALUE!</v>
      </c>
    </row>
    <row r="25" spans="3:61" x14ac:dyDescent="0.25">
      <c r="F25" s="154" t="s">
        <v>164</v>
      </c>
      <c r="G25" s="50" t="s">
        <v>29</v>
      </c>
      <c r="H25" s="50" t="s">
        <v>184</v>
      </c>
      <c r="J25" s="133">
        <f>AC25*VLOOKUP(G25,Constantes!$D$6:$E$7,2)</f>
        <v>-1.6E-2</v>
      </c>
      <c r="K25" s="134" t="s">
        <v>0</v>
      </c>
      <c r="L25" s="1"/>
      <c r="M25" s="1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63" t="str">
        <f>H25</f>
        <v>0.96'</v>
      </c>
      <c r="AB25" s="1" t="str">
        <f>SUBSTITUTE(AA25,Constantes!$D$15,Constantes!$E$15)</f>
        <v>0.96'</v>
      </c>
      <c r="AC25" s="112">
        <f>IF(AI25,AY25,IF(OR(AJ25,AK25),AU25,IF(AL25,AQ25,IF(AP25,AR25,361))))</f>
        <v>1.6E-2</v>
      </c>
      <c r="AD25" s="110" t="b">
        <f>ISNUMBER(SEARCH("°",AB25,1))</f>
        <v>0</v>
      </c>
      <c r="AE25" s="104" t="b">
        <f>ISNUMBER(SEARCH("'",AB25,1))</f>
        <v>1</v>
      </c>
      <c r="AF25" s="104" t="b">
        <f>ISNUMBER(SEARCH("""",AB25,1))</f>
        <v>0</v>
      </c>
      <c r="AG25" s="105" t="b">
        <f>IF(AD25,IF(SEARCH("°",AB25,1)=LEN(AB25),TRUE, FALSE), FALSE)</f>
        <v>0</v>
      </c>
      <c r="AH25" s="105" t="b">
        <f>IF(NOT(ISNUMBER(SEARCH("'",AB25,1))), FALSE, IF(SEARCH("'",AB25,1)=LEN(AB25),TRUE, FALSE))</f>
        <v>1</v>
      </c>
      <c r="AI25" s="106" t="b">
        <f>IF(AND(AF25,AE25,AD25),TRUE,FALSE)</f>
        <v>0</v>
      </c>
      <c r="AJ25" s="106" t="b">
        <f>IF(AND(AE25, AD25,NOT(AF25),AH25,NOT(AI25)),TRUE,FALSE)</f>
        <v>0</v>
      </c>
      <c r="AK25" s="106" t="b">
        <f>IF(AND(NOT(AE25),AD25,NOT(AF25),NOT(AG25)*NOT(AI25)),TRUE,FALSE)</f>
        <v>0</v>
      </c>
      <c r="AL25" s="106" t="b">
        <f>IF(AND(NOT(AI25),NOT(AJ25),AG25),TRUE,FALSE)</f>
        <v>0</v>
      </c>
      <c r="AM25" s="105" t="b">
        <f>IF(AND(AI25,RIGHT(AB25)=""""),TRUE, FALSE)</f>
        <v>0</v>
      </c>
      <c r="AN25" s="105" t="b">
        <f>IF(OR(AJ25,AK25),TRUE, FALSE)</f>
        <v>0</v>
      </c>
      <c r="AO25" s="105" t="b">
        <f>IF(AND(AL25,RIGHT(AB25)="°"),TRUE, FALSE)</f>
        <v>0</v>
      </c>
      <c r="AP25" s="105" t="b">
        <f>IF(AND(AH25,NOT(AD25),NOT(AF25)),TRUE, FALSE)</f>
        <v>1</v>
      </c>
      <c r="AQ25" s="34" t="e">
        <f>LEFT(AB25, SEARCH("°",AB25,1)-1)</f>
        <v>#VALUE!</v>
      </c>
      <c r="AR25" s="34">
        <f>(LEFT(AB25, SEARCH("'",AB25,1)-1))/60</f>
        <v>1.6E-2</v>
      </c>
      <c r="AS25" s="35" t="e">
        <f>LEFT(AB25, SEARCH("°",AB25,1)-1)</f>
        <v>#VALUE!</v>
      </c>
      <c r="AT25" s="35" t="e">
        <f>MID(AB25, SEARCH("°",AB25,1) +1, IF(AJ25,SEARCH("'",AB25,1) - SEARCH("°",AB25,1) -1,LEN(AB25)-SEARCH("°",AB25,1)))</f>
        <v>#VALUE!</v>
      </c>
      <c r="AU25" s="36" t="e">
        <f>AS25+AT25*1/60</f>
        <v>#VALUE!</v>
      </c>
      <c r="AV25" s="38" t="e">
        <f>LEFT(AB25,SEARCH("°",AB25,1)-1)</f>
        <v>#VALUE!</v>
      </c>
      <c r="AW25" s="37" t="e">
        <f>MID(AB25,SEARCH("°",AB25,1)+1,SEARCH("'",AB25,1)-SEARCH("°",AB25,1)-1)</f>
        <v>#VALUE!</v>
      </c>
      <c r="AX25" s="37" t="e">
        <f>MID(AB25,SEARCH("'",AB25,1)+1,SEARCH("""",AB25,1)-SEARCH("'",AB25,1)-1)</f>
        <v>#VALUE!</v>
      </c>
      <c r="AY25" s="37" t="e">
        <f>AV25+AW25/60+AX25/3600</f>
        <v>#VALUE!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7" spans="3:61" x14ac:dyDescent="0.25">
      <c r="F27" s="144" t="s">
        <v>169</v>
      </c>
      <c r="G27" s="144"/>
      <c r="H27" s="144"/>
      <c r="I27" s="144"/>
      <c r="J27" s="144">
        <f>(ABS(J24)+J25*J14) * (ABS(J24)/J24)</f>
        <v>-6.3535822222222222</v>
      </c>
      <c r="K27" s="155" t="s">
        <v>0</v>
      </c>
    </row>
    <row r="28" spans="3:61" x14ac:dyDescent="0.25">
      <c r="I28" s="165" t="str">
        <f>IF(J27&gt;0,"N","S")</f>
        <v>S</v>
      </c>
      <c r="J28" s="144" t="str">
        <f>AC28</f>
        <v>06°21'12.90"</v>
      </c>
      <c r="K28" s="144"/>
      <c r="AA28" s="93">
        <f>ABS(J27)</f>
        <v>6.3535822222222222</v>
      </c>
      <c r="AB28" s="1" t="str">
        <f>SUBSTITUTE(AA28,Constantes!$D$15,Constantes!$E$15)</f>
        <v>6.35358222222222</v>
      </c>
      <c r="AC28" s="113" t="str">
        <f>AH28</f>
        <v>06°21'12.90"</v>
      </c>
      <c r="AD28" s="111" t="str">
        <f>SUBSTITUTE(AB28,"°","")</f>
        <v>6.35358222222222</v>
      </c>
      <c r="AE28" s="104" t="b">
        <f>IF(ISNUMBER(SEARCH("°",AB28,1)),IF(SEARCH("°",AB28,1)=LEN(AB28),TRUE,FALSE),FALSE)</f>
        <v>0</v>
      </c>
      <c r="AF28" s="157" t="b">
        <f>IF(ISNUMBER(SEARCH("'",AB28,1)),IF(SEARCH("'",AB28,1)=LEN(AB28),TRUE,FALSE),FALSE)</f>
        <v>0</v>
      </c>
      <c r="AG28" s="157" t="b">
        <f>IF(ISNUMBER(SEARCH("""",AB28,1)),IF(SEARCH("""",AB28,1)=LEN(AB28),TRUE,FALSE),FALSE)</f>
        <v>0</v>
      </c>
      <c r="AH28" s="158" t="str">
        <f>CONCATENATE(TEXT(AI28,"00"),"°",TEXT(AJ28,"00"),"'",TEXT(AK28,"00.00"),"""")</f>
        <v>06°21'12.90"</v>
      </c>
      <c r="AI28" s="109">
        <f>INT(AD28)</f>
        <v>6</v>
      </c>
      <c r="AJ28" s="109">
        <f>INT((AD28-AI28) * 60)</f>
        <v>21</v>
      </c>
      <c r="AK28" s="109">
        <f>(AD28-(AI28 + AJ28/60))*3600</f>
        <v>12.895999999991759</v>
      </c>
      <c r="AL28" s="35" t="str">
        <f>SUBSTITUTE(AB28,"'","")</f>
        <v>6.35358222222222</v>
      </c>
      <c r="AM28" s="35">
        <f>(AL28*100/60)/60</f>
        <v>0.17648839506172831</v>
      </c>
      <c r="AN28" s="162" t="str">
        <f>SUBSTITUTE(AD28,"""","")</f>
        <v>6.35358222222222</v>
      </c>
      <c r="AO28" s="162">
        <f>AN28*100/60</f>
        <v>10.589303703703699</v>
      </c>
    </row>
    <row r="30" spans="3:61" x14ac:dyDescent="0.25">
      <c r="C30" t="s">
        <v>148</v>
      </c>
    </row>
    <row r="31" spans="3:61" x14ac:dyDescent="0.25">
      <c r="D31" s="185" t="s">
        <v>170</v>
      </c>
      <c r="E31" s="186"/>
      <c r="F31" s="81" t="s">
        <v>84</v>
      </c>
      <c r="G31" s="79"/>
      <c r="H31" s="82" t="s">
        <v>173</v>
      </c>
      <c r="I31" s="2"/>
      <c r="J31" s="133">
        <f>AC31</f>
        <v>0</v>
      </c>
      <c r="K31" s="134" t="s">
        <v>13</v>
      </c>
    </row>
    <row r="32" spans="3:61" x14ac:dyDescent="0.25">
      <c r="D32" s="185"/>
      <c r="E32" s="186"/>
      <c r="F32" s="25" t="s">
        <v>161</v>
      </c>
      <c r="G32" s="50" t="s">
        <v>2</v>
      </c>
      <c r="H32" s="50" t="s">
        <v>165</v>
      </c>
      <c r="I32" s="2"/>
      <c r="J32" s="133">
        <f>AC32*VLOOKUP(G32,Constantes!$D$2:$E$4,2)</f>
        <v>177.03166666666667</v>
      </c>
      <c r="K32" s="134" t="s">
        <v>0</v>
      </c>
      <c r="AA32" s="163" t="str">
        <f>H32</f>
        <v>177°1.9'</v>
      </c>
      <c r="AB32" s="1" t="str">
        <f>SUBSTITUTE(AA32,Constantes!$D$15,Constantes!$E$15)</f>
        <v>177°1.9'</v>
      </c>
      <c r="AC32" s="112">
        <f>IF(AI32,AY32,IF(OR(AJ32,AK32),AU32,IF(AL32,AQ32,IF(AP32,AR32,361))))</f>
        <v>177.03166666666667</v>
      </c>
      <c r="AD32" s="110" t="b">
        <f>ISNUMBER(SEARCH("°",AB32,1))</f>
        <v>1</v>
      </c>
      <c r="AE32" s="104" t="b">
        <f>ISNUMBER(SEARCH("'",AB32,1))</f>
        <v>1</v>
      </c>
      <c r="AF32" s="104" t="b">
        <f>ISNUMBER(SEARCH("""",AB32,1))</f>
        <v>0</v>
      </c>
      <c r="AG32" s="105" t="b">
        <f>IF(AD32,IF(SEARCH("°",AB32,1)=LEN(AB32),TRUE, FALSE), FALSE)</f>
        <v>0</v>
      </c>
      <c r="AH32" s="105" t="b">
        <f>IF(NOT(ISNUMBER(SEARCH("'",AB32,1))), FALSE, IF(SEARCH("'",AB32,1)=LEN(AB32),TRUE, FALSE))</f>
        <v>1</v>
      </c>
      <c r="AI32" s="106" t="b">
        <f>IF(AND(AF32,AE32,AD32),TRUE,FALSE)</f>
        <v>0</v>
      </c>
      <c r="AJ32" s="106" t="b">
        <f>IF(AND(AE32, AD32,NOT(AF32),AH32,NOT(AI32)),TRUE,FALSE)</f>
        <v>1</v>
      </c>
      <c r="AK32" s="106" t="b">
        <f>IF(AND(NOT(AE32),AD32,NOT(AF32),NOT(AG32)*NOT(AI32)),TRUE,FALSE)</f>
        <v>0</v>
      </c>
      <c r="AL32" s="106" t="b">
        <f>IF(AND(NOT(AI32),NOT(AJ32),AG32),TRUE,FALSE)</f>
        <v>0</v>
      </c>
      <c r="AM32" s="105" t="b">
        <f>IF(AND(AI32,RIGHT(AB32)=""""),TRUE, FALSE)</f>
        <v>0</v>
      </c>
      <c r="AN32" s="105" t="b">
        <f>IF(OR(AJ32,AK32),TRUE, FALSE)</f>
        <v>1</v>
      </c>
      <c r="AO32" s="105" t="b">
        <f>IF(AND(AL32,RIGHT(AB32)="°"),TRUE, FALSE)</f>
        <v>0</v>
      </c>
      <c r="AP32" s="105" t="b">
        <f>IF(AND(AH32,NOT(AD32),NOT(AF32)),TRUE, FALSE)</f>
        <v>0</v>
      </c>
      <c r="AQ32" s="34" t="str">
        <f>LEFT(AB32, SEARCH("°",AB32,1)-1)</f>
        <v>177</v>
      </c>
      <c r="AR32" s="34" t="e">
        <f>(LEFT(AB32, SEARCH("'",AB32,1)-1))/60</f>
        <v>#VALUE!</v>
      </c>
      <c r="AS32" s="35" t="str">
        <f>LEFT(AB32, SEARCH("°",AB32,1)-1)</f>
        <v>177</v>
      </c>
      <c r="AT32" s="35" t="str">
        <f>MID(AB32, SEARCH("°",AB32,1) +1, IF(AJ32,SEARCH("'",AB32,1) - SEARCH("°",AB32,1) -1,LEN(AB32)-SEARCH("°",AB32,1)))</f>
        <v>1.9</v>
      </c>
      <c r="AU32" s="36">
        <f>AS32+AT32*1/60</f>
        <v>177.03166666666667</v>
      </c>
      <c r="AV32" s="38" t="str">
        <f>LEFT(AB32,SEARCH("°",AB32,1)-1)</f>
        <v>177</v>
      </c>
      <c r="AW32" s="37" t="str">
        <f>MID(AB32,SEARCH("°",AB32,1)+1,SEARCH("'",AB32,1)-SEARCH("°",AB32,1)-1)</f>
        <v>1.9</v>
      </c>
      <c r="AX32" s="37" t="e">
        <f>MID(AB32,SEARCH("'",AB32,1)+1,SEARCH("""",AB32,1)-SEARCH("'",AB32,1)-1)</f>
        <v>#VALUE!</v>
      </c>
      <c r="AY32" s="37" t="e">
        <f>AV32+AW32/60+AX32/3600</f>
        <v>#VALUE!</v>
      </c>
    </row>
    <row r="33" spans="3:51" x14ac:dyDescent="0.25">
      <c r="F33" s="154" t="s">
        <v>164</v>
      </c>
      <c r="G33" s="50" t="s">
        <v>28</v>
      </c>
      <c r="H33" s="50" t="s">
        <v>166</v>
      </c>
      <c r="J33" s="133">
        <f>AC33*VLOOKUP(G33,Constantes!$D$6:$E$7,2)</f>
        <v>15.002000000000001</v>
      </c>
      <c r="K33" s="134" t="s">
        <v>0</v>
      </c>
      <c r="AA33" s="163" t="str">
        <f>H33</f>
        <v>15.002°</v>
      </c>
      <c r="AB33" s="1" t="str">
        <f>SUBSTITUTE(AA33,Constantes!$D$15,Constantes!$E$15)</f>
        <v>15.002°</v>
      </c>
      <c r="AC33" s="112" t="str">
        <f>IF(AI33,AY33,IF(OR(AJ33,AK33),AU33,IF(AL33,AQ33,IF(AP33,AR33,361))))</f>
        <v>15.002</v>
      </c>
      <c r="AD33" s="110" t="b">
        <f>ISNUMBER(SEARCH("°",AB33,1))</f>
        <v>1</v>
      </c>
      <c r="AE33" s="104" t="b">
        <f>ISNUMBER(SEARCH("'",AB33,1))</f>
        <v>0</v>
      </c>
      <c r="AF33" s="104" t="b">
        <f>ISNUMBER(SEARCH("""",AB33,1))</f>
        <v>0</v>
      </c>
      <c r="AG33" s="105" t="b">
        <f>IF(AD33,IF(SEARCH("°",AB33,1)=LEN(AB33),TRUE, FALSE), FALSE)</f>
        <v>1</v>
      </c>
      <c r="AH33" s="105" t="b">
        <f>IF(NOT(ISNUMBER(SEARCH("'",AB33,1))), FALSE, IF(SEARCH("'",AB33,1)=LEN(AB33),TRUE, FALSE))</f>
        <v>0</v>
      </c>
      <c r="AI33" s="106" t="b">
        <f>IF(AND(AF33,AE33,AD33),TRUE,FALSE)</f>
        <v>0</v>
      </c>
      <c r="AJ33" s="106" t="b">
        <f>IF(AND(AE33, AD33,NOT(AF33),AH33,NOT(AI33)),TRUE,FALSE)</f>
        <v>0</v>
      </c>
      <c r="AK33" s="106" t="b">
        <f>IF(AND(NOT(AE33),AD33,NOT(AF33),NOT(AG33)*NOT(AI33)),TRUE,FALSE)</f>
        <v>0</v>
      </c>
      <c r="AL33" s="106" t="b">
        <f>IF(AND(NOT(AI33),NOT(AJ33),AG33),TRUE,FALSE)</f>
        <v>1</v>
      </c>
      <c r="AM33" s="105" t="b">
        <f>IF(AND(AI33,RIGHT(AB33)=""""),TRUE, FALSE)</f>
        <v>0</v>
      </c>
      <c r="AN33" s="105" t="b">
        <f>IF(OR(AJ33,AK33),TRUE, FALSE)</f>
        <v>0</v>
      </c>
      <c r="AO33" s="105" t="b">
        <f>IF(AND(AL33,RIGHT(AB33)="°"),TRUE, FALSE)</f>
        <v>1</v>
      </c>
      <c r="AP33" s="105" t="b">
        <f>IF(AND(AH33,NOT(AD33),NOT(AF33)),TRUE, FALSE)</f>
        <v>0</v>
      </c>
      <c r="AQ33" s="34" t="str">
        <f>LEFT(AB33, SEARCH("°",AB33,1)-1)</f>
        <v>15.002</v>
      </c>
      <c r="AR33" s="34" t="e">
        <f>(LEFT(AB33, SEARCH("'",AB33,1)-1))/60</f>
        <v>#VALUE!</v>
      </c>
      <c r="AS33" s="35" t="str">
        <f>LEFT(AB33, SEARCH("°",AB33,1)-1)</f>
        <v>15.002</v>
      </c>
      <c r="AT33" s="35" t="str">
        <f>MID(AB33, SEARCH("°",AB33,1) +1, IF(AJ33,SEARCH("'",AB33,1) - SEARCH("°",AB33,1) -1,LEN(AB33)-SEARCH("°",AB33,1)))</f>
        <v/>
      </c>
      <c r="AU33" s="36" t="e">
        <f>AS33+AT33*1/60</f>
        <v>#VALUE!</v>
      </c>
      <c r="AV33" s="38" t="str">
        <f>LEFT(AB33,SEARCH("°",AB33,1)-1)</f>
        <v>15.002</v>
      </c>
      <c r="AW33" s="37" t="e">
        <f>MID(AB33,SEARCH("°",AB33,1)+1,SEARCH("'",AB33,1)-SEARCH("°",AB33,1)-1)</f>
        <v>#VALUE!</v>
      </c>
      <c r="AX33" s="37" t="e">
        <f>MID(AB33,SEARCH("'",AB33,1)+1,SEARCH("""",AB33,1)-SEARCH("'",AB33,1)-1)</f>
        <v>#VALUE!</v>
      </c>
      <c r="AY33" s="37" t="e">
        <f>AV33+AW33/60+AX33/3600</f>
        <v>#VALUE!</v>
      </c>
    </row>
    <row r="35" spans="3:51" x14ac:dyDescent="0.25">
      <c r="F35" s="144" t="s">
        <v>175</v>
      </c>
      <c r="G35" s="144"/>
      <c r="H35" s="144"/>
      <c r="I35" s="144"/>
      <c r="J35" s="144">
        <f>(ABS(J32)+J33*J14) * (ABS(J32)/J32)</f>
        <v>408.07913555555558</v>
      </c>
      <c r="K35" s="155" t="s">
        <v>0</v>
      </c>
    </row>
    <row r="37" spans="3:51" x14ac:dyDescent="0.25">
      <c r="C37" t="s">
        <v>149</v>
      </c>
    </row>
    <row r="38" spans="3:51" x14ac:dyDescent="0.25">
      <c r="F38" s="144"/>
      <c r="G38" s="144"/>
      <c r="H38" s="144"/>
      <c r="I38" s="144"/>
      <c r="J38" s="150">
        <f>J35-J11</f>
        <v>405.19580222222226</v>
      </c>
      <c r="K38" s="144" t="s">
        <v>0</v>
      </c>
    </row>
    <row r="39" spans="3:51" x14ac:dyDescent="0.25">
      <c r="F39" s="144" t="s">
        <v>176</v>
      </c>
      <c r="G39" s="144"/>
      <c r="H39" s="144"/>
      <c r="I39" s="144"/>
      <c r="J39" s="166">
        <f>IF(J38&gt;360,J38-360,IF(J38&lt;0,J38+360,J38))</f>
        <v>45.195802222222255</v>
      </c>
      <c r="K39" s="144" t="s">
        <v>0</v>
      </c>
    </row>
    <row r="40" spans="3:51" x14ac:dyDescent="0.25">
      <c r="F40" s="144"/>
      <c r="G40" s="144"/>
      <c r="H40" s="144"/>
      <c r="I40" s="144"/>
      <c r="J40" s="144" t="str">
        <f>AC40</f>
        <v>45°11'44.89"</v>
      </c>
      <c r="K40" s="144"/>
      <c r="AA40" s="93">
        <f>J39</f>
        <v>45.195802222222255</v>
      </c>
      <c r="AB40" s="1" t="str">
        <f>SUBSTITUTE(AA40,Constantes!$D$15,Constantes!$E$15)</f>
        <v>45.1958022222223</v>
      </c>
      <c r="AC40" s="113" t="str">
        <f>AH40</f>
        <v>45°11'44.89"</v>
      </c>
      <c r="AD40" s="111" t="str">
        <f>SUBSTITUTE(AB40,"°","")</f>
        <v>45.1958022222223</v>
      </c>
      <c r="AE40" s="104" t="b">
        <f>IF(ISNUMBER(SEARCH("°",AB40,1)),IF(SEARCH("°",AB40,1)=LEN(AB40),TRUE,FALSE),FALSE)</f>
        <v>0</v>
      </c>
      <c r="AF40" s="157" t="b">
        <f>IF(ISNUMBER(SEARCH("'",AB40,1)),IF(SEARCH("'",AB40,1)=LEN(AB40),TRUE,FALSE),FALSE)</f>
        <v>0</v>
      </c>
      <c r="AG40" s="157" t="b">
        <f>IF(ISNUMBER(SEARCH("""",AB40,1)),IF(SEARCH("""",AB40,1)=LEN(AB40),TRUE,FALSE),FALSE)</f>
        <v>0</v>
      </c>
      <c r="AH40" s="158" t="str">
        <f>CONCATENATE(TEXT(AI40,"00"),"°",TEXT(AJ40,"00"),"'",TEXT(AK40,"00.00"),"""")</f>
        <v>45°11'44.89"</v>
      </c>
      <c r="AI40" s="109">
        <f>INT(AD40)</f>
        <v>45</v>
      </c>
      <c r="AJ40" s="109">
        <f>INT((AD40-AI40) * 60)</f>
        <v>11</v>
      </c>
      <c r="AK40" s="109">
        <f>(AD40-(AI40 + AJ40/60))*3600</f>
        <v>44.888000000284478</v>
      </c>
      <c r="AL40" s="35" t="str">
        <f>SUBSTITUTE(AB40,"'","")</f>
        <v>45.1958022222223</v>
      </c>
      <c r="AM40" s="35">
        <f>(AL40*100/60)/60</f>
        <v>1.2554389506172861</v>
      </c>
      <c r="AN40" s="162" t="str">
        <f>SUBSTITUTE(AD40,"""","")</f>
        <v>45.1958022222223</v>
      </c>
      <c r="AO40" s="162">
        <f>AN40*100/60</f>
        <v>75.326337037037163</v>
      </c>
    </row>
    <row r="42" spans="3:51" x14ac:dyDescent="0.25">
      <c r="C42" t="s">
        <v>150</v>
      </c>
    </row>
    <row r="43" spans="3:51" x14ac:dyDescent="0.25">
      <c r="D43" s="152" t="s">
        <v>152</v>
      </c>
      <c r="M43" t="s">
        <v>188</v>
      </c>
      <c r="N43" t="s">
        <v>169</v>
      </c>
      <c r="O43" t="s">
        <v>10</v>
      </c>
      <c r="P43" t="s">
        <v>169</v>
      </c>
      <c r="Q43" t="s">
        <v>176</v>
      </c>
      <c r="R43" t="s">
        <v>10</v>
      </c>
    </row>
    <row r="44" spans="3:51" x14ac:dyDescent="0.25">
      <c r="F44" s="144" t="s">
        <v>179</v>
      </c>
      <c r="G44" s="144">
        <f>ASIN((N44 * O44) + (P44 * Q44 * R44))</f>
        <v>0.40251870708265025</v>
      </c>
      <c r="H44" s="144" t="s">
        <v>189</v>
      </c>
      <c r="I44" s="166">
        <f>G44/M44</f>
        <v>23.062623090898498</v>
      </c>
      <c r="J44" s="144" t="s">
        <v>0</v>
      </c>
      <c r="M44">
        <f>PI()/180</f>
        <v>1.7453292519943295E-2</v>
      </c>
      <c r="N44">
        <f>SIN(J27*M44)</f>
        <v>-0.11066380153741572</v>
      </c>
      <c r="O44">
        <f>SIN(J10*M44)</f>
        <v>0.73708078439489921</v>
      </c>
      <c r="P44">
        <f>COS(J27*M44)</f>
        <v>0.99385789881113662</v>
      </c>
      <c r="Q44">
        <f>COS(J39*M44)</f>
        <v>0.70468619480326289</v>
      </c>
      <c r="R44">
        <f>COS(J10*M44)</f>
        <v>0.6758046443135769</v>
      </c>
    </row>
    <row r="45" spans="3:51" x14ac:dyDescent="0.25">
      <c r="F45" s="144"/>
      <c r="G45" s="144"/>
      <c r="H45" s="144"/>
      <c r="I45" s="144" t="str">
        <f>AC45</f>
        <v>23°03'45.44"</v>
      </c>
      <c r="J45" s="144"/>
      <c r="AA45" s="93">
        <f>I44</f>
        <v>23.062623090898498</v>
      </c>
      <c r="AB45" s="1" t="str">
        <f>SUBSTITUTE(AA45,Constantes!$D$15,Constantes!$E$15)</f>
        <v>23.0626230908985</v>
      </c>
      <c r="AC45" s="113" t="str">
        <f>AH45</f>
        <v>23°03'45.44"</v>
      </c>
      <c r="AD45" s="111" t="str">
        <f>SUBSTITUTE(AB45,"°","")</f>
        <v>23.0626230908985</v>
      </c>
      <c r="AE45" s="104" t="b">
        <f>IF(ISNUMBER(SEARCH("°",AB45,1)),IF(SEARCH("°",AB45,1)=LEN(AB45),TRUE,FALSE),FALSE)</f>
        <v>0</v>
      </c>
      <c r="AF45" s="157" t="b">
        <f>IF(ISNUMBER(SEARCH("'",AB45,1)),IF(SEARCH("'",AB45,1)=LEN(AB45),TRUE,FALSE),FALSE)</f>
        <v>0</v>
      </c>
      <c r="AG45" s="157" t="b">
        <f>IF(ISNUMBER(SEARCH("""",AB45,1)),IF(SEARCH("""",AB45,1)=LEN(AB45),TRUE,FALSE),FALSE)</f>
        <v>0</v>
      </c>
      <c r="AH45" s="158" t="str">
        <f>CONCATENATE(TEXT(AI45,"00"),"°",TEXT(AJ45,"00"),"'",TEXT(AK45,"00.00"),"""")</f>
        <v>23°03'45.44"</v>
      </c>
      <c r="AI45" s="109">
        <f>INT(AD45)</f>
        <v>23</v>
      </c>
      <c r="AJ45" s="109">
        <f>INT((AD45-AI45) * 60)</f>
        <v>3</v>
      </c>
      <c r="AK45" s="109">
        <f>(AD45-(AI45 + AJ45/60))*3600</f>
        <v>45.443127234602798</v>
      </c>
      <c r="AL45" s="35" t="str">
        <f>SUBSTITUTE(AB45,"'","")</f>
        <v>23.0626230908985</v>
      </c>
      <c r="AM45" s="35">
        <f>(AL45*100/60)/60</f>
        <v>0.64062841919162505</v>
      </c>
      <c r="AN45" s="162" t="str">
        <f>SUBSTITUTE(AD45,"""","")</f>
        <v>23.0626230908985</v>
      </c>
      <c r="AO45" s="162">
        <f>AN45*100/60</f>
        <v>38.437705151497504</v>
      </c>
    </row>
    <row r="47" spans="3:51" x14ac:dyDescent="0.25">
      <c r="C47" t="s">
        <v>153</v>
      </c>
    </row>
    <row r="48" spans="3:51" x14ac:dyDescent="0.25">
      <c r="E48" s="172" t="s">
        <v>21</v>
      </c>
      <c r="F48" s="94" t="s">
        <v>190</v>
      </c>
      <c r="J48" s="148">
        <f>AC48</f>
        <v>22.983333333333334</v>
      </c>
      <c r="K48" s="148" t="s">
        <v>0</v>
      </c>
      <c r="AA48" s="163" t="str">
        <f>F48</f>
        <v>22°59'</v>
      </c>
      <c r="AB48" s="1" t="str">
        <f>SUBSTITUTE(AA48,Constantes!$D$15,Constantes!$E$15)</f>
        <v>22°59'</v>
      </c>
      <c r="AC48" s="112">
        <f>IF(AI48,AY48,IF(OR(AJ48,AK48),AU48,IF(AL48,AQ48,IF(AP48,AR48,361))))</f>
        <v>22.983333333333334</v>
      </c>
      <c r="AD48" s="110" t="b">
        <f>ISNUMBER(SEARCH("°",AB48,1))</f>
        <v>1</v>
      </c>
      <c r="AE48" s="104" t="b">
        <f>ISNUMBER(SEARCH("'",AB48,1))</f>
        <v>1</v>
      </c>
      <c r="AF48" s="104" t="b">
        <f>ISNUMBER(SEARCH("""",AB48,1))</f>
        <v>0</v>
      </c>
      <c r="AG48" s="105" t="b">
        <f>IF(AD48,IF(SEARCH("°",AB48,1)=LEN(AB48),TRUE, FALSE), FALSE)</f>
        <v>0</v>
      </c>
      <c r="AH48" s="105" t="b">
        <f>IF(NOT(ISNUMBER(SEARCH("'",AB48,1))), FALSE, IF(SEARCH("'",AB48,1)=LEN(AB48),TRUE, FALSE))</f>
        <v>1</v>
      </c>
      <c r="AI48" s="106" t="b">
        <f>IF(AND(AF48,AE48,AD48),TRUE,FALSE)</f>
        <v>0</v>
      </c>
      <c r="AJ48" s="106" t="b">
        <f>IF(AND(AE48, AD48,NOT(AF48),AH48,NOT(AI48)),TRUE,FALSE)</f>
        <v>1</v>
      </c>
      <c r="AK48" s="106" t="b">
        <f>IF(AND(NOT(AE48),AD48,NOT(AF48),NOT(AG48)*NOT(AI48)),TRUE,FALSE)</f>
        <v>0</v>
      </c>
      <c r="AL48" s="106" t="b">
        <f>IF(AND(NOT(AI48),NOT(AJ48),AG48),TRUE,FALSE)</f>
        <v>0</v>
      </c>
      <c r="AM48" s="105" t="b">
        <f>IF(AND(AI48,RIGHT(AB48)=""""),TRUE, FALSE)</f>
        <v>0</v>
      </c>
      <c r="AN48" s="105" t="b">
        <f>IF(OR(AJ48,AK48),TRUE, FALSE)</f>
        <v>1</v>
      </c>
      <c r="AO48" s="105" t="b">
        <f>IF(AND(AL48,RIGHT(AB48)="°"),TRUE, FALSE)</f>
        <v>0</v>
      </c>
      <c r="AP48" s="105" t="b">
        <f>IF(AND(AH48,NOT(AD48),NOT(AF48)),TRUE, FALSE)</f>
        <v>0</v>
      </c>
      <c r="AQ48" s="34" t="str">
        <f>LEFT(AB48, SEARCH("°",AB48,1)-1)</f>
        <v>22</v>
      </c>
      <c r="AR48" s="34" t="e">
        <f>(LEFT(AB48, SEARCH("'",AB48,1)-1))/60</f>
        <v>#VALUE!</v>
      </c>
      <c r="AS48" s="35" t="str">
        <f>LEFT(AB48, SEARCH("°",AB48,1)-1)</f>
        <v>22</v>
      </c>
      <c r="AT48" s="35" t="str">
        <f>MID(AB48, SEARCH("°",AB48,1) +1, IF(AJ48,SEARCH("'",AB48,1) - SEARCH("°",AB48,1) -1,LEN(AB48)-SEARCH("°",AB48,1)))</f>
        <v>59</v>
      </c>
      <c r="AU48" s="36">
        <f>AS48+AT48*1/60</f>
        <v>22.983333333333334</v>
      </c>
      <c r="AV48" s="38" t="str">
        <f>LEFT(AB48,SEARCH("°",AB48,1)-1)</f>
        <v>22</v>
      </c>
      <c r="AW48" s="37" t="str">
        <f>MID(AB48,SEARCH("°",AB48,1)+1,SEARCH("'",AB48,1)-SEARCH("°",AB48,1)-1)</f>
        <v>59</v>
      </c>
      <c r="AX48" s="37" t="e">
        <f>MID(AB48,SEARCH("'",AB48,1)+1,SEARCH("""",AB48,1)-SEARCH("'",AB48,1)-1)</f>
        <v>#VALUE!</v>
      </c>
      <c r="AY48" s="37" t="e">
        <f>AV48+AW48/60+AX48/3600</f>
        <v>#VALUE!</v>
      </c>
    </row>
    <row r="50" spans="3:18" x14ac:dyDescent="0.25">
      <c r="C50" t="s">
        <v>154</v>
      </c>
    </row>
    <row r="51" spans="3:18" x14ac:dyDescent="0.25">
      <c r="E51" s="172" t="s">
        <v>191</v>
      </c>
      <c r="F51" s="94" t="s">
        <v>192</v>
      </c>
      <c r="J51" s="148">
        <v>0.18831000000000001</v>
      </c>
      <c r="K51" s="148" t="s">
        <v>0</v>
      </c>
    </row>
    <row r="53" spans="3:18" x14ac:dyDescent="0.25">
      <c r="C53" t="s">
        <v>155</v>
      </c>
    </row>
    <row r="54" spans="3:18" x14ac:dyDescent="0.25">
      <c r="E54" s="148" t="s">
        <v>193</v>
      </c>
      <c r="F54" s="148"/>
      <c r="G54" s="148"/>
      <c r="H54" s="148"/>
      <c r="I54" s="148"/>
      <c r="J54" s="148">
        <f>J48+J51</f>
        <v>23.171643333333336</v>
      </c>
      <c r="K54" s="148" t="s">
        <v>0</v>
      </c>
    </row>
    <row r="57" spans="3:18" x14ac:dyDescent="0.25">
      <c r="C57" t="s">
        <v>157</v>
      </c>
    </row>
    <row r="58" spans="3:18" x14ac:dyDescent="0.25">
      <c r="D58" t="s">
        <v>156</v>
      </c>
      <c r="J58" s="156">
        <f>J54-I44</f>
        <v>0.10902024243483766</v>
      </c>
      <c r="K58" t="s">
        <v>0</v>
      </c>
    </row>
    <row r="59" spans="3:18" x14ac:dyDescent="0.25">
      <c r="F59" s="171" t="s">
        <v>195</v>
      </c>
      <c r="G59" s="171"/>
      <c r="H59" s="171"/>
      <c r="I59" s="171"/>
      <c r="J59" s="171">
        <f>J58*60</f>
        <v>6.5412145460902593</v>
      </c>
      <c r="K59" s="171" t="s">
        <v>194</v>
      </c>
      <c r="L59" s="171"/>
    </row>
    <row r="62" spans="3:18" x14ac:dyDescent="0.25">
      <c r="C62" t="s">
        <v>158</v>
      </c>
    </row>
    <row r="63" spans="3:18" x14ac:dyDescent="0.25">
      <c r="D63" t="s">
        <v>159</v>
      </c>
      <c r="M63" t="s">
        <v>188</v>
      </c>
      <c r="N63" t="s">
        <v>169</v>
      </c>
      <c r="O63" t="s">
        <v>10</v>
      </c>
      <c r="P63" t="s">
        <v>179</v>
      </c>
      <c r="Q63" t="s">
        <v>10</v>
      </c>
      <c r="R63" t="s">
        <v>179</v>
      </c>
    </row>
    <row r="64" spans="3:18" x14ac:dyDescent="0.25">
      <c r="F64" t="s">
        <v>4</v>
      </c>
      <c r="G64">
        <f>ACOS((N64-(O64*P64))/(Q64*R64))</f>
        <v>2.2683510552020474</v>
      </c>
      <c r="H64">
        <f>G64/M64</f>
        <v>129.96694191712413</v>
      </c>
      <c r="M64">
        <f>PI()/180</f>
        <v>1.7453292519943295E-2</v>
      </c>
      <c r="N64">
        <f>SIN(J27*M64)</f>
        <v>-0.11066380153741572</v>
      </c>
      <c r="O64">
        <f>SIN(J10*M64)</f>
        <v>0.73708078439489921</v>
      </c>
      <c r="P64">
        <f>SIN(I44*M64)</f>
        <v>0.39173698749294517</v>
      </c>
      <c r="Q64">
        <f>COS(J10*M64)</f>
        <v>0.6758046443135769</v>
      </c>
      <c r="R64">
        <f>COS(I44*M64)</f>
        <v>0.92007724275190728</v>
      </c>
    </row>
    <row r="65" spans="6:41" x14ac:dyDescent="0.25">
      <c r="H65" t="str">
        <f>AC65</f>
        <v>129°58'00.99"</v>
      </c>
      <c r="AA65" s="93">
        <f>H64</f>
        <v>129.96694191712413</v>
      </c>
      <c r="AB65" s="1" t="str">
        <f>SUBSTITUTE(AA65,Constantes!$D$15,Constantes!$E$15)</f>
        <v>129.966941917124</v>
      </c>
      <c r="AC65" s="113" t="str">
        <f>AH65</f>
        <v>129°58'00.99"</v>
      </c>
      <c r="AD65" s="111" t="str">
        <f>SUBSTITUTE(AB65,"°","")</f>
        <v>129.966941917124</v>
      </c>
      <c r="AE65" s="104" t="b">
        <f>IF(ISNUMBER(SEARCH("°",AB65,1)),IF(SEARCH("°",AB65,1)=LEN(AB65),TRUE,FALSE),FALSE)</f>
        <v>0</v>
      </c>
      <c r="AF65" s="157" t="b">
        <f>IF(ISNUMBER(SEARCH("'",AB65,1)),IF(SEARCH("'",AB65,1)=LEN(AB65),TRUE,FALSE),FALSE)</f>
        <v>0</v>
      </c>
      <c r="AG65" s="157" t="b">
        <f>IF(ISNUMBER(SEARCH("""",AB65,1)),IF(SEARCH("""",AB65,1)=LEN(AB65),TRUE,FALSE),FALSE)</f>
        <v>0</v>
      </c>
      <c r="AH65" s="158" t="str">
        <f>CONCATENATE(TEXT(AI65,"00"),"°",TEXT(AJ65,"00"),"'",TEXT(AK65,"00.00"),"""")</f>
        <v>129°58'00.99"</v>
      </c>
      <c r="AI65" s="109">
        <f>INT(AD65)</f>
        <v>129</v>
      </c>
      <c r="AJ65" s="109">
        <f>INT((AD65-AI65) * 60)</f>
        <v>58</v>
      </c>
      <c r="AK65" s="109">
        <f>(AD65-(AI65 + AJ65/60))*3600</f>
        <v>0.99090164635526889</v>
      </c>
      <c r="AL65" s="35" t="str">
        <f>SUBSTITUTE(AB65,"'","")</f>
        <v>129.966941917124</v>
      </c>
      <c r="AM65" s="35">
        <f>(AL65*100/60)/60</f>
        <v>3.6101928310312217</v>
      </c>
      <c r="AN65" s="162" t="str">
        <f>SUBSTITUTE(AD65,"""","")</f>
        <v>129.966941917124</v>
      </c>
      <c r="AO65" s="162">
        <f>AN65*100/60</f>
        <v>216.61156986187331</v>
      </c>
    </row>
    <row r="67" spans="6:41" x14ac:dyDescent="0.25">
      <c r="F67" t="s">
        <v>197</v>
      </c>
      <c r="H67" s="171" t="s">
        <v>196</v>
      </c>
      <c r="I67" s="171"/>
      <c r="J67" s="171">
        <f>IF(J39&lt;180,360-H64,H64)</f>
        <v>230.03305808287587</v>
      </c>
      <c r="K67" s="171" t="s">
        <v>0</v>
      </c>
    </row>
  </sheetData>
  <mergeCells count="3">
    <mergeCell ref="C3:N3"/>
    <mergeCell ref="D23:E24"/>
    <mergeCell ref="D31:E32"/>
  </mergeCells>
  <dataValidations count="1">
    <dataValidation allowBlank="1" showInputMessage="1" showErrorMessage="1" promptTitle="Saisir un angle ----------------" prompt="Saisir un angle au format :                           _x000a_  sexa          2°59'59&quot;_x000a_  semi sexa 2°59.98' ou 2°59.98 _x000a_  decimal    2.9825°" sqref="H11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Constantes!$G$2:$G$3</xm:f>
          </x14:formula1>
          <xm:sqref>G11 C11:E11</xm:sqref>
        </x14:dataValidation>
        <x14:dataValidation type="list" allowBlank="1" showInputMessage="1" showErrorMessage="1">
          <x14:formula1>
            <xm:f>Constantes!$D$2:$D30</xm:f>
          </x14:formula1>
          <xm:sqref>G24:G25 G32:G33</xm:sqref>
        </x14:dataValidation>
        <x14:dataValidation type="list" allowBlank="1" showInputMessage="1" showErrorMessage="1">
          <x14:formula1>
            <xm:f>Constantes!$D$2:$D4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opLeftCell="B1" workbookViewId="0">
      <selection activeCell="O30" sqref="O30"/>
    </sheetView>
  </sheetViews>
  <sheetFormatPr defaultRowHeight="15" x14ac:dyDescent="0.25"/>
  <cols>
    <col min="2" max="2" width="25.42578125" customWidth="1"/>
    <col min="3" max="9" width="15.5703125" customWidth="1"/>
    <col min="10" max="10" width="14" customWidth="1"/>
  </cols>
  <sheetData>
    <row r="1" spans="1:18" x14ac:dyDescent="0.25">
      <c r="A1" s="191" t="s">
        <v>22</v>
      </c>
      <c r="B1" s="192"/>
      <c r="C1" s="192"/>
      <c r="D1" s="192"/>
      <c r="E1" s="192"/>
      <c r="F1" s="192"/>
      <c r="G1" s="192"/>
      <c r="H1" s="193"/>
      <c r="I1" s="1"/>
    </row>
    <row r="2" spans="1:18" ht="18.75" x14ac:dyDescent="0.3">
      <c r="A2" s="1"/>
      <c r="C2" s="194" t="s">
        <v>24</v>
      </c>
      <c r="D2" s="195"/>
      <c r="E2" s="195"/>
      <c r="F2" s="195"/>
      <c r="G2" s="195"/>
      <c r="H2" s="195"/>
      <c r="I2" s="195"/>
    </row>
    <row r="3" spans="1:18" x14ac:dyDescent="0.25">
      <c r="A3" s="196" t="s">
        <v>23</v>
      </c>
      <c r="B3" s="137"/>
      <c r="C3" s="139">
        <v>0</v>
      </c>
      <c r="D3" s="139">
        <v>1</v>
      </c>
      <c r="E3" s="139">
        <v>2</v>
      </c>
      <c r="F3" s="139">
        <v>3</v>
      </c>
      <c r="G3" s="139">
        <v>4</v>
      </c>
      <c r="H3" s="139">
        <v>5</v>
      </c>
      <c r="I3" s="139">
        <v>1000</v>
      </c>
      <c r="K3" s="167">
        <v>0</v>
      </c>
      <c r="M3" s="168">
        <v>2</v>
      </c>
      <c r="N3">
        <v>3</v>
      </c>
      <c r="O3" s="168">
        <v>4</v>
      </c>
      <c r="P3">
        <v>5</v>
      </c>
    </row>
    <row r="4" spans="1:18" x14ac:dyDescent="0.25">
      <c r="A4" s="196"/>
      <c r="B4" s="139">
        <v>0</v>
      </c>
      <c r="C4" s="137">
        <v>0.125</v>
      </c>
      <c r="D4" s="137">
        <v>0.125</v>
      </c>
      <c r="E4" s="137">
        <v>8.3333333333333329E-2</v>
      </c>
      <c r="F4" s="137">
        <v>7.4999999999999997E-2</v>
      </c>
      <c r="G4" s="137">
        <v>6.6666666666666666E-2</v>
      </c>
      <c r="H4" s="137">
        <v>5.8333333333333334E-2</v>
      </c>
      <c r="I4" s="137">
        <v>5.8333333333333334E-2</v>
      </c>
      <c r="K4">
        <f>C4*60</f>
        <v>7.5</v>
      </c>
      <c r="L4">
        <f t="shared" ref="L4:L15" si="0">D4*60</f>
        <v>7.5</v>
      </c>
      <c r="M4">
        <f t="shared" ref="M4:M15" si="1">E4*60</f>
        <v>5</v>
      </c>
      <c r="N4">
        <f t="shared" ref="N4:N15" si="2">F4*60</f>
        <v>4.5</v>
      </c>
      <c r="O4">
        <f t="shared" ref="O4:O15" si="3">G4*60</f>
        <v>4</v>
      </c>
      <c r="P4">
        <f t="shared" ref="P4:P15" si="4">H4*60</f>
        <v>3.5</v>
      </c>
      <c r="Q4">
        <f t="shared" ref="Q4:Q15" si="5">I4*60</f>
        <v>3.5</v>
      </c>
      <c r="R4">
        <f t="shared" ref="R4:R15" si="6">J4*60</f>
        <v>0</v>
      </c>
    </row>
    <row r="5" spans="1:18" x14ac:dyDescent="0.25">
      <c r="A5" s="196"/>
      <c r="B5" s="139">
        <v>6</v>
      </c>
      <c r="C5" s="137">
        <v>0.125</v>
      </c>
      <c r="D5" s="50">
        <v>0.125</v>
      </c>
      <c r="E5" s="50">
        <v>8.3333333333333329E-2</v>
      </c>
      <c r="F5" s="50">
        <v>7.4999999999999997E-2</v>
      </c>
      <c r="G5" s="50">
        <v>6.6666666666666666E-2</v>
      </c>
      <c r="H5" s="50">
        <v>5.8333333333333334E-2</v>
      </c>
      <c r="I5" s="137">
        <v>5.8333333333333334E-2</v>
      </c>
      <c r="J5" s="169">
        <v>6</v>
      </c>
      <c r="K5">
        <f t="shared" ref="K5:K15" si="7">C5*60</f>
        <v>7.5</v>
      </c>
      <c r="L5">
        <f t="shared" si="0"/>
        <v>7.5</v>
      </c>
      <c r="M5">
        <f t="shared" si="1"/>
        <v>5</v>
      </c>
      <c r="N5">
        <f t="shared" si="2"/>
        <v>4.5</v>
      </c>
      <c r="O5">
        <f t="shared" si="3"/>
        <v>4</v>
      </c>
      <c r="P5">
        <f t="shared" si="4"/>
        <v>3.5</v>
      </c>
      <c r="Q5">
        <f t="shared" si="5"/>
        <v>3.5</v>
      </c>
      <c r="R5">
        <f t="shared" si="6"/>
        <v>360</v>
      </c>
    </row>
    <row r="6" spans="1:18" x14ac:dyDescent="0.25">
      <c r="A6" s="196"/>
      <c r="B6" s="139">
        <v>7</v>
      </c>
      <c r="C6" s="137">
        <v>0.14499999999999999</v>
      </c>
      <c r="D6" s="50">
        <v>0.14499999999999999</v>
      </c>
      <c r="E6" s="50">
        <v>0.1</v>
      </c>
      <c r="F6" s="50">
        <v>9.166666666666666E-2</v>
      </c>
      <c r="G6" s="50">
        <v>8.3333333333333329E-2</v>
      </c>
      <c r="H6" s="50">
        <v>7.4999999999999997E-2</v>
      </c>
      <c r="I6" s="137">
        <v>7.4999999999999997E-2</v>
      </c>
      <c r="J6" s="169">
        <v>7</v>
      </c>
      <c r="K6">
        <f t="shared" si="7"/>
        <v>8.6999999999999993</v>
      </c>
      <c r="L6">
        <f t="shared" si="0"/>
        <v>8.6999999999999993</v>
      </c>
      <c r="M6">
        <f t="shared" si="1"/>
        <v>6</v>
      </c>
      <c r="N6">
        <f t="shared" si="2"/>
        <v>5.5</v>
      </c>
      <c r="O6">
        <f t="shared" si="3"/>
        <v>5</v>
      </c>
      <c r="P6">
        <f t="shared" si="4"/>
        <v>4.5</v>
      </c>
      <c r="Q6">
        <f t="shared" si="5"/>
        <v>4.5</v>
      </c>
      <c r="R6">
        <f t="shared" si="6"/>
        <v>420</v>
      </c>
    </row>
    <row r="7" spans="1:18" x14ac:dyDescent="0.25">
      <c r="A7" s="196"/>
      <c r="B7" s="139">
        <v>8</v>
      </c>
      <c r="C7" s="137">
        <v>0.16</v>
      </c>
      <c r="D7" s="50">
        <v>0.16</v>
      </c>
      <c r="E7" s="50">
        <v>0.11666666666666667</v>
      </c>
      <c r="F7" s="50">
        <v>0.10833333333333334</v>
      </c>
      <c r="G7" s="50">
        <v>0.1</v>
      </c>
      <c r="H7" s="50">
        <v>9.166666666666666E-2</v>
      </c>
      <c r="I7" s="137">
        <v>9.166666666666666E-2</v>
      </c>
      <c r="J7" s="169">
        <v>8</v>
      </c>
      <c r="K7">
        <f t="shared" si="7"/>
        <v>9.6</v>
      </c>
      <c r="L7">
        <f t="shared" si="0"/>
        <v>9.6</v>
      </c>
      <c r="M7">
        <f t="shared" si="1"/>
        <v>7</v>
      </c>
      <c r="N7">
        <f t="shared" si="2"/>
        <v>6.5</v>
      </c>
      <c r="O7">
        <f t="shared" si="3"/>
        <v>6</v>
      </c>
      <c r="P7">
        <f t="shared" si="4"/>
        <v>5.5</v>
      </c>
      <c r="Q7">
        <f t="shared" si="5"/>
        <v>5.5</v>
      </c>
      <c r="R7">
        <f t="shared" si="6"/>
        <v>480</v>
      </c>
    </row>
    <row r="8" spans="1:18" x14ac:dyDescent="0.25">
      <c r="A8" s="196"/>
      <c r="B8" s="139">
        <v>9</v>
      </c>
      <c r="C8" s="137">
        <v>0.17166666666666669</v>
      </c>
      <c r="D8" s="50">
        <v>0.17166666666666669</v>
      </c>
      <c r="E8" s="50">
        <v>0.13333333333333333</v>
      </c>
      <c r="F8" s="50">
        <v>0.11666666666666667</v>
      </c>
      <c r="G8" s="50">
        <v>0.10833333333333334</v>
      </c>
      <c r="H8" s="50">
        <v>0.1</v>
      </c>
      <c r="I8" s="137">
        <v>0.1</v>
      </c>
      <c r="J8" s="170">
        <v>9</v>
      </c>
      <c r="K8">
        <f t="shared" si="7"/>
        <v>10.3</v>
      </c>
      <c r="L8">
        <f t="shared" si="0"/>
        <v>10.3</v>
      </c>
      <c r="M8">
        <f t="shared" si="1"/>
        <v>8</v>
      </c>
      <c r="N8">
        <f t="shared" si="2"/>
        <v>7</v>
      </c>
      <c r="O8">
        <f t="shared" si="3"/>
        <v>6.5</v>
      </c>
      <c r="P8">
        <f t="shared" si="4"/>
        <v>6</v>
      </c>
      <c r="Q8">
        <f t="shared" si="5"/>
        <v>6</v>
      </c>
      <c r="R8">
        <f t="shared" si="6"/>
        <v>540</v>
      </c>
    </row>
    <row r="9" spans="1:18" x14ac:dyDescent="0.25">
      <c r="A9" s="196"/>
      <c r="B9" s="139">
        <v>10</v>
      </c>
      <c r="C9" s="137">
        <v>0.18000000000000002</v>
      </c>
      <c r="D9" s="50">
        <v>0.18000000000000002</v>
      </c>
      <c r="E9" s="50">
        <v>0.14166666666666666</v>
      </c>
      <c r="F9" s="50">
        <v>0.13333333333333333</v>
      </c>
      <c r="G9" s="50">
        <v>0.11666666666666667</v>
      </c>
      <c r="H9" s="50">
        <v>0.11666666666666667</v>
      </c>
      <c r="I9" s="137">
        <v>0.11666666666666667</v>
      </c>
      <c r="J9" s="170">
        <v>10</v>
      </c>
      <c r="K9">
        <f t="shared" si="7"/>
        <v>10.8</v>
      </c>
      <c r="L9">
        <f t="shared" si="0"/>
        <v>10.8</v>
      </c>
      <c r="M9">
        <f t="shared" si="1"/>
        <v>8.5</v>
      </c>
      <c r="N9">
        <f t="shared" si="2"/>
        <v>8</v>
      </c>
      <c r="O9">
        <f t="shared" si="3"/>
        <v>7</v>
      </c>
      <c r="P9">
        <f t="shared" si="4"/>
        <v>7</v>
      </c>
      <c r="Q9">
        <f t="shared" si="5"/>
        <v>7</v>
      </c>
      <c r="R9">
        <f t="shared" si="6"/>
        <v>600</v>
      </c>
    </row>
    <row r="10" spans="1:18" x14ac:dyDescent="0.25">
      <c r="A10" s="196"/>
      <c r="B10" s="139">
        <v>12</v>
      </c>
      <c r="C10" s="137">
        <v>0.19499999999999998</v>
      </c>
      <c r="D10" s="50">
        <v>0.19499999999999998</v>
      </c>
      <c r="E10" s="50">
        <v>0.15</v>
      </c>
      <c r="F10" s="50">
        <v>0.14166666666666666</v>
      </c>
      <c r="G10" s="50">
        <v>0.13333333333333333</v>
      </c>
      <c r="H10" s="50">
        <v>0.125</v>
      </c>
      <c r="I10" s="137">
        <v>0.125</v>
      </c>
      <c r="J10" s="170">
        <v>12</v>
      </c>
      <c r="K10">
        <f t="shared" si="7"/>
        <v>11.7</v>
      </c>
      <c r="L10">
        <f t="shared" si="0"/>
        <v>11.7</v>
      </c>
      <c r="M10">
        <f t="shared" si="1"/>
        <v>9</v>
      </c>
      <c r="N10">
        <f t="shared" si="2"/>
        <v>8.5</v>
      </c>
      <c r="O10">
        <f t="shared" si="3"/>
        <v>8</v>
      </c>
      <c r="P10">
        <f t="shared" si="4"/>
        <v>7.5</v>
      </c>
      <c r="Q10">
        <f t="shared" si="5"/>
        <v>7.5</v>
      </c>
      <c r="R10">
        <f t="shared" si="6"/>
        <v>720</v>
      </c>
    </row>
    <row r="11" spans="1:18" x14ac:dyDescent="0.25">
      <c r="A11" s="196"/>
      <c r="B11" s="139">
        <v>15</v>
      </c>
      <c r="C11" s="137">
        <v>0.21</v>
      </c>
      <c r="D11" s="50">
        <v>0.21</v>
      </c>
      <c r="E11" s="50">
        <v>0.16666666666666666</v>
      </c>
      <c r="F11" s="50">
        <v>0.15833333333333333</v>
      </c>
      <c r="G11" s="50">
        <v>0.15</v>
      </c>
      <c r="H11" s="50">
        <v>0.14166666666666666</v>
      </c>
      <c r="I11" s="137">
        <v>0.14166666666666666</v>
      </c>
      <c r="J11" s="170">
        <v>15</v>
      </c>
      <c r="K11">
        <f t="shared" si="7"/>
        <v>12.6</v>
      </c>
      <c r="L11">
        <f t="shared" si="0"/>
        <v>12.6</v>
      </c>
      <c r="M11">
        <f t="shared" si="1"/>
        <v>10</v>
      </c>
      <c r="N11">
        <f t="shared" si="2"/>
        <v>9.5</v>
      </c>
      <c r="O11">
        <f t="shared" si="3"/>
        <v>9</v>
      </c>
      <c r="P11">
        <f t="shared" si="4"/>
        <v>8.5</v>
      </c>
      <c r="Q11">
        <f t="shared" si="5"/>
        <v>8.5</v>
      </c>
      <c r="R11">
        <f t="shared" si="6"/>
        <v>900</v>
      </c>
    </row>
    <row r="12" spans="1:18" x14ac:dyDescent="0.25">
      <c r="A12" s="196"/>
      <c r="B12" s="139">
        <v>20</v>
      </c>
      <c r="C12" s="137">
        <v>0.22500000000000001</v>
      </c>
      <c r="D12" s="50">
        <v>0.22500000000000001</v>
      </c>
      <c r="E12" s="50">
        <v>0.18333333333333332</v>
      </c>
      <c r="F12" s="50">
        <v>0.17499999999999999</v>
      </c>
      <c r="G12" s="50">
        <v>0.16666666666666666</v>
      </c>
      <c r="H12" s="50">
        <v>0.15833333333333333</v>
      </c>
      <c r="I12" s="137">
        <v>0.15833333333333333</v>
      </c>
      <c r="J12" s="170">
        <v>20</v>
      </c>
      <c r="K12">
        <f t="shared" si="7"/>
        <v>13.5</v>
      </c>
      <c r="L12">
        <f t="shared" si="0"/>
        <v>13.5</v>
      </c>
      <c r="M12">
        <f t="shared" si="1"/>
        <v>11</v>
      </c>
      <c r="N12">
        <f t="shared" si="2"/>
        <v>10.5</v>
      </c>
      <c r="O12">
        <f t="shared" si="3"/>
        <v>10</v>
      </c>
      <c r="P12">
        <f t="shared" si="4"/>
        <v>9.5</v>
      </c>
      <c r="Q12">
        <f t="shared" si="5"/>
        <v>9.5</v>
      </c>
      <c r="R12">
        <f t="shared" si="6"/>
        <v>1200</v>
      </c>
    </row>
    <row r="13" spans="1:18" x14ac:dyDescent="0.25">
      <c r="A13" s="196"/>
      <c r="B13" s="139">
        <v>30</v>
      </c>
      <c r="C13" s="137">
        <v>0.24166666666666667</v>
      </c>
      <c r="D13" s="50">
        <v>0.24166666666666667</v>
      </c>
      <c r="E13" s="50">
        <v>0.2</v>
      </c>
      <c r="F13" s="50">
        <v>0.18333333333333332</v>
      </c>
      <c r="G13" s="50">
        <v>0.18333333333333332</v>
      </c>
      <c r="H13" s="50">
        <v>0.17499999999999999</v>
      </c>
      <c r="I13" s="137">
        <v>0.17499999999999999</v>
      </c>
      <c r="J13" s="170">
        <v>30</v>
      </c>
      <c r="K13">
        <f t="shared" si="7"/>
        <v>14.5</v>
      </c>
      <c r="L13">
        <f t="shared" si="0"/>
        <v>14.5</v>
      </c>
      <c r="M13">
        <f t="shared" si="1"/>
        <v>12</v>
      </c>
      <c r="N13">
        <f t="shared" si="2"/>
        <v>11</v>
      </c>
      <c r="O13">
        <f t="shared" si="3"/>
        <v>11</v>
      </c>
      <c r="P13">
        <f t="shared" si="4"/>
        <v>10.5</v>
      </c>
      <c r="Q13">
        <f t="shared" si="5"/>
        <v>10.5</v>
      </c>
      <c r="R13">
        <f t="shared" si="6"/>
        <v>1800</v>
      </c>
    </row>
    <row r="14" spans="1:18" x14ac:dyDescent="0.25">
      <c r="A14" s="196"/>
      <c r="B14" s="139">
        <v>50</v>
      </c>
      <c r="C14" s="137">
        <v>0.255</v>
      </c>
      <c r="D14" s="50">
        <v>0.255</v>
      </c>
      <c r="E14" s="50">
        <v>0.21666666666666667</v>
      </c>
      <c r="F14" s="50">
        <v>0.2</v>
      </c>
      <c r="G14" s="50">
        <v>0.2</v>
      </c>
      <c r="H14" s="50">
        <v>0.18333333333333332</v>
      </c>
      <c r="I14" s="137">
        <v>0.18333333333333332</v>
      </c>
      <c r="J14" s="170">
        <v>50</v>
      </c>
      <c r="K14">
        <f t="shared" si="7"/>
        <v>15.3</v>
      </c>
      <c r="L14">
        <f t="shared" si="0"/>
        <v>15.3</v>
      </c>
      <c r="M14">
        <f t="shared" si="1"/>
        <v>13</v>
      </c>
      <c r="N14">
        <f t="shared" si="2"/>
        <v>12</v>
      </c>
      <c r="O14">
        <f t="shared" si="3"/>
        <v>12</v>
      </c>
      <c r="P14">
        <f t="shared" si="4"/>
        <v>11</v>
      </c>
      <c r="Q14">
        <f t="shared" si="5"/>
        <v>11</v>
      </c>
      <c r="R14">
        <f t="shared" si="6"/>
        <v>3000</v>
      </c>
    </row>
    <row r="15" spans="1:18" x14ac:dyDescent="0.25">
      <c r="A15" s="196"/>
      <c r="B15" s="139">
        <v>90</v>
      </c>
      <c r="C15" s="137">
        <v>0.26666666666666666</v>
      </c>
      <c r="D15" s="50">
        <v>0.26666666666666666</v>
      </c>
      <c r="E15" s="50">
        <v>0.22500000000000001</v>
      </c>
      <c r="F15" s="50">
        <v>0.21666666666666667</v>
      </c>
      <c r="G15" s="50">
        <v>0.2</v>
      </c>
      <c r="H15" s="50">
        <v>0.2</v>
      </c>
      <c r="I15" s="137">
        <v>0.2</v>
      </c>
      <c r="J15" s="170">
        <v>90</v>
      </c>
      <c r="K15">
        <f t="shared" si="7"/>
        <v>16</v>
      </c>
      <c r="L15">
        <f t="shared" si="0"/>
        <v>16</v>
      </c>
      <c r="M15">
        <f t="shared" si="1"/>
        <v>13.5</v>
      </c>
      <c r="N15">
        <f t="shared" si="2"/>
        <v>13</v>
      </c>
      <c r="O15">
        <f t="shared" si="3"/>
        <v>12</v>
      </c>
      <c r="P15">
        <f t="shared" si="4"/>
        <v>12</v>
      </c>
      <c r="Q15">
        <f t="shared" si="5"/>
        <v>12</v>
      </c>
      <c r="R15">
        <f t="shared" si="6"/>
        <v>5400</v>
      </c>
    </row>
    <row r="16" spans="1:18" x14ac:dyDescent="0.25">
      <c r="A16" s="196"/>
      <c r="B16" s="139">
        <v>180</v>
      </c>
      <c r="C16" s="137">
        <v>0.26666666666666666</v>
      </c>
      <c r="D16" s="137">
        <v>0.26666666666666666</v>
      </c>
      <c r="E16" s="137">
        <v>0.22500000000000001</v>
      </c>
      <c r="F16" s="137">
        <v>0.21666666666666667</v>
      </c>
      <c r="G16" s="137">
        <v>0.2</v>
      </c>
      <c r="H16" s="137">
        <v>0.2</v>
      </c>
      <c r="I16" s="137">
        <v>0.2</v>
      </c>
    </row>
    <row r="18" spans="1:34" x14ac:dyDescent="0.25">
      <c r="B18" s="187" t="s">
        <v>130</v>
      </c>
      <c r="C18" s="14" t="s">
        <v>123</v>
      </c>
      <c r="D18" s="139">
        <v>2</v>
      </c>
    </row>
    <row r="19" spans="1:34" x14ac:dyDescent="0.25">
      <c r="A19" s="1"/>
      <c r="B19" s="187"/>
      <c r="C19" s="140" t="s">
        <v>122</v>
      </c>
      <c r="D19" s="139">
        <v>3</v>
      </c>
      <c r="E19" s="1" t="str">
        <f>CONCATENATE("ou :",CHAR(CODE("A") -1 + D18), D19)</f>
        <v>ou :B3</v>
      </c>
      <c r="H19" s="1"/>
      <c r="I19" s="1"/>
    </row>
    <row r="20" spans="1:34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34" x14ac:dyDescent="0.25">
      <c r="A21" s="1"/>
      <c r="B21" s="1" t="s">
        <v>116</v>
      </c>
      <c r="C21" s="94">
        <v>2</v>
      </c>
      <c r="D21" s="94" t="s">
        <v>26</v>
      </c>
    </row>
    <row r="22" spans="1:34" x14ac:dyDescent="0.25">
      <c r="A22" s="1"/>
      <c r="B22" s="1" t="s">
        <v>21</v>
      </c>
      <c r="C22">
        <v>22.9833</v>
      </c>
      <c r="D22" s="141"/>
      <c r="E22" t="s">
        <v>117</v>
      </c>
      <c r="F22">
        <v>0.19500000000000001</v>
      </c>
    </row>
    <row r="23" spans="1:34" x14ac:dyDescent="0.25">
      <c r="A23" s="1"/>
      <c r="B23" s="1"/>
      <c r="H23" t="s">
        <v>118</v>
      </c>
      <c r="I23" t="s">
        <v>119</v>
      </c>
    </row>
    <row r="24" spans="1:34" x14ac:dyDescent="0.25">
      <c r="A24" s="1"/>
      <c r="B24" s="1"/>
      <c r="C24" t="s">
        <v>121</v>
      </c>
      <c r="H24">
        <f>MATCH($C$22,$B$4:$B$16,1)</f>
        <v>9</v>
      </c>
      <c r="I24">
        <f>H24+1</f>
        <v>10</v>
      </c>
    </row>
    <row r="25" spans="1:34" x14ac:dyDescent="0.25">
      <c r="A25" s="1"/>
      <c r="B25" s="1"/>
      <c r="C25" t="s">
        <v>120</v>
      </c>
      <c r="H25">
        <f>MATCH($C$21,$C$3:$I$3,1)</f>
        <v>3</v>
      </c>
      <c r="I25">
        <f>H25+1</f>
        <v>4</v>
      </c>
    </row>
    <row r="26" spans="1:34" x14ac:dyDescent="0.25">
      <c r="A26" s="1"/>
      <c r="B26" s="1"/>
    </row>
    <row r="27" spans="1:34" x14ac:dyDescent="0.25">
      <c r="A27" s="1"/>
      <c r="B27" s="189" t="s">
        <v>131</v>
      </c>
      <c r="C27" s="190">
        <f>(INDEX(B4:B16,H24))</f>
        <v>20</v>
      </c>
      <c r="D27" s="188" t="str">
        <f>CONCATENATE("(",INDEX(B4:B16,H24),"°)")</f>
        <v>(20°)</v>
      </c>
      <c r="E27" s="187" t="s">
        <v>126</v>
      </c>
      <c r="F27" s="187"/>
      <c r="G27" s="140" t="s">
        <v>129</v>
      </c>
      <c r="H27" s="140" t="s">
        <v>128</v>
      </c>
      <c r="I27" s="140" t="s">
        <v>124</v>
      </c>
      <c r="J27" s="140" t="s">
        <v>125</v>
      </c>
      <c r="K27" s="140" t="s">
        <v>127</v>
      </c>
      <c r="L27" s="113" t="s">
        <v>55</v>
      </c>
      <c r="N27" s="187" t="s">
        <v>134</v>
      </c>
      <c r="O27" s="187"/>
    </row>
    <row r="28" spans="1:34" x14ac:dyDescent="0.25">
      <c r="A28" s="1"/>
      <c r="B28" s="189"/>
      <c r="C28" s="190"/>
      <c r="D28" s="188"/>
      <c r="E28" s="187"/>
      <c r="F28" s="187"/>
      <c r="G28" s="149">
        <f>INDEX($B$3:$I$16,1,1+H25)</f>
        <v>2</v>
      </c>
      <c r="H28" s="149">
        <f>INDEX($B$3:$I$16,1,1+I25)</f>
        <v>3</v>
      </c>
      <c r="I28" s="140">
        <f>INDEX($B$3:$I$16,H24+1,H25+1)</f>
        <v>0.18333333333333332</v>
      </c>
      <c r="J28" s="140">
        <f>INDEX($B$3:$I$16,H24+1,I25+1)</f>
        <v>0.17499999999999999</v>
      </c>
      <c r="K28" s="142">
        <f>(G28-$C$21)/(G28-H28)</f>
        <v>0</v>
      </c>
      <c r="L28" s="143">
        <f>I28+K28*(J28-I28)</f>
        <v>0.18333333333333332</v>
      </c>
      <c r="N28" s="187"/>
      <c r="O28" s="187"/>
    </row>
    <row r="29" spans="1:34" x14ac:dyDescent="0.25">
      <c r="A29" s="1"/>
      <c r="B29" s="147"/>
      <c r="C29" s="148"/>
      <c r="D29" s="148"/>
      <c r="N29" t="s">
        <v>132</v>
      </c>
      <c r="O29">
        <f>($C$22-C27)/(C30-C27)</f>
        <v>0.29832999999999998</v>
      </c>
    </row>
    <row r="30" spans="1:34" ht="18.75" x14ac:dyDescent="0.3">
      <c r="A30" s="1"/>
      <c r="B30" s="189" t="s">
        <v>131</v>
      </c>
      <c r="C30" s="190">
        <f>INDEX($B$4:$B$16,I24)</f>
        <v>30</v>
      </c>
      <c r="D30" s="188" t="str">
        <f>CONCATENATE("(",INDEX($B$4:$B$16,I24),"°)")</f>
        <v>(30°)</v>
      </c>
      <c r="E30" s="187" t="s">
        <v>126</v>
      </c>
      <c r="F30" s="187"/>
      <c r="G30" s="140" t="s">
        <v>129</v>
      </c>
      <c r="H30" s="140" t="s">
        <v>128</v>
      </c>
      <c r="I30" s="140" t="s">
        <v>124</v>
      </c>
      <c r="J30" s="140" t="s">
        <v>125</v>
      </c>
      <c r="K30" s="140" t="s">
        <v>127</v>
      </c>
      <c r="L30" s="113" t="s">
        <v>55</v>
      </c>
      <c r="N30" s="144" t="s">
        <v>133</v>
      </c>
      <c r="O30" s="166">
        <f>L28+O29*(L31-L28)</f>
        <v>0.18830549999999999</v>
      </c>
      <c r="P30" s="145" t="s">
        <v>0</v>
      </c>
      <c r="Q30" s="146" t="s">
        <v>135</v>
      </c>
      <c r="T30" s="93">
        <f>O30</f>
        <v>0.18830549999999999</v>
      </c>
      <c r="U30" s="1" t="str">
        <f>SUBSTITUTE(T30,Constantes!$D$15,Constantes!$E$15)</f>
        <v>0.1883055</v>
      </c>
      <c r="V30" s="113" t="str">
        <f>AA30</f>
        <v>00°11'17.90"</v>
      </c>
      <c r="W30" s="111" t="str">
        <f>SUBSTITUTE(U30,"°","")</f>
        <v>0.1883055</v>
      </c>
      <c r="X30" s="104" t="b">
        <f>IF(ISNUMBER(SEARCH("°",U30,1)),IF(SEARCH("°",U30,1)=LEN(U30),TRUE,FALSE),FALSE)</f>
        <v>0</v>
      </c>
      <c r="Y30" s="157" t="b">
        <f>IF(ISNUMBER(SEARCH("'",U30,1)),IF(SEARCH("'",U30,1)=LEN(U30),TRUE,FALSE),FALSE)</f>
        <v>0</v>
      </c>
      <c r="Z30" s="157" t="b">
        <f>IF(ISNUMBER(SEARCH("""",U30,1)),IF(SEARCH("""",U30,1)=LEN(U30),TRUE,FALSE),FALSE)</f>
        <v>0</v>
      </c>
      <c r="AA30" s="158" t="str">
        <f>CONCATENATE(TEXT(AB30,"00"),"°",TEXT(AC30,"00"),"'",TEXT(AD30,"00.00"),"""")</f>
        <v>00°11'17.90"</v>
      </c>
      <c r="AB30" s="109">
        <f>INT(W30)</f>
        <v>0</v>
      </c>
      <c r="AC30" s="109">
        <f>INT((W30-AB30) * 60)</f>
        <v>11</v>
      </c>
      <c r="AD30" s="109">
        <f>(W30-(AB30 + AC30/60))*3600</f>
        <v>17.899799999999999</v>
      </c>
      <c r="AE30" s="35" t="str">
        <f>SUBSTITUTE(U30,"'","")</f>
        <v>0.1883055</v>
      </c>
      <c r="AF30" s="35">
        <f>(AE30*100/60)/60</f>
        <v>5.2307083333333329E-3</v>
      </c>
      <c r="AG30" s="162" t="str">
        <f>SUBSTITUTE(W30,"""","")</f>
        <v>0.1883055</v>
      </c>
      <c r="AH30" s="162">
        <f>AG30*100/60</f>
        <v>0.31384249999999997</v>
      </c>
    </row>
    <row r="31" spans="1:34" x14ac:dyDescent="0.25">
      <c r="A31" s="1"/>
      <c r="B31" s="189"/>
      <c r="C31" s="190"/>
      <c r="D31" s="188"/>
      <c r="E31" s="187"/>
      <c r="F31" s="187"/>
      <c r="G31" s="149">
        <f>G28</f>
        <v>2</v>
      </c>
      <c r="H31" s="149">
        <f>H28</f>
        <v>3</v>
      </c>
      <c r="I31" s="140">
        <f>INDEX($B$3:$I$16,I24+1,H25+1)</f>
        <v>0.2</v>
      </c>
      <c r="J31" s="140">
        <f>INDEX($B$3:$I$16,I24+1,I25+1)</f>
        <v>0.18333333333333332</v>
      </c>
      <c r="K31" s="142">
        <f>(G31-$C$21)/(G31-H31)</f>
        <v>0</v>
      </c>
      <c r="L31" s="143">
        <f>I31+K31*(J31-I31)</f>
        <v>0.2</v>
      </c>
      <c r="O31" t="str">
        <f>V30</f>
        <v>00°11'17.90"</v>
      </c>
    </row>
    <row r="32" spans="1:34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</sheetData>
  <mergeCells count="13">
    <mergeCell ref="A1:H1"/>
    <mergeCell ref="C2:I2"/>
    <mergeCell ref="A3:A16"/>
    <mergeCell ref="B18:B19"/>
    <mergeCell ref="E27:F28"/>
    <mergeCell ref="N27:O28"/>
    <mergeCell ref="D27:D28"/>
    <mergeCell ref="D30:D31"/>
    <mergeCell ref="E30:F31"/>
    <mergeCell ref="B27:B28"/>
    <mergeCell ref="C27:C28"/>
    <mergeCell ref="B30:B31"/>
    <mergeCell ref="C30:C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AE16"/>
  <sheetViews>
    <sheetView workbookViewId="0">
      <selection activeCell="D6" sqref="D6:E7"/>
    </sheetView>
  </sheetViews>
  <sheetFormatPr defaultRowHeight="15" x14ac:dyDescent="0.25"/>
  <cols>
    <col min="1" max="2" width="9.140625" style="1"/>
    <col min="3" max="3" width="17.7109375" style="1" customWidth="1"/>
    <col min="4" max="4" width="17" style="1" customWidth="1"/>
    <col min="5" max="5" width="9.140625" style="1"/>
    <col min="6" max="6" width="14.85546875" style="1" customWidth="1"/>
    <col min="7" max="7" width="9.140625" style="1"/>
    <col min="8" max="8" width="7.140625" style="1" customWidth="1"/>
    <col min="9" max="9" width="26.5703125" style="1" customWidth="1"/>
    <col min="10" max="17" width="15.85546875" style="1" customWidth="1"/>
    <col min="18" max="18" width="5.140625" style="1" customWidth="1"/>
    <col min="19" max="23" width="13.28515625" style="1" customWidth="1"/>
    <col min="24" max="16384" width="9.140625" style="1"/>
  </cols>
  <sheetData>
    <row r="2" spans="3:31" x14ac:dyDescent="0.25">
      <c r="C2" s="197" t="s">
        <v>1</v>
      </c>
      <c r="D2" s="52" t="s">
        <v>2</v>
      </c>
      <c r="E2" s="16">
        <v>1</v>
      </c>
      <c r="F2" s="198" t="s">
        <v>7</v>
      </c>
      <c r="G2" s="53" t="s">
        <v>6</v>
      </c>
      <c r="H2" s="16">
        <v>-1</v>
      </c>
    </row>
    <row r="3" spans="3:31" x14ac:dyDescent="0.25">
      <c r="C3" s="197"/>
      <c r="D3" s="52" t="s">
        <v>3</v>
      </c>
      <c r="E3" s="16">
        <v>-1</v>
      </c>
      <c r="F3" s="198"/>
      <c r="G3" s="53" t="s">
        <v>5</v>
      </c>
      <c r="H3" s="16">
        <v>1</v>
      </c>
    </row>
    <row r="4" spans="3:31" x14ac:dyDescent="0.25">
      <c r="D4" s="53" t="s">
        <v>4</v>
      </c>
      <c r="E4" s="16"/>
      <c r="G4" s="53" t="s">
        <v>4</v>
      </c>
      <c r="H4" s="16"/>
    </row>
    <row r="6" spans="3:31" x14ac:dyDescent="0.25">
      <c r="C6" s="1" t="s">
        <v>27</v>
      </c>
      <c r="D6" s="15" t="s">
        <v>29</v>
      </c>
      <c r="E6" s="16">
        <v>-1</v>
      </c>
      <c r="AA6" s="13">
        <f>CorrecteurHauteurOeil!K5/60</f>
        <v>0.125</v>
      </c>
      <c r="AB6" s="13">
        <f>CorrecteurHauteurOeil!L5/60</f>
        <v>0.125</v>
      </c>
      <c r="AC6" s="13">
        <f>CorrecteurHauteurOeil!M5/60</f>
        <v>8.3333333333333329E-2</v>
      </c>
      <c r="AD6" s="13">
        <f>CorrecteurHauteurOeil!N5/60</f>
        <v>7.4999999999999997E-2</v>
      </c>
      <c r="AE6" s="13">
        <f>CorrecteurHauteurOeil!O5/60</f>
        <v>6.6666666666666666E-2</v>
      </c>
    </row>
    <row r="7" spans="3:31" x14ac:dyDescent="0.25">
      <c r="D7" s="15" t="s">
        <v>28</v>
      </c>
      <c r="E7" s="16">
        <v>1</v>
      </c>
      <c r="AA7" s="13">
        <f>CorrecteurHauteurOeil!K6/60</f>
        <v>0.14499999999999999</v>
      </c>
      <c r="AB7" s="13">
        <f>CorrecteurHauteurOeil!L6/60</f>
        <v>0.14499999999999999</v>
      </c>
      <c r="AC7" s="13">
        <f>CorrecteurHauteurOeil!M6/60</f>
        <v>0.1</v>
      </c>
      <c r="AD7" s="13">
        <f>CorrecteurHauteurOeil!N6/60</f>
        <v>9.166666666666666E-2</v>
      </c>
      <c r="AE7" s="13">
        <f>CorrecteurHauteurOeil!O6/60</f>
        <v>8.3333333333333329E-2</v>
      </c>
    </row>
    <row r="8" spans="3:31" x14ac:dyDescent="0.25">
      <c r="AA8" s="13">
        <f>CorrecteurHauteurOeil!K7/60</f>
        <v>0.16</v>
      </c>
      <c r="AB8" s="13">
        <f>CorrecteurHauteurOeil!L7/60</f>
        <v>0.16</v>
      </c>
      <c r="AC8" s="13">
        <f>CorrecteurHauteurOeil!M7/60</f>
        <v>0.11666666666666667</v>
      </c>
      <c r="AD8" s="13">
        <f>CorrecteurHauteurOeil!N7/60</f>
        <v>0.10833333333333334</v>
      </c>
      <c r="AE8" s="13">
        <f>CorrecteurHauteurOeil!O7/60</f>
        <v>0.1</v>
      </c>
    </row>
    <row r="9" spans="3:31" x14ac:dyDescent="0.25">
      <c r="C9" s="1" t="s">
        <v>32</v>
      </c>
      <c r="D9" s="16" t="s">
        <v>33</v>
      </c>
      <c r="E9" s="16">
        <v>0</v>
      </c>
      <c r="AA9" s="13">
        <f>CorrecteurHauteurOeil!K8/60</f>
        <v>0.17166666666666669</v>
      </c>
      <c r="AB9" s="13">
        <f>CorrecteurHauteurOeil!L8/60</f>
        <v>0.17166666666666669</v>
      </c>
      <c r="AC9" s="13">
        <f>CorrecteurHauteurOeil!M8/60</f>
        <v>0.13333333333333333</v>
      </c>
      <c r="AD9" s="13">
        <f>CorrecteurHauteurOeil!N8/60</f>
        <v>0.11666666666666667</v>
      </c>
      <c r="AE9" s="13">
        <f>CorrecteurHauteurOeil!O8/60</f>
        <v>0.10833333333333334</v>
      </c>
    </row>
    <row r="10" spans="3:31" x14ac:dyDescent="0.25">
      <c r="D10" s="16" t="s">
        <v>34</v>
      </c>
      <c r="E10" s="16">
        <v>-0.53333333333300004</v>
      </c>
      <c r="AA10" s="13">
        <f>CorrecteurHauteurOeil!K9/60</f>
        <v>0.18000000000000002</v>
      </c>
      <c r="AB10" s="13">
        <f>CorrecteurHauteurOeil!L9/60</f>
        <v>0.18000000000000002</v>
      </c>
      <c r="AC10" s="13">
        <f>CorrecteurHauteurOeil!M9/60</f>
        <v>0.14166666666666666</v>
      </c>
      <c r="AD10" s="13">
        <f>CorrecteurHauteurOeil!N9/60</f>
        <v>0.13333333333333333</v>
      </c>
      <c r="AE10" s="13">
        <f>CorrecteurHauteurOeil!O9/60</f>
        <v>0.11666666666666667</v>
      </c>
    </row>
    <row r="11" spans="3:31" x14ac:dyDescent="0.25">
      <c r="AA11" s="13">
        <f>CorrecteurHauteurOeil!K10/60</f>
        <v>0.19499999999999998</v>
      </c>
      <c r="AB11" s="13">
        <f>CorrecteurHauteurOeil!L10/60</f>
        <v>0.19499999999999998</v>
      </c>
      <c r="AC11" s="13">
        <f>CorrecteurHauteurOeil!M10/60</f>
        <v>0.15</v>
      </c>
      <c r="AD11" s="13">
        <f>CorrecteurHauteurOeil!N10/60</f>
        <v>0.14166666666666666</v>
      </c>
      <c r="AE11" s="13">
        <f>CorrecteurHauteurOeil!O10/60</f>
        <v>0.13333333333333333</v>
      </c>
    </row>
    <row r="12" spans="3:31" x14ac:dyDescent="0.25">
      <c r="C12" s="1" t="s">
        <v>25</v>
      </c>
      <c r="D12" s="16" t="s">
        <v>35</v>
      </c>
      <c r="E12" s="16">
        <v>0</v>
      </c>
      <c r="AA12" s="13">
        <f>CorrecteurHauteurOeil!K11/60</f>
        <v>0.21</v>
      </c>
      <c r="AB12" s="13">
        <f>CorrecteurHauteurOeil!L11/60</f>
        <v>0.21</v>
      </c>
      <c r="AC12" s="13">
        <f>CorrecteurHauteurOeil!M11/60</f>
        <v>0.16666666666666666</v>
      </c>
      <c r="AD12" s="13">
        <f>CorrecteurHauteurOeil!N11/60</f>
        <v>0.15833333333333333</v>
      </c>
      <c r="AE12" s="13">
        <f>CorrecteurHauteurOeil!O11/60</f>
        <v>0.15</v>
      </c>
    </row>
    <row r="13" spans="3:31" x14ac:dyDescent="0.25">
      <c r="D13" s="16" t="s">
        <v>36</v>
      </c>
      <c r="E13" s="16">
        <v>-0.26666666666</v>
      </c>
      <c r="AA13" s="13">
        <f>CorrecteurHauteurOeil!K12/60</f>
        <v>0.22500000000000001</v>
      </c>
      <c r="AB13" s="13">
        <f>CorrecteurHauteurOeil!L12/60</f>
        <v>0.22500000000000001</v>
      </c>
      <c r="AC13" s="13">
        <f>CorrecteurHauteurOeil!M12/60</f>
        <v>0.18333333333333332</v>
      </c>
      <c r="AD13" s="13">
        <f>CorrecteurHauteurOeil!N12/60</f>
        <v>0.17499999999999999</v>
      </c>
      <c r="AE13" s="13">
        <f>CorrecteurHauteurOeil!O12/60</f>
        <v>0.16666666666666666</v>
      </c>
    </row>
    <row r="14" spans="3:31" x14ac:dyDescent="0.25">
      <c r="AA14" s="13">
        <f>CorrecteurHauteurOeil!K13/60</f>
        <v>0.24166666666666667</v>
      </c>
      <c r="AB14" s="13">
        <f>CorrecteurHauteurOeil!L13/60</f>
        <v>0.24166666666666667</v>
      </c>
      <c r="AC14" s="13">
        <f>CorrecteurHauteurOeil!M13/60</f>
        <v>0.2</v>
      </c>
      <c r="AD14" s="13">
        <f>CorrecteurHauteurOeil!N13/60</f>
        <v>0.18333333333333332</v>
      </c>
      <c r="AE14" s="13">
        <f>CorrecteurHauteurOeil!O13/60</f>
        <v>0.18333333333333332</v>
      </c>
    </row>
    <row r="15" spans="3:31" x14ac:dyDescent="0.25">
      <c r="C15" s="1" t="s">
        <v>58</v>
      </c>
      <c r="D15" s="15" t="s">
        <v>56</v>
      </c>
      <c r="E15" s="15" t="s">
        <v>57</v>
      </c>
      <c r="AA15" s="13">
        <f>CorrecteurHauteurOeil!K14/60</f>
        <v>0.255</v>
      </c>
      <c r="AB15" s="13">
        <f>CorrecteurHauteurOeil!L14/60</f>
        <v>0.255</v>
      </c>
      <c r="AC15" s="13">
        <f>CorrecteurHauteurOeil!M14/60</f>
        <v>0.21666666666666667</v>
      </c>
      <c r="AD15" s="13">
        <f>CorrecteurHauteurOeil!N14/60</f>
        <v>0.2</v>
      </c>
      <c r="AE15" s="13">
        <f>CorrecteurHauteurOeil!O14/60</f>
        <v>0.2</v>
      </c>
    </row>
    <row r="16" spans="3:31" x14ac:dyDescent="0.25">
      <c r="AA16" s="13">
        <f>CorrecteurHauteurOeil!K15/60</f>
        <v>0.26666666666666666</v>
      </c>
      <c r="AB16" s="13">
        <f>CorrecteurHauteurOeil!L15/60</f>
        <v>0.26666666666666666</v>
      </c>
      <c r="AC16" s="13">
        <f>CorrecteurHauteurOeil!M15/60</f>
        <v>0.22500000000000001</v>
      </c>
      <c r="AD16" s="13">
        <f>CorrecteurHauteurOeil!N15/60</f>
        <v>0.21666666666666667</v>
      </c>
      <c r="AE16" s="13">
        <f>CorrecteurHauteurOeil!O15/60</f>
        <v>0.2</v>
      </c>
    </row>
  </sheetData>
  <sheetProtection selectLockedCells="1"/>
  <mergeCells count="2">
    <mergeCell ref="C2:C3"/>
    <mergeCell ref="F2:F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L30"/>
  <sheetViews>
    <sheetView topLeftCell="E1" zoomScale="80" zoomScaleNormal="80" workbookViewId="0">
      <selection activeCell="N8" sqref="N8:AC8"/>
    </sheetView>
  </sheetViews>
  <sheetFormatPr defaultRowHeight="15" x14ac:dyDescent="0.25"/>
  <cols>
    <col min="3" max="3" width="11.140625" customWidth="1"/>
    <col min="6" max="6" width="2.140625" customWidth="1"/>
    <col min="8" max="8" width="11.28515625" customWidth="1"/>
    <col min="9" max="12" width="1.85546875" customWidth="1"/>
    <col min="14" max="14" width="14" customWidth="1"/>
    <col min="15" max="15" width="16.140625" customWidth="1"/>
    <col min="16" max="16" width="15.28515625" customWidth="1"/>
    <col min="17" max="17" width="17.7109375" customWidth="1"/>
    <col min="18" max="18" width="18.42578125" customWidth="1"/>
    <col min="19" max="19" width="25.28515625" customWidth="1"/>
    <col min="20" max="20" width="24.5703125" customWidth="1"/>
    <col min="21" max="23" width="14.42578125" customWidth="1"/>
    <col min="24" max="24" width="20.7109375" customWidth="1"/>
    <col min="25" max="28" width="14.42578125" customWidth="1"/>
    <col min="29" max="36" width="11.140625" customWidth="1"/>
  </cols>
  <sheetData>
    <row r="3" spans="2:38" x14ac:dyDescent="0.25">
      <c r="B3" t="s">
        <v>77</v>
      </c>
    </row>
    <row r="4" spans="2:38" x14ac:dyDescent="0.25">
      <c r="C4" s="33" t="s">
        <v>4</v>
      </c>
      <c r="D4" s="200" t="s">
        <v>101</v>
      </c>
      <c r="E4" s="199" t="s">
        <v>102</v>
      </c>
      <c r="F4" s="199"/>
      <c r="G4" s="200" t="s">
        <v>101</v>
      </c>
      <c r="H4" s="199" t="s">
        <v>105</v>
      </c>
      <c r="I4" s="199"/>
      <c r="J4" s="1"/>
      <c r="K4" s="1"/>
      <c r="L4" s="1"/>
      <c r="M4" s="65"/>
      <c r="N4" s="1" t="s">
        <v>89</v>
      </c>
      <c r="O4" s="1" t="s">
        <v>103</v>
      </c>
      <c r="P4" s="112" t="s">
        <v>104</v>
      </c>
      <c r="Q4" s="110" t="s">
        <v>51</v>
      </c>
      <c r="R4" s="104" t="s">
        <v>50</v>
      </c>
      <c r="S4" s="104" t="s">
        <v>49</v>
      </c>
      <c r="T4" s="105" t="s">
        <v>62</v>
      </c>
      <c r="U4" s="105" t="s">
        <v>63</v>
      </c>
      <c r="V4" s="106" t="s">
        <v>46</v>
      </c>
      <c r="W4" s="106" t="s">
        <v>47</v>
      </c>
      <c r="X4" s="106" t="s">
        <v>90</v>
      </c>
      <c r="Y4" s="106" t="s">
        <v>48</v>
      </c>
      <c r="Z4" s="105" t="s">
        <v>52</v>
      </c>
      <c r="AA4" s="105" t="s">
        <v>53</v>
      </c>
      <c r="AB4" s="105" t="s">
        <v>54</v>
      </c>
      <c r="AC4" s="105" t="s">
        <v>186</v>
      </c>
      <c r="AD4" s="34" t="s">
        <v>60</v>
      </c>
      <c r="AE4" s="34" t="s">
        <v>187</v>
      </c>
      <c r="AF4" s="201" t="s">
        <v>59</v>
      </c>
      <c r="AG4" s="201"/>
      <c r="AH4" s="201"/>
      <c r="AI4" s="202" t="s">
        <v>61</v>
      </c>
      <c r="AJ4" s="203"/>
      <c r="AK4" s="203"/>
      <c r="AL4" s="204"/>
    </row>
    <row r="5" spans="2:38" x14ac:dyDescent="0.25">
      <c r="C5" s="41" t="s">
        <v>184</v>
      </c>
      <c r="D5" s="200"/>
      <c r="E5" s="102">
        <f>P5</f>
        <v>1.6E-2</v>
      </c>
      <c r="F5" s="103" t="s">
        <v>0</v>
      </c>
      <c r="G5" s="200"/>
      <c r="H5" s="107" t="str">
        <f>P18</f>
        <v>00°00'57.60"</v>
      </c>
      <c r="I5" s="108"/>
      <c r="J5" s="26"/>
      <c r="M5" s="65"/>
      <c r="N5" s="83" t="str">
        <f>C5</f>
        <v>0.96'</v>
      </c>
      <c r="O5" s="1" t="str">
        <f>SUBSTITUTE(N5,Constantes!$D$15,Constantes!$E$15)</f>
        <v>0.96'</v>
      </c>
      <c r="P5" s="112">
        <f>IF(V5,AL5,IF(OR(W5,X5),AH5,IF(Y5,AD5,IF(AC5,AE5,361))))</f>
        <v>1.6E-2</v>
      </c>
      <c r="Q5" s="110" t="b">
        <f>ISNUMBER(SEARCH("°",O5,1))</f>
        <v>0</v>
      </c>
      <c r="R5" s="104" t="b">
        <f>ISNUMBER(SEARCH("'",O5,1))</f>
        <v>1</v>
      </c>
      <c r="S5" s="104" t="b">
        <f>ISNUMBER(SEARCH("""",O5,1))</f>
        <v>0</v>
      </c>
      <c r="T5" s="105" t="b">
        <f>IF(Q5,IF(SEARCH("°",O5,1)=LEN(O5),TRUE, FALSE), FALSE)</f>
        <v>0</v>
      </c>
      <c r="U5" s="105" t="b">
        <f>IF(NOT(ISNUMBER(SEARCH("'",O5,1))), FALSE, IF(SEARCH("'",O5,1)=LEN(O5),TRUE, FALSE))</f>
        <v>1</v>
      </c>
      <c r="V5" s="106" t="b">
        <f>IF(AND(S5,R5,Q5),TRUE,FALSE)</f>
        <v>0</v>
      </c>
      <c r="W5" s="106" t="b">
        <f>IF(AND(R5, Q5,NOT(S5),U5,NOT(V5)),TRUE,FALSE)</f>
        <v>0</v>
      </c>
      <c r="X5" s="106" t="b">
        <f>IF(AND(NOT(R5),Q5,NOT(S5),NOT(T5)*NOT(V5)),TRUE,FALSE)</f>
        <v>0</v>
      </c>
      <c r="Y5" s="106" t="b">
        <f>IF(AND(NOT(V5),NOT(W5),T5),TRUE,FALSE)</f>
        <v>0</v>
      </c>
      <c r="Z5" s="105" t="b">
        <f>IF(AND(V5,RIGHT(O5)=""""),TRUE, FALSE)</f>
        <v>0</v>
      </c>
      <c r="AA5" s="105" t="b">
        <f>IF(OR(W5,X5),TRUE, FALSE)</f>
        <v>0</v>
      </c>
      <c r="AB5" s="105" t="b">
        <f>IF(AND(Y5,RIGHT(O5)="°"),TRUE, FALSE)</f>
        <v>0</v>
      </c>
      <c r="AC5" s="105" t="b">
        <f>IF(AND(U5,NOT(Q5),NOT(S5)),TRUE, FALSE)</f>
        <v>1</v>
      </c>
      <c r="AD5" s="34" t="e">
        <f>LEFT(O5, SEARCH("°",O5,1)-1)</f>
        <v>#VALUE!</v>
      </c>
      <c r="AE5" s="34">
        <f>(LEFT(O5, SEARCH("'",O5,1)-1))/60</f>
        <v>1.6E-2</v>
      </c>
      <c r="AF5" s="35" t="e">
        <f>LEFT(O5, SEARCH("°",O5,1)-1)</f>
        <v>#VALUE!</v>
      </c>
      <c r="AG5" s="35" t="e">
        <f>MID(O5, SEARCH("°",O5,1) +1, IF(W5,SEARCH("'",O5,1) - SEARCH("°",O5,1) -1,LEN(O5)-SEARCH("°",O5,1)))</f>
        <v>#VALUE!</v>
      </c>
      <c r="AH5" s="36" t="e">
        <f>AF5+AG5*1/60</f>
        <v>#VALUE!</v>
      </c>
      <c r="AI5" s="38" t="e">
        <f>LEFT(O5,SEARCH("°",O5,1)-1)</f>
        <v>#VALUE!</v>
      </c>
      <c r="AJ5" s="37" t="e">
        <f>MID(O5,SEARCH("°",O5,1)+1,SEARCH("'",O5,1)-SEARCH("°",O5,1)-1)</f>
        <v>#VALUE!</v>
      </c>
      <c r="AK5" s="37" t="e">
        <f>MID(O5,SEARCH("'",O5,1)+1,SEARCH("""",O5,1)-SEARCH("'",O5,1)-1)</f>
        <v>#VALUE!</v>
      </c>
      <c r="AL5" s="37" t="e">
        <f>AI5+AJ5/60+AK5/3600</f>
        <v>#VALUE!</v>
      </c>
    </row>
    <row r="6" spans="2:38" x14ac:dyDescent="0.25">
      <c r="B6" t="s">
        <v>78</v>
      </c>
    </row>
    <row r="7" spans="2:38" x14ac:dyDescent="0.25">
      <c r="C7" s="33" t="s">
        <v>4</v>
      </c>
      <c r="D7" s="200" t="s">
        <v>101</v>
      </c>
      <c r="E7" s="199" t="s">
        <v>102</v>
      </c>
      <c r="F7" s="199"/>
      <c r="G7" s="200" t="s">
        <v>101</v>
      </c>
      <c r="H7" s="199" t="s">
        <v>105</v>
      </c>
      <c r="I7" s="199"/>
      <c r="N7" s="1" t="s">
        <v>89</v>
      </c>
      <c r="O7" s="1" t="s">
        <v>103</v>
      </c>
      <c r="P7" s="112" t="s">
        <v>104</v>
      </c>
      <c r="Q7" s="111" t="s">
        <v>106</v>
      </c>
      <c r="R7" s="104" t="s">
        <v>62</v>
      </c>
      <c r="S7" s="157" t="s">
        <v>180</v>
      </c>
      <c r="T7" s="157" t="s">
        <v>181</v>
      </c>
      <c r="U7" s="158" t="s">
        <v>182</v>
      </c>
      <c r="V7" s="106" t="s">
        <v>107</v>
      </c>
      <c r="W7" s="106" t="s">
        <v>108</v>
      </c>
      <c r="X7" s="106" t="s">
        <v>109</v>
      </c>
      <c r="Y7" s="159" t="s">
        <v>29</v>
      </c>
      <c r="Z7" s="36" t="s">
        <v>108</v>
      </c>
      <c r="AA7" s="160" t="s">
        <v>29</v>
      </c>
      <c r="AB7" s="161" t="s">
        <v>183</v>
      </c>
    </row>
    <row r="8" spans="2:38" x14ac:dyDescent="0.25">
      <c r="C8" s="41" t="s">
        <v>185</v>
      </c>
      <c r="D8" s="200"/>
      <c r="E8" s="102" t="str">
        <f>P8</f>
        <v>00°13'48.00"</v>
      </c>
      <c r="F8" s="103" t="s">
        <v>0</v>
      </c>
      <c r="G8" s="200"/>
      <c r="H8" s="107">
        <f>P19</f>
        <v>0.23</v>
      </c>
      <c r="I8" s="108" t="s">
        <v>0</v>
      </c>
      <c r="N8" s="93" t="str">
        <f>C8</f>
        <v>0.23°</v>
      </c>
      <c r="O8" s="1" t="str">
        <f>SUBSTITUTE(N8,Constantes!$D$15,Constantes!$E$15)</f>
        <v>0.23°</v>
      </c>
      <c r="P8" s="113" t="str">
        <f>U8</f>
        <v>00°13'48.00"</v>
      </c>
      <c r="Q8" s="111" t="str">
        <f>SUBSTITUTE(O8,"°","")</f>
        <v>0.23</v>
      </c>
      <c r="R8" s="104" t="b">
        <f>IF(ISNUMBER(SEARCH("°",O8,1)),IF(SEARCH("°",O8,1)=LEN(O8),TRUE,FALSE),FALSE)</f>
        <v>1</v>
      </c>
      <c r="S8" s="157" t="b">
        <f>IF(ISNUMBER(SEARCH("'",O8,1)),IF(SEARCH("'",O8,1)=LEN(O8),TRUE,FALSE),FALSE)</f>
        <v>0</v>
      </c>
      <c r="T8" s="157" t="b">
        <f>IF(ISNUMBER(SEARCH("""",O8,1)),IF(SEARCH("""",O8,1)=LEN(O8),TRUE,FALSE),FALSE)</f>
        <v>0</v>
      </c>
      <c r="U8" s="158" t="str">
        <f>CONCATENATE(TEXT(V8,"00"),"°",TEXT(W8,"00"),"'",TEXT(X8,"00.00"),"""")</f>
        <v>00°13'48.00"</v>
      </c>
      <c r="V8" s="109">
        <f>INT(Q8)</f>
        <v>0</v>
      </c>
      <c r="W8" s="109">
        <f>INT((Q8-V8) * 60)</f>
        <v>13</v>
      </c>
      <c r="X8" s="109">
        <f>(Q8-(V8 + W8/60))*3600</f>
        <v>48.000000000000007</v>
      </c>
      <c r="Y8" s="35" t="str">
        <f>SUBSTITUTE(O8,"'","")</f>
        <v>0.23°</v>
      </c>
      <c r="Z8" s="35" t="e">
        <f>(Y8*100/60)/60</f>
        <v>#VALUE!</v>
      </c>
      <c r="AA8" s="162" t="str">
        <f>SUBSTITUTE(Q8,"""","")</f>
        <v>0.23</v>
      </c>
      <c r="AB8" s="162">
        <f>AA8*100/60</f>
        <v>0.38333333333333336</v>
      </c>
    </row>
    <row r="9" spans="2:38" x14ac:dyDescent="0.25">
      <c r="B9" t="s">
        <v>79</v>
      </c>
    </row>
    <row r="10" spans="2:38" x14ac:dyDescent="0.25">
      <c r="C10" s="33" t="s">
        <v>4</v>
      </c>
      <c r="D10" s="200" t="s">
        <v>101</v>
      </c>
      <c r="E10" s="199" t="s">
        <v>102</v>
      </c>
      <c r="F10" s="199"/>
      <c r="G10" s="200" t="s">
        <v>101</v>
      </c>
      <c r="H10" s="199" t="s">
        <v>105</v>
      </c>
      <c r="I10" s="199"/>
      <c r="N10" s="1" t="s">
        <v>89</v>
      </c>
      <c r="O10" s="1" t="s">
        <v>103</v>
      </c>
      <c r="P10" s="112" t="s">
        <v>104</v>
      </c>
      <c r="Q10" t="s">
        <v>113</v>
      </c>
      <c r="R10" t="s">
        <v>91</v>
      </c>
      <c r="S10" t="s">
        <v>110</v>
      </c>
      <c r="T10" t="s">
        <v>92</v>
      </c>
      <c r="U10" s="106" t="s">
        <v>12</v>
      </c>
      <c r="V10" s="106" t="s">
        <v>108</v>
      </c>
      <c r="W10" s="106" t="s">
        <v>109</v>
      </c>
    </row>
    <row r="11" spans="2:38" x14ac:dyDescent="0.25">
      <c r="C11" s="41" t="s">
        <v>114</v>
      </c>
      <c r="D11" s="200"/>
      <c r="E11" s="102">
        <f>P11</f>
        <v>0.5</v>
      </c>
      <c r="F11" s="103"/>
      <c r="G11" s="200"/>
      <c r="H11" s="107" t="str">
        <f>P20</f>
        <v>00:30:00.00</v>
      </c>
      <c r="I11" s="108"/>
      <c r="N11" s="93" t="str">
        <f>C11</f>
        <v>0:30</v>
      </c>
      <c r="O11" s="1" t="str">
        <f>SUBSTITUTE(N11,Constantes!$D$15,Constantes!$E$15)</f>
        <v>0:30</v>
      </c>
      <c r="P11" s="113">
        <f>U11+V11/60+IF(S11,W11/3600,0)</f>
        <v>0.5</v>
      </c>
      <c r="Q11" t="b">
        <f>ISNUMBER(SEARCH(":",O11,1))</f>
        <v>1</v>
      </c>
      <c r="R11">
        <f>SEARCH(":",O11,1)</f>
        <v>2</v>
      </c>
      <c r="S11" t="b">
        <f>ISNUMBER(SEARCH(":",O11,R11+1))</f>
        <v>0</v>
      </c>
      <c r="T11">
        <f>IF(S11,SEARCH(":",P11,R11+1),-1)</f>
        <v>-1</v>
      </c>
      <c r="U11" s="109" t="str">
        <f>IF(Q11,LEFT(O11,SEARCH(":",O11)-1),O11)</f>
        <v>0</v>
      </c>
      <c r="V11" s="109" t="str">
        <f>IF(Q11,MID(O11,SEARCH(":",O11,1)+1,IF(S11,SEARCH(":",O11,1+SEARCH(":",O11,1))-SEARCH(":",O11,1)-1,LEN(O11)-SEARCH(":",O11,1))),0)</f>
        <v>30</v>
      </c>
      <c r="W11" s="109" t="e">
        <f>IF(Q11,RIGHT(O11,LEN(O11)-SEARCH(":",O11,SEARCH(":",O11,1)+1)),0)</f>
        <v>#VALUE!</v>
      </c>
    </row>
    <row r="12" spans="2:38" x14ac:dyDescent="0.25">
      <c r="B12" t="s">
        <v>80</v>
      </c>
    </row>
    <row r="13" spans="2:38" x14ac:dyDescent="0.25">
      <c r="C13" s="33" t="s">
        <v>4</v>
      </c>
      <c r="D13" s="200" t="s">
        <v>101</v>
      </c>
      <c r="E13" s="199" t="s">
        <v>102</v>
      </c>
      <c r="F13" s="199"/>
      <c r="G13" s="200" t="s">
        <v>101</v>
      </c>
      <c r="H13" s="199" t="s">
        <v>105</v>
      </c>
      <c r="I13" s="199"/>
      <c r="N13" s="1" t="s">
        <v>89</v>
      </c>
      <c r="O13" s="1" t="s">
        <v>103</v>
      </c>
      <c r="P13" s="112" t="s">
        <v>104</v>
      </c>
      <c r="T13" s="106" t="s">
        <v>12</v>
      </c>
      <c r="U13" s="106" t="s">
        <v>108</v>
      </c>
      <c r="V13" s="106" t="s">
        <v>109</v>
      </c>
    </row>
    <row r="14" spans="2:38" x14ac:dyDescent="0.25">
      <c r="C14" s="41" t="s">
        <v>93</v>
      </c>
      <c r="D14" s="200"/>
      <c r="E14" s="102" t="str">
        <f>P14</f>
        <v>14:53:18.96</v>
      </c>
      <c r="F14" s="103"/>
      <c r="G14" s="200"/>
      <c r="H14" s="107">
        <f>P21</f>
        <v>14.8886</v>
      </c>
      <c r="I14" s="108"/>
      <c r="N14" s="93" t="str">
        <f>C14</f>
        <v>14.8886</v>
      </c>
      <c r="O14" s="1" t="str">
        <f>SUBSTITUTE(N14,Constantes!$D$15,Constantes!$E$15)</f>
        <v>14.8886</v>
      </c>
      <c r="P14" s="113" t="str">
        <f>CONCATENATE(TEXT(T14,"00"),":",TEXT(U14,"00"),":",TEXT(V14,"00.00"))</f>
        <v>14:53:18.96</v>
      </c>
      <c r="T14" s="109">
        <f>INT(O14)</f>
        <v>14</v>
      </c>
      <c r="U14" s="109">
        <f>INT((O14-T14) * 60)</f>
        <v>53</v>
      </c>
      <c r="V14" s="109">
        <f>(O14-(T14+U14/60))*3600</f>
        <v>18.960000000002708</v>
      </c>
    </row>
    <row r="16" spans="2:38" ht="15.75" thickBot="1" x14ac:dyDescent="0.3"/>
    <row r="17" spans="14:36" ht="15.75" thickBot="1" x14ac:dyDescent="0.3">
      <c r="N17" s="129" t="s">
        <v>111</v>
      </c>
    </row>
    <row r="18" spans="14:36" x14ac:dyDescent="0.25">
      <c r="N18" s="130">
        <f>E5</f>
        <v>1.6E-2</v>
      </c>
      <c r="O18" s="115" t="str">
        <f>SUBSTITUTE(N18,Constantes!$D$15,Constantes!$E$15)</f>
        <v>0.016</v>
      </c>
      <c r="P18" s="116" t="str">
        <f>CONCATENATE(TEXT(INT(S18),"00"),"°",TEXT(T18,"00"),"'",TEXT(U18,"00.00"),"""")</f>
        <v>00°00'57.60"</v>
      </c>
      <c r="Q18" s="117" t="str">
        <f>SUBSTITUTE(O18,"°","")</f>
        <v>0.016</v>
      </c>
      <c r="R18" s="118" t="e">
        <f>IF(SEARCH("°",N18,1)=LEN(N18),TRUE, FALSE)</f>
        <v>#VALUE!</v>
      </c>
      <c r="S18" s="119">
        <f>INT(Q18)</f>
        <v>0</v>
      </c>
      <c r="T18" s="119">
        <f>INT((Q18-S18) * 60)</f>
        <v>0</v>
      </c>
      <c r="U18" s="119">
        <f>($Q18-($S18 + $T18/60))*3600</f>
        <v>57.6</v>
      </c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</row>
    <row r="19" spans="14:36" x14ac:dyDescent="0.25">
      <c r="N19" s="131" t="str">
        <f>E8</f>
        <v>00°13'48.00"</v>
      </c>
      <c r="O19" s="115" t="str">
        <f>SUBSTITUTE(N19,Constantes!$D$15,Constantes!$E$15)</f>
        <v>00°13'48.00"</v>
      </c>
      <c r="P19" s="120">
        <f>IF($V19,$AJ19,IF(OR($W19,$X19),$AF19,IF(#REF!,$AC19,361)))</f>
        <v>0.23</v>
      </c>
      <c r="Q19" s="121" t="b">
        <f>ISNUMBER(SEARCH("°",N19,1))</f>
        <v>1</v>
      </c>
      <c r="R19" s="118" t="b">
        <f>ISNUMBER(SEARCH("'",N19,1))</f>
        <v>1</v>
      </c>
      <c r="S19" s="118" t="b">
        <f>ISNUMBER(SEARCH("""",N19,1))</f>
        <v>1</v>
      </c>
      <c r="T19" s="122" t="b">
        <f>IF(SEARCH("°",N19,1)=LEN(N19),TRUE, FALSE)</f>
        <v>0</v>
      </c>
      <c r="U19" s="122" t="b">
        <f>IF(NOT(ISNUMBER(SEARCH("'",N19,1))), FALSE, IF(SEARCH("'",N19,1)=LEN(N19),TRUE, FALSE))</f>
        <v>0</v>
      </c>
      <c r="V19" s="123" t="b">
        <f>IF(AND($S19,$R19,$Q19),TRUE,FALSE)</f>
        <v>1</v>
      </c>
      <c r="W19" s="123" t="b">
        <f>IF(AND($R19, $Q19,NOT($S$5),$U19,NOT($V19)),TRUE,FALSE)</f>
        <v>0</v>
      </c>
      <c r="X19" s="123" t="b">
        <f>IF(AND(NOT($R19),$Q19,NOT($S$5),NOT($T19)*NOT($V19)),TRUE,FALSE)</f>
        <v>0</v>
      </c>
      <c r="Y19" s="123" t="b">
        <f>IF(AND(NOT($V19),NOT($W19),$T19),TRUE,FALSE)</f>
        <v>0</v>
      </c>
      <c r="Z19" s="122" t="b">
        <f>IF(AND($V19,RIGHT($N19)=""""),TRUE, FALSE)</f>
        <v>1</v>
      </c>
      <c r="AA19" s="122" t="b">
        <f>IF(OR($W19,$X19),TRUE, FALSE)</f>
        <v>0</v>
      </c>
      <c r="AB19" s="122" t="b">
        <f>IF(AND($Y19,RIGHT($N19)="°"),TRUE, FALSE)</f>
        <v>0</v>
      </c>
      <c r="AC19" s="124" t="str">
        <f>LEFT($O19, SEARCH("°",$O19,1)-1)</f>
        <v>00</v>
      </c>
      <c r="AD19" s="125" t="str">
        <f>LEFT($O19, SEARCH("°",$O19,1)-1)</f>
        <v>00</v>
      </c>
      <c r="AE19" s="125" t="str">
        <f>MID($O19, SEARCH("°",$O19,1) +1, IF($W19,SEARCH("'",$O19,1) - SEARCH("°",$O19,1) -1,LEN($O19)-SEARCH("°",$O19,1)))</f>
        <v>13'48.00"</v>
      </c>
      <c r="AF19" s="126" t="e">
        <f>$AD19+$AE19*1/60</f>
        <v>#VALUE!</v>
      </c>
      <c r="AG19" s="127" t="str">
        <f>LEFT($O19,SEARCH("°",$O19,1)-1)</f>
        <v>00</v>
      </c>
      <c r="AH19" s="128" t="str">
        <f>MID($O19,SEARCH("°",$O19,1)+1,SEARCH("'",$O19,1)-SEARCH("°",$O19,1)-1)</f>
        <v>13</v>
      </c>
      <c r="AI19" s="128" t="str">
        <f>MID($O19,SEARCH("'",$O19,1)+1,SEARCH("""",$O19,1)-SEARCH("'",$O19,1)-1)</f>
        <v>48.00</v>
      </c>
      <c r="AJ19" s="128">
        <f>$AG19+$AH19/60+$AI19/3600</f>
        <v>0.23</v>
      </c>
    </row>
    <row r="20" spans="14:36" x14ac:dyDescent="0.25">
      <c r="N20" s="131">
        <f>E11</f>
        <v>0.5</v>
      </c>
      <c r="O20" s="115" t="str">
        <f>SUBSTITUTE(N20,Constantes!$D$15,Constantes!$E$15)</f>
        <v>0.5</v>
      </c>
      <c r="P20" s="116" t="str">
        <f>CONCATENATE(TEXT(T20,"00"),":",TEXT(U20,"00"),":",TEXT(V20,"00.00"))</f>
        <v>00:30:00.00</v>
      </c>
      <c r="Q20" s="114"/>
      <c r="R20" s="114"/>
      <c r="S20" s="114"/>
      <c r="T20" s="119">
        <f>INT(O20)</f>
        <v>0</v>
      </c>
      <c r="U20" s="119">
        <f>INT((O20-T20) * 60)</f>
        <v>30</v>
      </c>
      <c r="V20" s="119">
        <f>(O20-(T20+U20/60))*3600</f>
        <v>0</v>
      </c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</row>
    <row r="21" spans="14:36" x14ac:dyDescent="0.25">
      <c r="N21" s="131" t="str">
        <f>E14</f>
        <v>14:53:18.96</v>
      </c>
      <c r="O21" s="115" t="str">
        <f>SUBSTITUTE(N21,Constantes!$D$15,Constantes!$E$15)</f>
        <v>14:53:18.96</v>
      </c>
      <c r="P21" s="116">
        <f>T21+U21/60+IF(R21,V21/3600,0)</f>
        <v>14.8886</v>
      </c>
      <c r="Q21" s="114">
        <f>SEARCH(":",O21,1)</f>
        <v>3</v>
      </c>
      <c r="R21" s="114" t="b">
        <f>ISNUMBER(SEARCH(":",O21,Q21+1))</f>
        <v>1</v>
      </c>
      <c r="S21" s="114" t="e">
        <f>IF(R21,SEARCH(":",P21,Q21+1),-1)</f>
        <v>#VALUE!</v>
      </c>
      <c r="T21" s="119" t="str">
        <f>LEFT(O21,SEARCH(":",O21) -1)</f>
        <v>14</v>
      </c>
      <c r="U21" s="119" t="str">
        <f>MID(O21,SEARCH(":",O21,1)+1,   IF(R21,SEARCH(":",O21,1+SEARCH(":",O21,1))-SEARCH(":",O21,1)-1, LEN(O21)-SEARCH(":",O21,1)))</f>
        <v>53</v>
      </c>
      <c r="V21" s="119" t="str">
        <f>RIGHT(O21,LEN(O21)-SEARCH(":",O21,SEARCH(":",O21,1)+1))</f>
        <v>18.96</v>
      </c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</row>
    <row r="22" spans="14:36" x14ac:dyDescent="0.25">
      <c r="N22" s="132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</row>
    <row r="23" spans="14:36" x14ac:dyDescent="0.25">
      <c r="N23" s="132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9" spans="14:36" x14ac:dyDescent="0.25">
      <c r="U29">
        <f>IF(R8,0,IF(S8,Z8,IF(T8,AB8/3600,361)))</f>
        <v>0</v>
      </c>
    </row>
    <row r="30" spans="14:36" x14ac:dyDescent="0.25">
      <c r="U30">
        <f>IF(R8,0,1)</f>
        <v>0</v>
      </c>
    </row>
  </sheetData>
  <mergeCells count="18">
    <mergeCell ref="D10:D11"/>
    <mergeCell ref="E10:F10"/>
    <mergeCell ref="D13:D14"/>
    <mergeCell ref="E13:F13"/>
    <mergeCell ref="G10:G11"/>
    <mergeCell ref="AF4:AH4"/>
    <mergeCell ref="AI4:AL4"/>
    <mergeCell ref="H10:I10"/>
    <mergeCell ref="G13:G14"/>
    <mergeCell ref="H13:I13"/>
    <mergeCell ref="E4:F4"/>
    <mergeCell ref="D4:D5"/>
    <mergeCell ref="D7:D8"/>
    <mergeCell ref="E7:F7"/>
    <mergeCell ref="H4:I4"/>
    <mergeCell ref="H7:I7"/>
    <mergeCell ref="G4:G5"/>
    <mergeCell ref="G7:G8"/>
  </mergeCells>
  <conditionalFormatting sqref="E5:F5">
    <cfRule type="expression" dxfId="7" priority="8">
      <formula>$AH$6</formula>
    </cfRule>
  </conditionalFormatting>
  <conditionalFormatting sqref="E8:F8">
    <cfRule type="expression" dxfId="6" priority="7">
      <formula>$AH$6</formula>
    </cfRule>
  </conditionalFormatting>
  <conditionalFormatting sqref="E11:F11">
    <cfRule type="expression" dxfId="5" priority="6">
      <formula>$AH$6</formula>
    </cfRule>
  </conditionalFormatting>
  <conditionalFormatting sqref="E14:F14">
    <cfRule type="expression" dxfId="4" priority="5">
      <formula>$AH$6</formula>
    </cfRule>
  </conditionalFormatting>
  <conditionalFormatting sqref="H5:I5">
    <cfRule type="expression" dxfId="3" priority="4">
      <formula>$AH$6</formula>
    </cfRule>
  </conditionalFormatting>
  <conditionalFormatting sqref="H8:I8">
    <cfRule type="expression" dxfId="2" priority="3">
      <formula>$AH$6</formula>
    </cfRule>
  </conditionalFormatting>
  <conditionalFormatting sqref="H11:I11">
    <cfRule type="expression" dxfId="1" priority="2">
      <formula>$AH$6</formula>
    </cfRule>
  </conditionalFormatting>
  <conditionalFormatting sqref="H14:I14">
    <cfRule type="expression" dxfId="0" priority="1">
      <formula>$AH$6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Meridienne</vt:lpstr>
      <vt:lpstr>Meridienne par polaire</vt:lpstr>
      <vt:lpstr>Droite hauteur Soleil</vt:lpstr>
      <vt:lpstr>Droite hauteur Lune</vt:lpstr>
      <vt:lpstr>Droite hauteur Etoile</vt:lpstr>
      <vt:lpstr>CorrecteurHauteurOeil</vt:lpstr>
      <vt:lpstr>Constantes</vt:lpstr>
      <vt:lpstr>Outils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FAGES Pierre</dc:creator>
  <cp:lastModifiedBy>FAGES Pierre</cp:lastModifiedBy>
  <cp:lastPrinted>2022-08-22T16:08:01Z</cp:lastPrinted>
  <dcterms:created xsi:type="dcterms:W3CDTF">2022-08-22T06:46:28Z</dcterms:created>
  <dcterms:modified xsi:type="dcterms:W3CDTF">2022-09-15T14:51:10Z</dcterms:modified>
</cp:coreProperties>
</file>