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8EC08D42-0020-42D0-B4FE-1B779D84B8C5}" xr6:coauthVersionLast="47" xr6:coauthVersionMax="47" xr10:uidLastSave="{00000000-0000-0000-0000-000000000000}"/>
  <bookViews>
    <workbookView xWindow="-120" yWindow="-120" windowWidth="29040" windowHeight="15840" tabRatio="872" activeTab="5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2" r:id="rId5"/>
    <sheet name="Latitude Polaire" sheetId="10" r:id="rId6"/>
    <sheet name="Nav" sheetId="3" r:id="rId7"/>
    <sheet name="Maree" sheetId="4" r:id="rId8"/>
    <sheet name="Maree-backend" sheetId="6" r:id="rId9"/>
    <sheet name="Outils" sheetId="15" r:id="rId10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5" i="13" l="1"/>
  <c r="G105" i="13" s="1"/>
  <c r="AD105" i="13" s="1"/>
  <c r="E104" i="13"/>
  <c r="G104" i="13" s="1"/>
  <c r="AD104" i="13" s="1"/>
  <c r="E103" i="13"/>
  <c r="E102" i="13"/>
  <c r="E101" i="13"/>
  <c r="G101" i="13" s="1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6" i="1"/>
  <c r="AD176" i="1"/>
  <c r="AD175" i="1"/>
  <c r="AD174" i="1"/>
  <c r="AE168" i="1"/>
  <c r="AD126" i="16"/>
  <c r="AD124" i="16"/>
  <c r="AD118" i="16"/>
  <c r="AD117" i="16"/>
  <c r="AD41" i="1"/>
  <c r="AE96" i="13"/>
  <c r="I101" i="13"/>
  <c r="AH95" i="13"/>
  <c r="AG87" i="13"/>
  <c r="AG83" i="13"/>
  <c r="J123" i="13" a="1"/>
  <c r="AD37" i="13" a="1"/>
  <c r="AD158" i="13" a="1"/>
  <c r="J89" i="16" a="1"/>
  <c r="F43" i="13"/>
  <c r="AD12" i="13" a="1"/>
  <c r="AE95" i="13"/>
  <c r="AD87" i="13"/>
  <c r="AD83" i="13"/>
  <c r="U169" i="13" a="1"/>
  <c r="J134" i="13" a="1"/>
  <c r="F161" i="13" a="1"/>
  <c r="O32" i="13" a="1"/>
  <c r="R202" i="13" a="1"/>
  <c r="J122" i="13" a="1"/>
  <c r="AE151" i="13" a="1"/>
  <c r="AH94" i="13"/>
  <c r="AG86" i="13"/>
  <c r="G235" i="13" a="1"/>
  <c r="G236" i="13" a="1"/>
  <c r="J130" i="13" a="1"/>
  <c r="O43" i="13"/>
  <c r="AE150" i="13" a="1"/>
  <c r="AE94" i="13"/>
  <c r="AD86" i="13"/>
  <c r="O202" i="13" a="1"/>
  <c r="N7" i="16"/>
  <c r="I105" i="13"/>
  <c r="AH93" i="13"/>
  <c r="AG85" i="13"/>
  <c r="AE187" i="13" a="1"/>
  <c r="J127" i="13" a="1"/>
  <c r="G203" i="16" a="1"/>
  <c r="I104" i="13"/>
  <c r="AE93" i="13"/>
  <c r="AD85" i="13"/>
  <c r="AD160" i="13" a="1"/>
  <c r="F28" i="13"/>
  <c r="O28" i="13" s="1" a="1"/>
  <c r="F21" i="13"/>
  <c r="G202" i="16" a="1"/>
  <c r="AH92" i="13"/>
  <c r="AG84" i="13"/>
  <c r="S136" i="13" a="1"/>
  <c r="J126" i="13" a="1"/>
  <c r="AH96" i="13"/>
  <c r="AE92" i="13"/>
  <c r="AD84" i="13"/>
  <c r="S132" i="13" a="1"/>
  <c r="AD17" i="13" a="1"/>
  <c r="N7" i="13"/>
  <c r="AD96" i="13" l="1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O28" i="13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J89" i="16"/>
  <c r="O21" i="13"/>
  <c r="J92" i="13"/>
  <c r="P127" i="13" a="1"/>
  <c r="P133" i="13" a="1"/>
  <c r="P161" i="13" a="1"/>
  <c r="I103" i="13"/>
  <c r="G84" i="13"/>
  <c r="J96" i="13"/>
  <c r="U185" i="13" a="1"/>
  <c r="O16" i="13" a="1"/>
  <c r="P137" i="13" a="1"/>
  <c r="O36" i="13" a="1"/>
  <c r="P123" i="13" a="1"/>
  <c r="U151" i="13" a="1"/>
  <c r="J94" i="13"/>
  <c r="U153" i="13" a="1"/>
  <c r="G83" i="13"/>
  <c r="J93" i="13"/>
  <c r="U161" i="13" a="1"/>
  <c r="G87" i="13"/>
  <c r="J95" i="13"/>
  <c r="G86" i="13"/>
  <c r="P122" i="13" a="1"/>
  <c r="P126" i="13" a="1"/>
  <c r="G85" i="13"/>
  <c r="W202" i="13" a="1"/>
  <c r="O11" i="13" a="1"/>
  <c r="P89" i="16" a="1"/>
  <c r="AD103" i="13" l="1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U168" i="13" a="1"/>
  <c r="K60" i="13"/>
  <c r="J90" i="16" a="1"/>
  <c r="I102" i="13"/>
  <c r="J124" i="13" a="1"/>
  <c r="U175" i="13" a="1"/>
  <c r="U167" i="13" a="1"/>
  <c r="AD101" i="13" l="1"/>
  <c r="G107" i="13" s="1"/>
  <c r="U167" i="13"/>
  <c r="U168" i="13"/>
  <c r="U175" i="13"/>
  <c r="J124" i="13"/>
  <c r="M164" i="13"/>
  <c r="J201" i="13"/>
  <c r="O171" i="13"/>
  <c r="AD168" i="13"/>
  <c r="L201" i="13"/>
  <c r="J90" i="16"/>
  <c r="I107" i="13"/>
  <c r="U171" i="13" a="1"/>
  <c r="L202" i="13" a="1"/>
  <c r="P124" i="13" a="1"/>
  <c r="P90" i="16" a="1"/>
  <c r="Q107" i="13" l="1"/>
  <c r="Q109" i="13" s="1"/>
  <c r="P124" i="13"/>
  <c r="L202" i="13"/>
  <c r="O204" i="13" s="1"/>
  <c r="U171" i="13"/>
  <c r="P90" i="16"/>
  <c r="M91" i="16"/>
  <c r="U204" i="13" a="1"/>
  <c r="J91" i="16" a="1"/>
  <c r="S109" i="13"/>
  <c r="S107" i="13"/>
  <c r="M220" i="13" l="1"/>
  <c r="U204" i="13"/>
  <c r="J91" i="16"/>
  <c r="J92" i="16"/>
  <c r="P91" i="16" a="1"/>
  <c r="J93" i="16" a="1"/>
  <c r="P220" i="13"/>
  <c r="E227" i="13" l="1"/>
  <c r="P91" i="16"/>
  <c r="J93" i="16"/>
  <c r="P93" i="16" a="1"/>
  <c r="P93" i="16" l="1"/>
  <c r="J94" i="16" a="1"/>
  <c r="J94" i="16" l="1"/>
  <c r="P94" i="16" a="1"/>
  <c r="P94" i="16" l="1"/>
  <c r="J95" i="16"/>
  <c r="J96" i="16"/>
  <c r="P99" i="16"/>
  <c r="M97" i="16" s="1"/>
  <c r="J97" i="16" a="1"/>
  <c r="S99" i="16" a="1"/>
  <c r="J97" i="16" l="1"/>
  <c r="S99" i="16"/>
  <c r="P100" i="16" a="1"/>
  <c r="P100" i="16" l="1"/>
  <c r="P103" i="16"/>
  <c r="M101" i="16" s="1"/>
  <c r="J101" i="16" a="1"/>
  <c r="S103" i="16" a="1"/>
  <c r="J101" i="16" l="1"/>
  <c r="S103" i="16"/>
  <c r="P104" i="16" a="1"/>
  <c r="P104" i="16" l="1"/>
  <c r="AE117" i="16" a="1"/>
  <c r="AE117" i="16" l="1"/>
  <c r="AD120" i="16"/>
  <c r="AE118" i="16" a="1"/>
  <c r="AD125" i="16" a="1"/>
  <c r="U118" i="16" a="1"/>
  <c r="U118" i="16" l="1"/>
  <c r="AE118" i="16"/>
  <c r="AD125" i="16"/>
  <c r="F126" i="16"/>
  <c r="AD127" i="16" a="1"/>
  <c r="U120" i="16" a="1"/>
  <c r="U120" i="16" l="1"/>
  <c r="AD119" i="16"/>
  <c r="AD127" i="16"/>
  <c r="O134" i="16"/>
  <c r="M131" i="16" s="1"/>
  <c r="O135" i="16"/>
  <c r="AD135" i="16" s="1"/>
  <c r="AD136" i="16"/>
  <c r="AD137" i="16" s="1"/>
  <c r="O136" i="16" s="1"/>
  <c r="F128" i="16" a="1"/>
  <c r="U128" i="16" a="1"/>
  <c r="U135" i="16" a="1"/>
  <c r="P128" i="16" a="1"/>
  <c r="U136" i="16" a="1"/>
  <c r="U134" i="16" a="1"/>
  <c r="U134" i="16" l="1"/>
  <c r="P128" i="16"/>
  <c r="U135" i="16"/>
  <c r="U128" i="16"/>
  <c r="F128" i="16"/>
  <c r="O138" i="16"/>
  <c r="U136" i="16"/>
  <c r="O142" i="16"/>
  <c r="O146" i="16"/>
  <c r="O147" i="16"/>
  <c r="AD148" i="16" s="1"/>
  <c r="O150" i="16"/>
  <c r="O151" i="16"/>
  <c r="AD151" i="16"/>
  <c r="U138" i="16" a="1"/>
  <c r="U142" i="16" a="1"/>
  <c r="U142" i="16" l="1"/>
  <c r="U138" i="16"/>
  <c r="AD152" i="16"/>
  <c r="AD153" i="16" s="1"/>
  <c r="AD154" i="16"/>
  <c r="AE154" i="16" a="1"/>
  <c r="AE154" i="16" l="1"/>
  <c r="AD155" i="16"/>
  <c r="O152" i="16" s="1"/>
  <c r="U152" i="16" a="1"/>
  <c r="U152" i="16" l="1"/>
  <c r="O159" i="16"/>
  <c r="J163" i="16"/>
  <c r="J168" i="16"/>
  <c r="L168" i="16"/>
  <c r="L169" i="16" a="1"/>
  <c r="L169" i="16" l="1"/>
  <c r="O169" i="16" a="1"/>
  <c r="R169" i="16" a="1"/>
  <c r="R169" i="16" l="1"/>
  <c r="O169" i="16"/>
  <c r="O171" i="16"/>
  <c r="I193" i="16"/>
  <c r="U171" i="16" a="1"/>
  <c r="U171" i="16" l="1"/>
  <c r="V169" i="16"/>
  <c r="R196" i="16"/>
  <c r="W169" i="16" a="1"/>
  <c r="W169" i="16" l="1"/>
  <c r="I36" i="16"/>
  <c r="AD36" i="16" s="1"/>
  <c r="J36" i="16"/>
  <c r="AD11" i="16"/>
  <c r="C56" i="16"/>
  <c r="F32" i="16"/>
  <c r="E51" i="16" s="1"/>
  <c r="AD16" i="16"/>
  <c r="P26" i="1"/>
  <c r="F11" i="15"/>
  <c r="F10" i="15"/>
  <c r="M146" i="3"/>
  <c r="M147" i="3" s="1"/>
  <c r="M141" i="3"/>
  <c r="M142" i="3" s="1"/>
  <c r="M136" i="3"/>
  <c r="F77" i="3"/>
  <c r="AC73" i="3" s="1"/>
  <c r="AF55" i="3"/>
  <c r="S134" i="3" a="1"/>
  <c r="E7" i="1" a="1"/>
  <c r="S122" i="3" a="1"/>
  <c r="S127" i="3" a="1"/>
  <c r="F21" i="16"/>
  <c r="F128" i="3" a="1"/>
  <c r="O32" i="16" a="1"/>
  <c r="F122" i="3" a="1"/>
  <c r="S132" i="3" a="1"/>
  <c r="E69" i="3" a="1"/>
  <c r="S125" i="3" a="1"/>
  <c r="N75" i="3" a="1"/>
  <c r="N79" i="3" a="1"/>
  <c r="AD37" i="16" a="1"/>
  <c r="F124" i="3" a="1"/>
  <c r="S130" i="3" a="1"/>
  <c r="E71" i="3" a="1"/>
  <c r="AD17" i="16" a="1"/>
  <c r="AD12" i="16" a="1"/>
  <c r="G170" i="1" a="1"/>
  <c r="F125" i="3" a="1"/>
  <c r="E39" i="3" a="1"/>
  <c r="S128" i="3" a="1"/>
  <c r="F126" i="3" a="1"/>
  <c r="S133" i="3" a="1"/>
  <c r="S129" i="3" a="1"/>
  <c r="F43" i="16"/>
  <c r="O43" i="16" s="1"/>
  <c r="AB97" i="3" a="1"/>
  <c r="F28" i="16"/>
  <c r="G169" i="1" a="1"/>
  <c r="S124" i="3" a="1"/>
  <c r="AB96" i="3" a="1"/>
  <c r="O21" i="16"/>
  <c r="J16" i="1" a="1"/>
  <c r="F127" i="3" a="1"/>
  <c r="F123" i="3" a="1"/>
  <c r="S131" i="3" a="1"/>
  <c r="S123" i="3" a="1"/>
  <c r="S126" i="3" a="1"/>
  <c r="AD177" i="1" l="1"/>
  <c r="AD178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AB96" i="3"/>
  <c r="I96" i="3" s="1"/>
  <c r="AB97" i="3"/>
  <c r="N79" i="3"/>
  <c r="N75" i="3"/>
  <c r="E71" i="3"/>
  <c r="E69" i="3"/>
  <c r="E39" i="3"/>
  <c r="AC33" i="3"/>
  <c r="AC32" i="3"/>
  <c r="J19" i="1"/>
  <c r="E35" i="3" a="1"/>
  <c r="V132" i="3" a="1"/>
  <c r="N69" i="3" a="1"/>
  <c r="V122" i="3" a="1"/>
  <c r="O36" i="16" a="1"/>
  <c r="U176" i="13" a="1"/>
  <c r="J11" i="3" a="1"/>
  <c r="V130" i="3" a="1"/>
  <c r="V125" i="3" a="1"/>
  <c r="E33" i="3" a="1"/>
  <c r="S9" i="3" a="1"/>
  <c r="U181" i="13" a="1"/>
  <c r="E41" i="3" a="1"/>
  <c r="I127" i="3" a="1"/>
  <c r="V128" i="3" a="1"/>
  <c r="V126" i="3" a="1"/>
  <c r="K60" i="16"/>
  <c r="U143" i="16" a="1"/>
  <c r="N71" i="3" a="1"/>
  <c r="V131" i="3" a="1"/>
  <c r="I122" i="3" a="1"/>
  <c r="I126" i="3" a="1"/>
  <c r="I128" i="3" a="1"/>
  <c r="U148" i="16" a="1"/>
  <c r="V133" i="3" a="1"/>
  <c r="I124" i="3" a="1"/>
  <c r="G9" i="3" a="1"/>
  <c r="I125" i="3" a="1"/>
  <c r="V134" i="3" a="1"/>
  <c r="I123" i="3" a="1"/>
  <c r="V124" i="3" a="1"/>
  <c r="O28" i="16" a="1"/>
  <c r="O11" i="16" a="1"/>
  <c r="V127" i="3" a="1"/>
  <c r="O98" i="3" a="1"/>
  <c r="V129" i="3" a="1"/>
  <c r="O16" i="16" a="1"/>
  <c r="V123" i="3" a="1"/>
  <c r="U148" i="16" l="1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V164" i="13" a="1"/>
  <c r="U194" i="13" a="1"/>
  <c r="N39" i="3" a="1"/>
  <c r="N41" i="3" a="1"/>
  <c r="J9" i="3" a="1"/>
  <c r="U161" i="16" a="1"/>
  <c r="N33" i="3" a="1"/>
  <c r="V131" i="16" a="1"/>
  <c r="N35" i="3" a="1"/>
  <c r="V9" i="3" a="1"/>
  <c r="V131" i="16" l="1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Q176" i="16" s="1"/>
  <c r="I175" i="16" s="1"/>
  <c r="J133" i="16"/>
  <c r="X55" i="13"/>
  <c r="V70" i="13"/>
  <c r="V72" i="13" s="1"/>
  <c r="S181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AD54" i="10" a="1"/>
  <c r="AD25" i="10" a="1"/>
  <c r="J16" i="10" a="1"/>
  <c r="AD11" i="10" a="1"/>
  <c r="AD30" i="10" a="1"/>
  <c r="I210" i="13" a="1"/>
  <c r="AD56" i="10" a="1"/>
  <c r="J17" i="10" a="1"/>
  <c r="AD35" i="10" a="1"/>
  <c r="X72" i="13"/>
  <c r="AE47" i="10" a="1"/>
  <c r="AE46" i="10" a="1"/>
  <c r="AD47" i="12" a="1"/>
  <c r="N101" i="10" a="1"/>
  <c r="AD8" i="10" a="1"/>
  <c r="I177" i="16" a="1"/>
  <c r="N39" i="10" a="1"/>
  <c r="R101" i="10" a="1"/>
  <c r="U70" i="10" a="1"/>
  <c r="B88" i="13" l="1"/>
  <c r="I177" i="16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AD108" i="11" s="1"/>
  <c r="J23" i="1"/>
  <c r="T151" i="11"/>
  <c r="D139" i="11"/>
  <c r="D13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36" i="1"/>
  <c r="X83" i="13"/>
  <c r="P16" i="10" a="1"/>
  <c r="AE67" i="11" a="1"/>
  <c r="AD75" i="1" a="1"/>
  <c r="J16" i="11" a="1"/>
  <c r="J20" i="12" a="1"/>
  <c r="S30" i="11" a="1"/>
  <c r="AE59" i="12" a="1"/>
  <c r="AD77" i="1" a="1"/>
  <c r="R122" i="11" a="1"/>
  <c r="AD77" i="11" a="1"/>
  <c r="S26" i="1" a="1"/>
  <c r="AE67" i="1" a="1"/>
  <c r="AD11" i="11" a="1"/>
  <c r="U57" i="10" a="1"/>
  <c r="AD59" i="1" a="1"/>
  <c r="AD66" i="12" a="1"/>
  <c r="AD57" i="11" a="1"/>
  <c r="N122" i="11" a="1"/>
  <c r="AD75" i="11" a="1"/>
  <c r="X72" i="16"/>
  <c r="X85" i="13"/>
  <c r="J28" i="12" a="1"/>
  <c r="N51" i="12" a="1"/>
  <c r="R124" i="1" a="1"/>
  <c r="U47" i="10" a="1"/>
  <c r="AD37" i="1" a="1"/>
  <c r="U49" i="10" a="1"/>
  <c r="AE68" i="11" a="1"/>
  <c r="AD42" i="12" a="1"/>
  <c r="AD57" i="1" a="1"/>
  <c r="AE49" i="11" a="1"/>
  <c r="I113" i="13"/>
  <c r="Q34" i="10" a="1"/>
  <c r="AE50" i="11" a="1"/>
  <c r="AD42" i="11" a="1"/>
  <c r="R113" i="12" a="1"/>
  <c r="S26" i="12" a="1"/>
  <c r="J16" i="12" a="1"/>
  <c r="U82" i="12" a="1"/>
  <c r="O124" i="1" a="1"/>
  <c r="AD59" i="11" a="1"/>
  <c r="J20" i="11" a="1"/>
  <c r="I117" i="13" a="1"/>
  <c r="AE88" i="10" a="1"/>
  <c r="J17" i="11" a="1"/>
  <c r="O29" i="10" a="1"/>
  <c r="AE49" i="1" a="1"/>
  <c r="Q39" i="10" a="1"/>
  <c r="J24" i="12" a="1"/>
  <c r="P57" i="10" a="1"/>
  <c r="O24" i="10" a="1"/>
  <c r="Q46" i="12" a="1"/>
  <c r="AD42" i="1" a="1"/>
  <c r="X86" i="13"/>
  <c r="S30" i="1" a="1"/>
  <c r="AD37" i="11" a="1"/>
  <c r="S30" i="12" a="1"/>
  <c r="AD11" i="12" a="1"/>
  <c r="J17" i="12" a="1"/>
  <c r="AE58" i="12" a="1"/>
  <c r="X84" i="13"/>
  <c r="U76" i="10" a="1"/>
  <c r="S26" i="11" a="1"/>
  <c r="J24" i="11" a="1"/>
  <c r="X87" i="13"/>
  <c r="AE68" i="1" a="1"/>
  <c r="U91" i="11" a="1"/>
  <c r="U69" i="10" a="1"/>
  <c r="N113" i="12" a="1"/>
  <c r="AD68" i="12" a="1"/>
  <c r="AD8" i="11" a="1"/>
  <c r="AD8" i="12" a="1"/>
  <c r="J28" i="11" a="1"/>
  <c r="AD37" i="12" a="1"/>
  <c r="AE50" i="1" a="1"/>
  <c r="E84" i="16" l="1"/>
  <c r="AD103" i="11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G93" i="13"/>
  <c r="I84" i="16" a="1"/>
  <c r="I80" i="16"/>
  <c r="G96" i="13"/>
  <c r="Q51" i="12" a="1"/>
  <c r="G92" i="13"/>
  <c r="AE100" i="12" a="1"/>
  <c r="P31" i="11" a="1"/>
  <c r="G95" i="13"/>
  <c r="U78" i="11" a="1"/>
  <c r="P16" i="11" a="1"/>
  <c r="U78" i="1" a="1"/>
  <c r="W101" i="10" a="1"/>
  <c r="U52" i="11" a="1"/>
  <c r="U68" i="1" a="1"/>
  <c r="G94" i="13"/>
  <c r="O36" i="11" a="1"/>
  <c r="O41" i="12" a="1"/>
  <c r="P17" i="12" a="1"/>
  <c r="P31" i="12" a="1"/>
  <c r="P60" i="1" a="1"/>
  <c r="U59" i="12" a="1"/>
  <c r="J33" i="10" a="1"/>
  <c r="O41" i="1" a="1"/>
  <c r="F155" i="13" a="1"/>
  <c r="U52" i="1" a="1"/>
  <c r="P27" i="11" a="1"/>
  <c r="P20" i="12" a="1"/>
  <c r="U86" i="10" a="1"/>
  <c r="P16" i="1" a="1"/>
  <c r="P27" i="12" a="1"/>
  <c r="U50" i="1" a="1"/>
  <c r="U60" i="1" a="1"/>
  <c r="L101" i="10" a="1"/>
  <c r="P16" i="12" a="1"/>
  <c r="AE109" i="11" a="1"/>
  <c r="P78" i="1" a="1"/>
  <c r="G7" i="10" a="1"/>
  <c r="O41" i="11" a="1"/>
  <c r="P69" i="12" a="1"/>
  <c r="O36" i="12" a="1"/>
  <c r="U61" i="12" a="1"/>
  <c r="U70" i="11" a="1"/>
  <c r="O36" i="1" a="1"/>
  <c r="U70" i="1" a="1"/>
  <c r="E12" i="10" a="1"/>
  <c r="P20" i="11" a="1"/>
  <c r="U69" i="12" a="1"/>
  <c r="P60" i="11" a="1"/>
  <c r="U60" i="11" a="1"/>
  <c r="P78" i="11" a="1"/>
  <c r="U68" i="11" a="1"/>
  <c r="U50" i="11" a="1"/>
  <c r="P17" i="11" a="1"/>
  <c r="I84" i="16" l="1"/>
  <c r="I118" i="16"/>
  <c r="AD121" i="16" s="1"/>
  <c r="AD122" i="16" s="1"/>
  <c r="F118" i="16" s="1"/>
  <c r="I126" i="16"/>
  <c r="AD128" i="16" s="1"/>
  <c r="F155" i="13"/>
  <c r="F146" i="13"/>
  <c r="O36" i="11"/>
  <c r="O41" i="11"/>
  <c r="F36" i="11"/>
  <c r="F41" i="11"/>
  <c r="I46" i="3"/>
  <c r="AD53" i="3"/>
  <c r="U49" i="3" s="1"/>
  <c r="I49" i="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E46" i="3" a="1"/>
  <c r="G7" i="12" a="1"/>
  <c r="U97" i="11" a="1"/>
  <c r="H108" i="10" a="1"/>
  <c r="G7" i="11" a="1"/>
  <c r="F122" i="16" a="1"/>
  <c r="L46" i="3" a="1"/>
  <c r="E49" i="3" a="1"/>
  <c r="W113" i="12" a="1"/>
  <c r="W124" i="1" a="1"/>
  <c r="E12" i="11" a="1"/>
  <c r="E12" i="12" a="1"/>
  <c r="W122" i="11" a="1"/>
  <c r="U81" i="12" a="1"/>
  <c r="F51" i="10" a="1"/>
  <c r="J18" i="11" a="1"/>
  <c r="U107" i="11" a="1"/>
  <c r="F57" i="10" a="1"/>
  <c r="J18" i="12" a="1"/>
  <c r="U90" i="11" a="1"/>
  <c r="U98" i="12" a="1"/>
  <c r="J17" i="1" a="1"/>
  <c r="K146" i="13" a="1"/>
  <c r="U88" i="12" a="1"/>
  <c r="L49" i="3" a="1"/>
  <c r="F122" i="16" l="1"/>
  <c r="F113" i="16"/>
  <c r="K146" i="13"/>
  <c r="Q210" i="13"/>
  <c r="S215" i="13"/>
  <c r="Q129" i="11"/>
  <c r="U129" i="11" s="1"/>
  <c r="K149" i="11"/>
  <c r="Q141" i="11"/>
  <c r="U141" i="11" s="1"/>
  <c r="E49" i="3"/>
  <c r="L49" i="3"/>
  <c r="E46" i="3"/>
  <c r="L46" i="3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AD90" i="11"/>
  <c r="L121" i="11"/>
  <c r="O114" i="11"/>
  <c r="J17" i="1"/>
  <c r="F78" i="11" a="1"/>
  <c r="K113" i="16" a="1"/>
  <c r="L122" i="11" a="1"/>
  <c r="P18" i="12" a="1"/>
  <c r="K45" i="12" a="1"/>
  <c r="F60" i="11" a="1"/>
  <c r="L113" i="12" a="1"/>
  <c r="K45" i="11" a="1"/>
  <c r="P18" i="11" a="1"/>
  <c r="F54" i="11" a="1"/>
  <c r="F69" i="12" a="1"/>
  <c r="P17" i="1" a="1"/>
  <c r="L149" i="11" l="1"/>
  <c r="K113" i="16"/>
  <c r="Q177" i="16"/>
  <c r="S182" i="16"/>
  <c r="AD217" i="13"/>
  <c r="AC214" i="13"/>
  <c r="AC215" i="13"/>
  <c r="U215" i="13" s="1"/>
  <c r="AD216" i="13"/>
  <c r="AD218" i="13"/>
  <c r="F45" i="11"/>
  <c r="Q128" i="11" s="1"/>
  <c r="U128" i="11" s="1"/>
  <c r="F54" i="11"/>
  <c r="F63" i="11"/>
  <c r="AD83" i="11" s="1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I63" i="10" a="1"/>
  <c r="U91" i="1" a="1"/>
  <c r="AD11" i="1" a="1"/>
  <c r="P17" i="10" a="1"/>
  <c r="P21" i="11" a="1"/>
  <c r="AD8" i="1" a="1"/>
  <c r="J20" i="1" a="1"/>
  <c r="P21" i="12" a="1"/>
  <c r="AD184" i="16" l="1"/>
  <c r="AD185" i="16"/>
  <c r="AD183" i="16"/>
  <c r="AC182" i="16"/>
  <c r="U182" i="16" s="1"/>
  <c r="AC181" i="16"/>
  <c r="AC219" i="13"/>
  <c r="M219" i="13" s="1"/>
  <c r="U214" i="13"/>
  <c r="Q140" i="11"/>
  <c r="U140" i="11" s="1"/>
  <c r="L63" i="11"/>
  <c r="P17" i="10"/>
  <c r="O68" i="10"/>
  <c r="L54" i="12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D124" i="10"/>
  <c r="D123" i="10"/>
  <c r="D26" i="4"/>
  <c r="AC26" i="4" s="1"/>
  <c r="AE26" i="4" s="1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U68" i="10" a="1"/>
  <c r="P20" i="1" a="1"/>
  <c r="U80" i="12" a="1"/>
  <c r="U89" i="11" a="1"/>
  <c r="P219" i="13"/>
  <c r="U181" i="16" l="1"/>
  <c r="AC186" i="16"/>
  <c r="M186" i="16" s="1"/>
  <c r="E226" i="13"/>
  <c r="S226" i="13" s="1"/>
  <c r="U68" i="10"/>
  <c r="J100" i="10"/>
  <c r="O103" i="10" s="1"/>
  <c r="O72" i="10"/>
  <c r="P111" i="10"/>
  <c r="P119" i="10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M18" i="1"/>
  <c r="E11" i="1"/>
  <c r="P20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15" i="3"/>
  <c r="K16" i="3"/>
  <c r="O106" i="1"/>
  <c r="AD107" i="1" s="1"/>
  <c r="AD108" i="1" s="1"/>
  <c r="J22" i="1"/>
  <c r="AD106" i="1" s="1"/>
  <c r="AD109" i="1" s="1"/>
  <c r="U226" i="13" a="1"/>
  <c r="I7" i="1" a="1"/>
  <c r="U93" i="11" a="1"/>
  <c r="E12" i="1" a="1"/>
  <c r="U72" i="10" a="1"/>
  <c r="U103" i="10" a="1"/>
  <c r="AE109" i="1" a="1"/>
  <c r="U124" i="11" a="1"/>
  <c r="U84" i="12" a="1"/>
  <c r="U115" i="12" a="1"/>
  <c r="P186" i="16"/>
  <c r="E193" i="16" l="1"/>
  <c r="S193" i="16" s="1"/>
  <c r="F31" i="6"/>
  <c r="G31" i="6" s="1"/>
  <c r="U226" i="13"/>
  <c r="AG238" i="13"/>
  <c r="S235" i="13" s="1"/>
  <c r="AG239" i="13"/>
  <c r="S236" i="13" s="1"/>
  <c r="AE109" i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E12" i="1"/>
  <c r="R72" i="10"/>
  <c r="AD76" i="10" s="1"/>
  <c r="O77" i="10" s="1"/>
  <c r="AD80" i="10"/>
  <c r="AD81" i="10" s="1"/>
  <c r="U72" i="10"/>
  <c r="U103" i="10"/>
  <c r="J97" i="10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H31" i="6"/>
  <c r="I31" i="6" s="1"/>
  <c r="J31" i="6" s="1"/>
  <c r="AD13" i="4"/>
  <c r="AE9" i="4" s="1"/>
  <c r="AL27" i="4"/>
  <c r="AL24" i="4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2" i="1"/>
  <c r="U193" i="16" a="1"/>
  <c r="U77" i="10" a="1"/>
  <c r="J90" i="3" a="1"/>
  <c r="U89" i="12" a="1"/>
  <c r="U103" i="11" a="1"/>
  <c r="J24" i="1" a="1"/>
  <c r="U94" i="12" a="1"/>
  <c r="P86" i="3" a="1"/>
  <c r="I125" i="12" a="1"/>
  <c r="P84" i="3" a="1"/>
  <c r="J89" i="3" a="1"/>
  <c r="J28" i="1" a="1"/>
  <c r="U236" i="13" a="1"/>
  <c r="L60" i="3" a="1"/>
  <c r="U98" i="11" a="1"/>
  <c r="U235" i="13" a="1"/>
  <c r="E60" i="3" a="1"/>
  <c r="U193" i="16" l="1"/>
  <c r="AG206" i="16"/>
  <c r="S203" i="16" s="1"/>
  <c r="AG205" i="16"/>
  <c r="S202" i="16" s="1"/>
  <c r="AM24" i="4"/>
  <c r="AG9" i="4"/>
  <c r="AM9" i="4"/>
  <c r="AP11" i="4" s="1"/>
  <c r="AL9" i="4"/>
  <c r="AK9" i="4"/>
  <c r="AP10" i="4" s="1"/>
  <c r="AJ9" i="4"/>
  <c r="AI9" i="4"/>
  <c r="AH9" i="4"/>
  <c r="AF9" i="4"/>
  <c r="U236" i="13"/>
  <c r="U235" i="13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AD83" i="10"/>
  <c r="O82" i="10" s="1"/>
  <c r="U77" i="10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AJ10" i="4"/>
  <c r="AP8" i="4"/>
  <c r="AH10" i="4"/>
  <c r="AF10" i="4"/>
  <c r="AP9" i="4"/>
  <c r="AL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203" i="16" a="1"/>
  <c r="I142" i="11" a="1"/>
  <c r="U202" i="16" a="1"/>
  <c r="U116" i="11" a="1"/>
  <c r="P27" i="1" a="1"/>
  <c r="P31" i="1" a="1"/>
  <c r="V86" i="11" a="1"/>
  <c r="I130" i="11" a="1"/>
  <c r="I133" i="12" a="1"/>
  <c r="U82" i="10" a="1"/>
  <c r="I121" i="12" a="1"/>
  <c r="U107" i="12" a="1"/>
  <c r="V77" i="12" a="1"/>
  <c r="U202" i="16" l="1"/>
  <c r="U203" i="16"/>
  <c r="I130" i="11"/>
  <c r="J88" i="11"/>
  <c r="F86" i="11"/>
  <c r="I132" i="11" s="1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Y65" i="10" a="1"/>
  <c r="I134" i="11" a="1"/>
  <c r="J65" i="10" a="1"/>
  <c r="U95" i="10" a="1"/>
  <c r="I134" i="11" l="1"/>
  <c r="T133" i="11"/>
  <c r="V133" i="11" s="1"/>
  <c r="J67" i="10"/>
  <c r="U95" i="10"/>
  <c r="Y65" i="10"/>
  <c r="J65" i="10"/>
  <c r="P115" i="10"/>
  <c r="V124" i="12"/>
  <c r="Y124" i="12"/>
  <c r="Y133" i="1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C35" i="4" l="1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B46" i="4" l="1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F72" i="1" s="1"/>
  <c r="AD72" i="1" s="1"/>
  <c r="I76" i="1"/>
  <c r="F76" i="1" l="1"/>
  <c r="AF78" i="1"/>
  <c r="AD78" i="1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U90" i="1" a="1"/>
  <c r="F78" i="1" a="1"/>
  <c r="F68" i="1" l="1"/>
  <c r="F63" i="1" s="1"/>
  <c r="AD83" i="1" s="1"/>
  <c r="AD84" i="1" s="1"/>
  <c r="F78" i="1"/>
  <c r="U90" i="1"/>
  <c r="AD90" i="1"/>
  <c r="O97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U131" i="1"/>
  <c r="U97" i="1" a="1"/>
  <c r="L124" i="1" a="1"/>
  <c r="N83" i="1" l="1"/>
  <c r="I83" i="1"/>
  <c r="L124" i="1"/>
  <c r="U97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J18" i="1" a="1"/>
  <c r="U107" i="1" a="1"/>
  <c r="U107" i="1" l="1"/>
  <c r="J18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P18" i="1" a="1"/>
  <c r="J21" i="1" a="1"/>
  <c r="J21" i="1" l="1"/>
  <c r="P18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50" i="1"/>
  <c r="AD53" i="1" s="1"/>
  <c r="AD54" i="1" s="1"/>
  <c r="F50" i="1" s="1"/>
  <c r="I58" i="1"/>
  <c r="AD60" i="1" s="1"/>
  <c r="F54" i="1" a="1"/>
  <c r="F54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F60" i="1" a="1"/>
  <c r="K45" i="1" a="1"/>
  <c r="K45" i="1" l="1"/>
  <c r="Q142" i="1"/>
  <c r="Q130" i="1"/>
  <c r="F60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L63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2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H120" i="10" a="1"/>
  <c r="I144" i="1" a="1"/>
  <c r="U89" i="1" a="1"/>
  <c r="H120" i="10" l="1"/>
  <c r="I144" i="1"/>
  <c r="T152" i="1"/>
  <c r="M159" i="1" s="1"/>
  <c r="R163" i="1" s="1"/>
  <c r="AD16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T153" i="1" a="1"/>
  <c r="U126" i="1" a="1"/>
  <c r="U93" i="1" a="1"/>
  <c r="AD159" i="1" l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V86" i="1" a="1"/>
  <c r="I13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2" i="1"/>
  <c r="AD163" i="1" s="1"/>
  <c r="S160" i="1" s="1"/>
  <c r="AD171" i="1" s="1"/>
  <c r="U160" i="1" a="1"/>
  <c r="U159" i="1" a="1"/>
  <c r="AG177" i="1" l="1"/>
  <c r="AD170" i="1"/>
  <c r="AD172" i="1" s="1"/>
  <c r="U160" i="1"/>
  <c r="U159" i="1"/>
  <c r="AD173" i="1" l="1"/>
  <c r="AG173" i="1" s="1"/>
  <c r="S169" i="1" l="1"/>
  <c r="AG179" i="1"/>
  <c r="AG174" i="1"/>
  <c r="U169" i="1" a="1"/>
  <c r="U169" i="1" l="1"/>
  <c r="S170" i="1"/>
  <c r="AG180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<sst xmlns="http://schemas.openxmlformats.org/spreadsheetml/2006/main" count="2274" uniqueCount="585">
  <si>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</si>
  <si>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</si>
  <si>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</si>
  <si>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</si>
  <si>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</si>
  <si>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</si>
  <si>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</si>
  <si>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</si>
  <si>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</si>
  <si>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</si>
  <si>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</si>
  <si>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</si>
  <si>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</si>
  <si>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</si>
  <si>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</si>
  <si>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</si>
  <si>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</si>
  <si>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</si>
  <si>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</si>
  <si>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</si>
  <si>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</si>
  <si>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</si>
  <si>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</si>
  <si>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</si>
  <si>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</si>
  <si>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</si>
  <si>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</si>
  <si>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</si>
  <si>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</si>
  <si>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</si>
  <si>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</si>
  <si>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</si>
  <si>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</si>
  <si>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</si>
  <si>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</si>
  <si>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</si>
  <si>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</si>
  <si>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</si>
  <si>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</si>
  <si>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</si>
  <si>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</si>
  <si>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</si>
  <si>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</si>
  <si>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</si>
  <si>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</si>
  <si>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</si>
  <si>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</si>
  <si>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</si>
  <si>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</si>
  <si>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</si>
  <si>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</si>
  <si>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</si>
  <si>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</si>
  <si>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</si>
  <si>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</si>
  <si>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</si>
  <si>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</si>
  <si>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</si>
  <si>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</si>
  <si>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</si>
  <si>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</si>
  <si>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</si>
  <si>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</si>
  <si>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</si>
  <si>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</si>
  <si>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</si>
  <si>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</si>
  <si>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</si>
  <si>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</si>
  <si>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</si>
  <si>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</si>
  <si>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</si>
  <si>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</si>
  <si>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</si>
  <si>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</si>
  <si>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</si>
  <si>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</si>
  <si>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</si>
  <si>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</si>
  <si>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</si>
  <si>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</si>
  <si>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</si>
  <si>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</si>
  <si>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</si>
  <si>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</si>
  <si>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</si>
  <si>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</si>
  <si>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</si>
  <si>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</si>
  <si>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</si>
  <si>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</si>
  <si>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</si>
  <si>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</si>
  <si>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</si>
  <si>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</si>
  <si>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</si>
  <si>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</si>
  <si>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</si>
  <si>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</si>
  <si>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</si>
  <si>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</si>
  <si>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</si>
  <si>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</si>
  <si>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</si>
  <si>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</si>
  <si>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</si>
  <si>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</si>
  <si>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</si>
  <si>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</si>
  <si>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</si>
  <si>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</si>
  <si>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</si>
  <si>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</si>
  <si>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</si>
  <si>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</si>
  <si>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</si>
  <si>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</si>
  <si>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</si>
  <si>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</si>
  <si>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</si>
  <si>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</si>
  <si>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</si>
  <si>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</si>
  <si>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</si>
  <si>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</si>
  <si>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</si>
  <si>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</si>
  <si>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</si>
  <si>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</si>
  <si>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</si>
  <si>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</si>
  <si>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</si>
  <si>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</si>
  <si>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</si>
  <si>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</si>
  <si>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</si>
  <si>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</si>
  <si>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</si>
  <si>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</si>
  <si>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</si>
  <si>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</si>
  <si>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</si>
  <si>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</si>
  <si>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</si>
  <si>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</si>
  <si>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</si>
  <si>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</si>
  <si>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</si>
  <si>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</si>
  <si>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</si>
  <si>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</si>
  <si>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</si>
  <si>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</si>
  <si>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</si>
  <si>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</si>
  <si>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</si>
  <si>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</si>
  <si>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</si>
  <si>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</si>
  <si>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</si>
  <si>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</si>
  <si>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</si>
  <si>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</si>
  <si>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</si>
  <si>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</si>
  <si>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</si>
  <si>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</si>
  <si>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</si>
  <si>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</si>
  <si>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</si>
  <si>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</si>
  <si>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</si>
  <si>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</si>
  <si>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</si>
  <si>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</si>
  <si>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</si>
  <si>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</si>
  <si>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</si>
  <si>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</si>
  <si>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</si>
  <si>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</si>
  <si>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</si>
  <si>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</si>
  <si>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</si>
  <si>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</si>
  <si>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</si>
  <si>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</si>
  <si>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</si>
  <si>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</si>
  <si>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</si>
  <si>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</si>
  <si>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</si>
  <si>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</si>
  <si>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</si>
  <si>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</si>
  <si>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</si>
  <si>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</si>
  <si>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</si>
  <si>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</si>
  <si>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</si>
  <si>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</si>
  <si>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</si>
  <si>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</si>
  <si>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</si>
  <si>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</si>
  <si>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</si>
  <si>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</si>
  <si>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</si>
  <si>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</si>
  <si>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</si>
  <si>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</si>
  <si>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</si>
  <si>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</si>
  <si>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</si>
  <si>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</si>
  <si>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</si>
  <si>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</si>
  <si>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</si>
  <si>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</si>
  <si>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</si>
  <si>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</si>
  <si>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</si>
  <si>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</si>
  <si>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</si>
  <si>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</si>
  <si>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</si>
  <si>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</si>
  <si>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</si>
  <si>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</si>
  <si>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</si>
  <si>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</si>
  <si>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</si>
  <si>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</si>
  <si>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</si>
  <si>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</si>
  <si>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</si>
  <si>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</si>
  <si>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</si>
  <si>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</si>
  <si>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</si>
  <si>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</si>
  <si>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</si>
  <si>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</si>
  <si>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</si>
  <si>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</si>
  <si>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</si>
  <si>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</si>
  <si>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</si>
  <si>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</si>
  <si>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</si>
  <si>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</si>
  <si>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</si>
  <si>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</si>
  <si>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</si>
  <si>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</si>
  <si>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</si>
  <si>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</si>
  <si>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</si>
  <si>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</si>
  <si>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</si>
  <si>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</si>
  <si>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</si>
  <si>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</si>
  <si>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</si>
  <si>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</si>
  <si>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</si>
  <si>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</si>
  <si>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</si>
  <si>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</si>
  <si>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</si>
  <si>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</si>
  <si>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</si>
  <si>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</si>
  <si>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</si>
  <si>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</si>
  <si>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</si>
  <si>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</si>
  <si>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</si>
  <si>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</si>
  <si>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</si>
  <si>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</si>
  <si>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</si>
  <si>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</si>
  <si>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</si>
  <si>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</si>
  <si>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</si>
  <si>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</si>
  <si>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</si>
  <si>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</si>
  <si>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</si>
  <si>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</si>
  <si>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</si>
  <si>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</si>
  <si>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</si>
  <si>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</si>
  <si>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</si>
  <si>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</si>
  <si>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</si>
  <si>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</si>
  <si>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</si>
  <si>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</si>
  <si>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</si>
  <si>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</si>
  <si>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</si>
  <si>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</si>
  <si>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</si>
  <si>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</si>
  <si>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</si>
  <si>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</si>
  <si>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</si>
  <si>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</si>
  <si>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</si>
  <si>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</si>
  <si>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</si>
  <si>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</si>
  <si>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</si>
  <si>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</si>
  <si>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</si>
  <si>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</si>
  <si>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</si>
  <si>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</si>
  <si>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</si>
  <si>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</si>
  <si>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</si>
  <si>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</si>
  <si>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</si>
  <si>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</si>
  <si>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</si>
  <si>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</si>
  <si>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</si>
  <si>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</si>
  <si>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</si>
  <si>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</si>
  <si>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</si>
  <si>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</si>
  <si>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</si>
  <si>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</si>
  <si>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</si>
  <si>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</si>
  <si>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</si>
  <si>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</si>
  <si>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</si>
  <si>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</si>
  <si>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</si>
  <si>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</si>
  <si>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</si>
  <si>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</si>
  <si>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</si>
  <si>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</si>
  <si>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</si>
  <si>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</si>
  <si>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</si>
  <si>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</si>
  <si>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</si>
  <si>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</si>
  <si>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</si>
  <si>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</si>
  <si>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</si>
  <si>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</si>
  <si>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</si>
  <si>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</si>
  <si>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</si>
  <si>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</si>
  <si>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</si>
  <si>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</si>
  <si>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</si>
  <si>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</si>
  <si>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</si>
  <si>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</si>
  <si>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</si>
  <si>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</si>
  <si>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</si>
  <si>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</si>
  <si>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</si>
  <si>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</si>
  <si>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</si>
  <si>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</si>
  <si>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</si>
  <si>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</si>
  <si>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</si>
  <si>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</si>
  <si>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</si>
  <si>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</si>
  <si>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</si>
  <si>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</si>
  <si>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</si>
  <si>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</si>
  <si>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</si>
  <si>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</si>
  <si>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</si>
  <si>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</si>
  <si>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</si>
  <si>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</si>
  <si>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</si>
  <si>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</si>
  <si>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</si>
  <si>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</si>
  <si>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</si>
  <si>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</si>
  <si>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</si>
  <si>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</si>
  <si>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</si>
  <si>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</si>
  <si>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</si>
  <si>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</si>
  <si>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</si>
  <si>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</si>
  <si>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</si>
  <si>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</si>
  <si>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</si>
  <si>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</si>
  <si>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</si>
  <si>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</si>
  <si>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</si>
  <si>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</si>
  <si>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</si>
  <si>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</si>
  <si>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</si>
  <si>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</si>
  <si>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</si>
  <si>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</si>
  <si>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</si>
  <si>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</si>
  <si>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</si>
  <si>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</si>
  <si>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</si>
  <si>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</si>
  <si>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</si>
  <si>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</si>
  <si>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</si>
  <si>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</si>
  <si>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</si>
  <si>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</si>
  <si>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</si>
  <si>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</si>
  <si>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</si>
  <si>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</si>
  <si>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</si>
  <si>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</si>
  <si>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</si>
  <si>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</si>
  <si>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</si>
  <si>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</si>
  <si>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</si>
  <si>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</si>
  <si>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</si>
  <si>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</si>
  <si>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</si>
  <si>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</si>
  <si>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</si>
  <si>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</si>
  <si>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</si>
  <si>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</si>
  <si>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</si>
  <si>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</si>
  <si>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</si>
  <si>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</si>
  <si>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</si>
  <si>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</si>
  <si>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</si>
  <si>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</si>
  <si>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</si>
  <si>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</si>
  <si>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</si>
  <si>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</si>
  <si>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</si>
  <si>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</si>
  <si>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</si>
  <si>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</si>
  <si>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</si>
  <si>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</si>
  <si>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</si>
  <si>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</si>
  <si>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</si>
  <si>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</si>
  <si>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</si>
  <si>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</si>
  <si>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</si>
  <si>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</si>
  <si>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</si>
  <si>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</si>
  <si>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</si>
  <si>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</si>
  <si>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</si>
  <si>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</si>
  <si>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</si>
  <si>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</si>
  <si>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</si>
  <si>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</si>
  <si>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</si>
  <si>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</si>
  <si>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</si>
  <si>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</si>
  <si>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</si>
  <si>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</si>
  <si>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</si>
  <si>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</si>
  <si>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</si>
  <si>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</si>
  <si>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</si>
  <si>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</si>
  <si>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</si>
  <si>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</si>
  <si>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</si>
  <si>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</si>
  <si>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</si>
  <si>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</si>
  <si>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</si>
  <si>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23°08,3</t>
  </si>
  <si>
    <t>344°03,8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</si>
  <si>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</si>
  <si>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</si>
  <si>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</si>
  <si>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</si>
  <si>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</si>
  <si>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</si>
  <si>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</si>
  <si>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</si>
  <si>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</si>
  <si>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</si>
  <si>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</si>
  <si>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</si>
  <si>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</si>
  <si>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</si>
  <si>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</si>
  <si>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</si>
  <si>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</si>
  <si>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</si>
  <si>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</si>
  <si>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</si>
  <si>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</si>
  <si>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</si>
  <si>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</si>
  <si>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</si>
  <si>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</si>
  <si>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</si>
  <si>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</si>
  <si>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</si>
  <si>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</si>
  <si>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</si>
  <si>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</si>
  <si>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</si>
  <si>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</si>
  <si>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</si>
  <si>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</si>
  <si>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</si>
  <si>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</si>
  <si>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</si>
  <si>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</si>
  <si>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</si>
  <si>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</si>
  <si>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</si>
  <si>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</si>
  <si>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</si>
  <si>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</si>
  <si>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</si>
  <si>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</si>
  <si>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</si>
  <si>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</si>
  <si>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</si>
  <si>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</si>
  <si>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</si>
  <si>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</si>
  <si>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</si>
  <si>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</si>
  <si>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</si>
  <si>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</si>
  <si>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</si>
  <si>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</si>
  <si>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</si>
  <si>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</si>
  <si>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</si>
  <si>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</si>
  <si>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</si>
  <si>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</si>
  <si>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</si>
  <si>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-1,5'</t>
  </si>
  <si>
    <t>11:58:31</t>
  </si>
  <si>
    <t>72°43,2</t>
  </si>
  <si>
    <t>39°51'</t>
  </si>
  <si>
    <t>6°05,5'</t>
  </si>
  <si>
    <t>359°03,6</t>
  </si>
  <si>
    <t>Prevu</t>
  </si>
  <si>
    <t>Realisation</t>
  </si>
  <si>
    <t>Est-ce realised?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</si>
</sst>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[$-F800]dddd\,\ mmmm\ dd\,\ yyyy"/>
    <numFmt numFmtId="170" formatCode="d/m/yy\ h:mm;@"/>
    <numFmt numFmtId="171" formatCode="0.0000000"/>
  </numFmts>
  <fonts count="8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indexed="14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</fills>
  <borders count="1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7" borderId="0" applyNumberFormat="0" applyBorder="0" applyAlignment="0" applyProtection="0"/>
    <xf numFmtId="0" fontId="7" fillId="28" borderId="0" applyNumberFormat="0" applyBorder="0" applyAlignment="0" applyProtection="0"/>
    <xf numFmtId="0" fontId="70" fillId="0" borderId="143" applyNumberFormat="0" applyFill="0" applyAlignment="0" applyProtection="0"/>
  </cellStyleXfs>
  <cellXfs count="1171">
    <xf numFmtId="0" fontId="0" fillId="0" borderId="0" xfId="0"/>
    <xf numFmtId="164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4" fontId="9" fillId="8" borderId="0" xfId="0" applyNumberFormat="1" applyFont="1" applyFill="1"/>
    <xf numFmtId="0" fontId="1" fillId="2" borderId="1" xfId="1" applyProtection="1"/>
    <xf numFmtId="164" fontId="9" fillId="0" borderId="0" xfId="0" applyNumberFormat="1" applyFont="1"/>
    <xf numFmtId="164" fontId="1" fillId="2" borderId="1" xfId="1" applyNumberFormat="1" applyProtection="1"/>
    <xf numFmtId="164" fontId="9" fillId="0" borderId="0" xfId="0" applyNumberFormat="1" applyFont="1" applyAlignment="1">
      <alignment horizontal="right"/>
    </xf>
    <xf numFmtId="164" fontId="2" fillId="9" borderId="14" xfId="0" applyNumberFormat="1" applyFont="1" applyFill="1" applyBorder="1"/>
    <xf numFmtId="164" fontId="2" fillId="9" borderId="15" xfId="0" applyNumberFormat="1" applyFont="1" applyFill="1" applyBorder="1"/>
    <xf numFmtId="164" fontId="2" fillId="9" borderId="16" xfId="0" applyNumberFormat="1" applyFont="1" applyFill="1" applyBorder="1"/>
    <xf numFmtId="0" fontId="0" fillId="7" borderId="25" xfId="5" applyFont="1" applyProtection="1"/>
    <xf numFmtId="164" fontId="2" fillId="8" borderId="15" xfId="0" applyNumberFormat="1" applyFont="1" applyFill="1" applyBorder="1"/>
    <xf numFmtId="164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4" fontId="2" fillId="10" borderId="32" xfId="0" applyNumberFormat="1" applyFont="1" applyFill="1" applyBorder="1" applyAlignment="1">
      <alignment horizontal="center" vertical="center"/>
    </xf>
    <xf numFmtId="164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4" fontId="2" fillId="10" borderId="53" xfId="0" applyNumberFormat="1" applyFont="1" applyFill="1" applyBorder="1" applyAlignment="1">
      <alignment horizontal="center" vertical="center"/>
    </xf>
    <xf numFmtId="164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4" fontId="2" fillId="10" borderId="50" xfId="0" applyNumberFormat="1" applyFont="1" applyFill="1" applyBorder="1" applyAlignment="1">
      <alignment horizontal="center" vertical="center"/>
    </xf>
    <xf numFmtId="164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4" fontId="2" fillId="10" borderId="34" xfId="0" applyNumberFormat="1" applyFont="1" applyFill="1" applyBorder="1" applyAlignment="1">
      <alignment horizontal="center" vertical="center"/>
    </xf>
    <xf numFmtId="164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0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0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0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0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0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9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34" fillId="0" borderId="0" xfId="0" applyFont="1"/>
    <xf numFmtId="164" fontId="19" fillId="0" borderId="0" xfId="0" applyNumberFormat="1" applyFont="1" applyAlignment="1">
      <alignment horizontal="center" vertical="center"/>
    </xf>
    <xf numFmtId="164" fontId="19" fillId="0" borderId="0" xfId="0" applyNumberFormat="1" applyFont="1"/>
    <xf numFmtId="164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4" fontId="41" fillId="10" borderId="34" xfId="0" applyNumberFormat="1" applyFont="1" applyFill="1" applyBorder="1" applyAlignment="1">
      <alignment horizontal="center" vertical="center"/>
    </xf>
    <xf numFmtId="164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4" fontId="31" fillId="2" borderId="1" xfId="1" applyNumberFormat="1" applyFont="1" applyProtection="1"/>
    <xf numFmtId="164" fontId="41" fillId="8" borderId="0" xfId="0" applyNumberFormat="1" applyFont="1" applyFill="1"/>
    <xf numFmtId="164" fontId="41" fillId="0" borderId="0" xfId="0" applyNumberFormat="1" applyFont="1"/>
    <xf numFmtId="164" fontId="19" fillId="9" borderId="14" xfId="0" applyNumberFormat="1" applyFont="1" applyFill="1" applyBorder="1"/>
    <xf numFmtId="164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4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4" fontId="19" fillId="4" borderId="0" xfId="0" applyNumberFormat="1" applyFont="1" applyFill="1" applyAlignment="1">
      <alignment horizontal="left"/>
    </xf>
    <xf numFmtId="164" fontId="19" fillId="4" borderId="0" xfId="0" applyNumberFormat="1" applyFont="1" applyFill="1" applyAlignment="1">
      <alignment horizontal="center"/>
    </xf>
    <xf numFmtId="164" fontId="47" fillId="0" borderId="0" xfId="0" applyNumberFormat="1" applyFont="1" applyAlignment="1">
      <alignment horizontal="center" vertical="center"/>
    </xf>
    <xf numFmtId="164" fontId="46" fillId="7" borderId="25" xfId="5" applyNumberFormat="1" applyFont="1" applyProtection="1"/>
    <xf numFmtId="164" fontId="19" fillId="0" borderId="47" xfId="0" applyNumberFormat="1" applyFont="1" applyBorder="1"/>
    <xf numFmtId="164" fontId="19" fillId="0" borderId="47" xfId="0" quotePrefix="1" applyNumberFormat="1" applyFont="1" applyBorder="1"/>
    <xf numFmtId="164" fontId="19" fillId="0" borderId="0" xfId="0" quotePrefix="1" applyNumberFormat="1" applyFont="1"/>
    <xf numFmtId="164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7" fontId="35" fillId="13" borderId="1" xfId="2" quotePrefix="1" applyNumberFormat="1" applyFont="1" applyProtection="1">
      <protection locked="0"/>
    </xf>
    <xf numFmtId="164" fontId="19" fillId="0" borderId="45" xfId="0" quotePrefix="1" applyNumberFormat="1" applyFont="1" applyBorder="1"/>
    <xf numFmtId="164" fontId="19" fillId="0" borderId="67" xfId="0" applyNumberFormat="1" applyFont="1" applyBorder="1" applyAlignment="1">
      <alignment horizontal="center"/>
    </xf>
    <xf numFmtId="164" fontId="19" fillId="9" borderId="67" xfId="0" applyNumberFormat="1" applyFont="1" applyFill="1" applyBorder="1"/>
    <xf numFmtId="164" fontId="19" fillId="0" borderId="0" xfId="0" quotePrefix="1" applyNumberFormat="1" applyFont="1" applyAlignment="1">
      <alignment horizontal="center"/>
    </xf>
    <xf numFmtId="167" fontId="31" fillId="2" borderId="5" xfId="1" applyNumberFormat="1" applyFont="1" applyBorder="1" applyAlignment="1" applyProtection="1"/>
    <xf numFmtId="164" fontId="31" fillId="2" borderId="6" xfId="1" applyNumberFormat="1" applyFont="1" applyBorder="1" applyAlignment="1" applyProtection="1"/>
    <xf numFmtId="168" fontId="31" fillId="2" borderId="5" xfId="1" applyNumberFormat="1" applyFont="1" applyBorder="1" applyAlignment="1" applyProtection="1"/>
    <xf numFmtId="164" fontId="41" fillId="10" borderId="109" xfId="0" applyNumberFormat="1" applyFont="1" applyFill="1" applyBorder="1" applyAlignment="1">
      <alignment horizontal="center" vertical="center"/>
    </xf>
    <xf numFmtId="164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4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7" fontId="36" fillId="11" borderId="5" xfId="6" applyNumberFormat="1" applyFont="1" applyBorder="1" applyAlignment="1" applyProtection="1"/>
    <xf numFmtId="164" fontId="6" fillId="5" borderId="15" xfId="3" applyNumberFormat="1" applyBorder="1" applyAlignment="1" applyProtection="1"/>
    <xf numFmtId="164" fontId="19" fillId="0" borderId="0" xfId="0" applyNumberFormat="1" applyFont="1" applyAlignment="1">
      <alignment horizontal="center"/>
    </xf>
    <xf numFmtId="164" fontId="19" fillId="26" borderId="15" xfId="0" applyNumberFormat="1" applyFont="1" applyFill="1" applyBorder="1"/>
    <xf numFmtId="164" fontId="6" fillId="3" borderId="0" xfId="3" applyNumberFormat="1" applyFill="1" applyProtection="1"/>
    <xf numFmtId="164" fontId="6" fillId="3" borderId="15" xfId="3" applyNumberFormat="1" applyFill="1" applyBorder="1" applyAlignment="1" applyProtection="1"/>
    <xf numFmtId="165" fontId="6" fillId="3" borderId="0" xfId="3" applyNumberFormat="1" applyFill="1" applyProtection="1"/>
    <xf numFmtId="164" fontId="6" fillId="3" borderId="16" xfId="3" applyNumberFormat="1" applyFill="1" applyBorder="1" applyAlignment="1" applyProtection="1"/>
    <xf numFmtId="164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4" fontId="19" fillId="9" borderId="22" xfId="0" applyNumberFormat="1" applyFont="1" applyFill="1" applyBorder="1"/>
    <xf numFmtId="164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4" fontId="19" fillId="0" borderId="0" xfId="0" applyNumberFormat="1" applyFont="1" applyAlignment="1">
      <alignment horizontal="right"/>
    </xf>
    <xf numFmtId="164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4" fontId="19" fillId="10" borderId="113" xfId="0" applyNumberFormat="1" applyFont="1" applyFill="1" applyBorder="1" applyAlignment="1">
      <alignment horizontal="center" vertical="center"/>
    </xf>
    <xf numFmtId="164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4" fontId="19" fillId="10" borderId="76" xfId="0" applyNumberFormat="1" applyFont="1" applyFill="1" applyBorder="1" applyAlignment="1">
      <alignment horizontal="center" vertical="center"/>
    </xf>
    <xf numFmtId="164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4" fontId="19" fillId="3" borderId="15" xfId="0" applyNumberFormat="1" applyFont="1" applyFill="1" applyBorder="1"/>
    <xf numFmtId="164" fontId="31" fillId="3" borderId="1" xfId="1" applyNumberFormat="1" applyFont="1" applyFill="1" applyProtection="1"/>
    <xf numFmtId="164" fontId="1" fillId="3" borderId="1" xfId="1" applyNumberFormat="1" applyFill="1" applyProtection="1"/>
    <xf numFmtId="164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7" borderId="25" xfId="5" applyFont="1" applyAlignment="1" applyProtection="1">
      <alignment horizontal="center" vertical="center"/>
    </xf>
    <xf numFmtId="164" fontId="19" fillId="9" borderId="16" xfId="0" applyNumberFormat="1" applyFont="1" applyFill="1" applyBorder="1"/>
    <xf numFmtId="0" fontId="33" fillId="2" borderId="1" xfId="1" applyFont="1"/>
    <xf numFmtId="164" fontId="19" fillId="28" borderId="47" xfId="11" applyNumberFormat="1" applyFont="1" applyBorder="1" applyAlignment="1" applyProtection="1">
      <alignment vertical="center"/>
    </xf>
    <xf numFmtId="164" fontId="19" fillId="28" borderId="4" xfId="11" applyNumberFormat="1" applyFont="1" applyBorder="1" applyAlignment="1" applyProtection="1">
      <alignment vertical="center"/>
    </xf>
    <xf numFmtId="164" fontId="19" fillId="28" borderId="10" xfId="11" applyNumberFormat="1" applyFont="1" applyBorder="1" applyAlignment="1" applyProtection="1">
      <alignment vertical="center"/>
    </xf>
    <xf numFmtId="164" fontId="19" fillId="28" borderId="12" xfId="11" applyNumberFormat="1" applyFont="1" applyBorder="1" applyAlignment="1" applyProtection="1">
      <alignment vertical="center"/>
    </xf>
    <xf numFmtId="164" fontId="19" fillId="0" borderId="0" xfId="0" applyNumberFormat="1" applyFont="1" applyAlignment="1">
      <alignment vertical="center"/>
    </xf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4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0" fillId="15" borderId="0" xfId="0" applyFont="1" applyFill="1"/>
    <xf numFmtId="0" fontId="16" fillId="5" borderId="0" xfId="3" applyFont="1"/>
    <xf numFmtId="0" fontId="5" fillId="2" borderId="1" xfId="1" applyFont="1"/>
    <xf numFmtId="164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4" fontId="2" fillId="26" borderId="15" xfId="0" applyNumberFormat="1" applyFont="1" applyFill="1" applyBorder="1"/>
    <xf numFmtId="164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4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4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4" fontId="6" fillId="30" borderId="15" xfId="3" applyNumberFormat="1" applyFill="1" applyBorder="1" applyAlignment="1" applyProtection="1"/>
    <xf numFmtId="164" fontId="19" fillId="30" borderId="15" xfId="0" applyNumberFormat="1" applyFont="1" applyFill="1" applyBorder="1" applyAlignment="1">
      <alignment horizontal="center"/>
    </xf>
    <xf numFmtId="164" fontId="19" fillId="30" borderId="15" xfId="0" applyNumberFormat="1" applyFont="1" applyFill="1" applyBorder="1"/>
    <xf numFmtId="164" fontId="19" fillId="9" borderId="0" xfId="0" applyNumberFormat="1" applyFont="1" applyFill="1"/>
    <xf numFmtId="0" fontId="34" fillId="9" borderId="0" xfId="0" applyFont="1" applyFill="1"/>
    <xf numFmtId="164" fontId="19" fillId="0" borderId="2" xfId="0" quotePrefix="1" applyNumberFormat="1" applyFont="1" applyBorder="1"/>
    <xf numFmtId="164" fontId="19" fillId="9" borderId="2" xfId="0" applyNumberFormat="1" applyFont="1" applyFill="1" applyBorder="1"/>
    <xf numFmtId="164" fontId="19" fillId="9" borderId="2" xfId="0" quotePrefix="1" applyNumberFormat="1" applyFont="1" applyFill="1" applyBorder="1"/>
    <xf numFmtId="167" fontId="35" fillId="13" borderId="13" xfId="2" quotePrefix="1" applyNumberFormat="1" applyFont="1" applyBorder="1" applyAlignment="1" applyProtection="1">
      <alignment horizontal="center"/>
      <protection locked="0"/>
    </xf>
    <xf numFmtId="164" fontId="19" fillId="0" borderId="0" xfId="5" quotePrefix="1" applyNumberFormat="1" applyFont="1" applyFill="1" applyBorder="1" applyAlignment="1" applyProtection="1"/>
    <xf numFmtId="164" fontId="28" fillId="32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4" fontId="19" fillId="7" borderId="25" xfId="5" applyNumberFormat="1" applyFont="1" applyProtection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164" fontId="3" fillId="13" borderId="1" xfId="2" applyNumberFormat="1" applyAlignment="1" applyProtection="1"/>
    <xf numFmtId="164" fontId="19" fillId="8" borderId="15" xfId="0" applyNumberFormat="1" applyFont="1" applyFill="1" applyBorder="1"/>
    <xf numFmtId="0" fontId="19" fillId="8" borderId="0" xfId="0" applyFont="1" applyFill="1"/>
    <xf numFmtId="0" fontId="2" fillId="31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4" fontId="36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0" fontId="2" fillId="0" borderId="0" xfId="0" applyFont="1"/>
    <xf numFmtId="0" fontId="0" fillId="0" borderId="0" xfId="0"/>
    <xf numFmtId="167" fontId="70" fillId="7" borderId="143" xfId="12" applyNumberFormat="1" applyFill="1" applyAlignment="1" applyProtection="1"/>
    <xf numFmtId="0" fontId="70" fillId="7" borderId="143" xfId="12" applyFill="1" applyAlignment="1" applyProtection="1">
      <alignment horizontal="center"/>
    </xf>
    <xf numFmtId="0" fontId="1" fillId="2" borderId="3" xfId="1" applyBorder="1" applyProtection="1"/>
    <xf numFmtId="0" fontId="27" fillId="2" borderId="3" xfId="1" applyFont="1" applyBorder="1" applyProtection="1"/>
    <xf numFmtId="164" fontId="6" fillId="35" borderId="0" xfId="3" applyNumberFormat="1" applyFill="1" applyBorder="1" applyProtection="1"/>
    <xf numFmtId="164" fontId="6" fillId="35" borderId="0" xfId="3" applyNumberFormat="1" applyFill="1" applyBorder="1" applyAlignment="1" applyProtection="1"/>
    <xf numFmtId="164" fontId="6" fillId="36" borderId="15" xfId="3" applyNumberFormat="1" applyFill="1" applyBorder="1" applyAlignment="1" applyProtection="1"/>
    <xf numFmtId="0" fontId="0" fillId="33" borderId="0" xfId="0" applyFill="1"/>
    <xf numFmtId="164" fontId="0" fillId="33" borderId="0" xfId="0" applyNumberFormat="1" applyFill="1"/>
    <xf numFmtId="0" fontId="77" fillId="33" borderId="0" xfId="0" applyFont="1" applyFill="1"/>
    <xf numFmtId="0" fontId="0" fillId="37" borderId="0" xfId="0" applyFill="1"/>
    <xf numFmtId="164" fontId="0" fillId="37" borderId="0" xfId="0" applyNumberFormat="1" applyFill="1"/>
    <xf numFmtId="0" fontId="77" fillId="37" borderId="0" xfId="0" applyFont="1" applyFill="1"/>
    <xf numFmtId="0" fontId="0" fillId="30" borderId="0" xfId="0" applyFill="1"/>
    <xf numFmtId="164" fontId="0" fillId="30" borderId="0" xfId="0" applyNumberFormat="1" applyFill="1"/>
    <xf numFmtId="164" fontId="19" fillId="0" borderId="0" xfId="0" applyNumberFormat="1" applyFont="1" applyProtection="1"/>
    <xf numFmtId="0" fontId="0" fillId="0" borderId="0" xfId="0" applyProtection="1"/>
    <xf numFmtId="164" fontId="41" fillId="0" borderId="0" xfId="0" applyNumberFormat="1" applyFont="1" applyProtection="1"/>
    <xf numFmtId="164" fontId="19" fillId="0" borderId="0" xfId="0" applyNumberFormat="1" applyFont="1" applyAlignment="1" applyProtection="1">
      <alignment horizontal="center"/>
    </xf>
    <xf numFmtId="0" fontId="0" fillId="35" borderId="0" xfId="0" applyFill="1" applyBorder="1" applyProtection="1"/>
    <xf numFmtId="164" fontId="19" fillId="9" borderId="14" xfId="0" applyNumberFormat="1" applyFont="1" applyFill="1" applyBorder="1" applyAlignment="1" applyProtection="1">
      <alignment horizontal="left" vertical="center"/>
    </xf>
    <xf numFmtId="164" fontId="19" fillId="9" borderId="15" xfId="0" applyNumberFormat="1" applyFont="1" applyFill="1" applyBorder="1" applyAlignment="1" applyProtection="1">
      <alignment horizontal="left" vertical="center"/>
    </xf>
    <xf numFmtId="164" fontId="19" fillId="30" borderId="15" xfId="0" applyNumberFormat="1" applyFont="1" applyFill="1" applyBorder="1" applyAlignment="1" applyProtection="1">
      <alignment horizontal="center"/>
    </xf>
    <xf numFmtId="164" fontId="19" fillId="30" borderId="15" xfId="0" applyNumberFormat="1" applyFont="1" applyFill="1" applyBorder="1" applyProtection="1"/>
    <xf numFmtId="0" fontId="34" fillId="0" borderId="0" xfId="0" applyFont="1" applyProtection="1"/>
    <xf numFmtId="0" fontId="41" fillId="0" borderId="0" xfId="0" applyFont="1" applyProtection="1"/>
    <xf numFmtId="164" fontId="41" fillId="10" borderId="32" xfId="0" applyNumberFormat="1" applyFont="1" applyFill="1" applyBorder="1" applyAlignment="1" applyProtection="1">
      <alignment horizontal="center" vertical="center"/>
    </xf>
    <xf numFmtId="164" fontId="41" fillId="10" borderId="31" xfId="0" applyNumberFormat="1" applyFont="1" applyFill="1" applyBorder="1" applyAlignment="1" applyProtection="1">
      <alignment horizontal="center" vertical="center"/>
    </xf>
    <xf numFmtId="1" fontId="41" fillId="10" borderId="33" xfId="0" applyNumberFormat="1" applyFont="1" applyFill="1" applyBorder="1" applyAlignment="1" applyProtection="1">
      <alignment horizontal="center" vertical="center"/>
    </xf>
    <xf numFmtId="164" fontId="41" fillId="10" borderId="34" xfId="0" applyNumberFormat="1" applyFont="1" applyFill="1" applyBorder="1" applyAlignment="1" applyProtection="1">
      <alignment horizontal="center" vertical="center"/>
    </xf>
    <xf numFmtId="164" fontId="41" fillId="10" borderId="35" xfId="0" applyNumberFormat="1" applyFont="1" applyFill="1" applyBorder="1" applyAlignment="1" applyProtection="1">
      <alignment horizontal="center" vertical="center"/>
    </xf>
    <xf numFmtId="1" fontId="41" fillId="10" borderId="36" xfId="0" applyNumberFormat="1" applyFont="1" applyFill="1" applyBorder="1" applyAlignment="1" applyProtection="1">
      <alignment horizontal="center" vertical="center"/>
    </xf>
    <xf numFmtId="164" fontId="19" fillId="9" borderId="14" xfId="0" applyNumberFormat="1" applyFont="1" applyFill="1" applyBorder="1" applyProtection="1"/>
    <xf numFmtId="164" fontId="19" fillId="9" borderId="15" xfId="0" applyNumberFormat="1" applyFont="1" applyFill="1" applyBorder="1" applyProtection="1"/>
    <xf numFmtId="164" fontId="19" fillId="9" borderId="22" xfId="0" applyNumberFormat="1" applyFont="1" applyFill="1" applyBorder="1" applyProtection="1"/>
    <xf numFmtId="0" fontId="67" fillId="0" borderId="0" xfId="0" applyFont="1" applyProtection="1"/>
    <xf numFmtId="0" fontId="67" fillId="35" borderId="0" xfId="0" applyFont="1" applyFill="1" applyBorder="1" applyProtection="1"/>
    <xf numFmtId="0" fontId="0" fillId="0" borderId="0" xfId="0" applyAlignment="1" applyProtection="1">
      <alignment horizontal="right"/>
    </xf>
    <xf numFmtId="164" fontId="19" fillId="9" borderId="16" xfId="0" applyNumberFormat="1" applyFont="1" applyFill="1" applyBorder="1" applyProtection="1"/>
    <xf numFmtId="164" fontId="19" fillId="0" borderId="0" xfId="0" applyNumberFormat="1" applyFont="1" applyBorder="1" applyAlignment="1" applyProtection="1">
      <alignment horizontal="center"/>
    </xf>
    <xf numFmtId="164" fontId="19" fillId="0" borderId="0" xfId="0" applyNumberFormat="1" applyFont="1" applyBorder="1" applyAlignment="1" applyProtection="1"/>
    <xf numFmtId="0" fontId="0" fillId="0" borderId="0" xfId="0" quotePrefix="1" applyProtection="1"/>
    <xf numFmtId="164" fontId="19" fillId="0" borderId="0" xfId="0" applyNumberFormat="1" applyFont="1" applyAlignment="1" applyProtection="1">
      <alignment horizontal="center" vertical="center"/>
    </xf>
    <xf numFmtId="0" fontId="0" fillId="12" borderId="2" xfId="0" applyFill="1" applyBorder="1" applyProtection="1"/>
    <xf numFmtId="0" fontId="24" fillId="12" borderId="2" xfId="0" applyFont="1" applyFill="1" applyBorder="1" applyAlignment="1" applyProtection="1">
      <alignment horizontal="right"/>
    </xf>
    <xf numFmtId="0" fontId="24" fillId="12" borderId="2" xfId="0" applyFont="1" applyFill="1" applyBorder="1" applyAlignment="1" applyProtection="1">
      <alignment horizontal="center"/>
    </xf>
    <xf numFmtId="0" fontId="0" fillId="12" borderId="2" xfId="0" quotePrefix="1" applyFill="1" applyBorder="1" applyAlignment="1" applyProtection="1">
      <alignment horizontal="center"/>
    </xf>
    <xf numFmtId="0" fontId="0" fillId="12" borderId="2" xfId="0" applyFill="1" applyBorder="1" applyAlignment="1" applyProtection="1">
      <alignment horizontal="center"/>
    </xf>
    <xf numFmtId="0" fontId="34" fillId="0" borderId="0" xfId="0" applyFont="1" applyAlignment="1" applyProtection="1">
      <alignment horizontal="right" vertical="center"/>
    </xf>
    <xf numFmtId="164" fontId="19" fillId="4" borderId="0" xfId="0" applyNumberFormat="1" applyFont="1" applyFill="1" applyAlignment="1" applyProtection="1">
      <alignment horizontal="left"/>
    </xf>
    <xf numFmtId="164" fontId="19" fillId="4" borderId="0" xfId="0" applyNumberFormat="1" applyFont="1" applyFill="1" applyAlignment="1" applyProtection="1">
      <alignment horizontal="center"/>
    </xf>
    <xf numFmtId="164" fontId="19" fillId="26" borderId="15" xfId="0" applyNumberFormat="1" applyFont="1" applyFill="1" applyBorder="1" applyProtection="1"/>
    <xf numFmtId="164" fontId="19" fillId="9" borderId="0" xfId="0" applyNumberFormat="1" applyFont="1" applyFill="1" applyProtection="1"/>
    <xf numFmtId="0" fontId="34" fillId="9" borderId="0" xfId="0" applyFont="1" applyFill="1" applyProtection="1"/>
    <xf numFmtId="164" fontId="19" fillId="9" borderId="2" xfId="0" applyNumberFormat="1" applyFont="1" applyFill="1" applyBorder="1" applyProtection="1"/>
    <xf numFmtId="164" fontId="19" fillId="9" borderId="2" xfId="0" quotePrefix="1" applyNumberFormat="1" applyFont="1" applyFill="1" applyBorder="1" applyProtection="1"/>
    <xf numFmtId="164" fontId="19" fillId="0" borderId="0" xfId="0" quotePrefix="1" applyNumberFormat="1" applyFont="1" applyProtection="1"/>
    <xf numFmtId="164" fontId="19" fillId="0" borderId="2" xfId="0" quotePrefix="1" applyNumberFormat="1" applyFont="1" applyBorder="1" applyProtection="1"/>
    <xf numFmtId="164" fontId="19" fillId="0" borderId="45" xfId="0" quotePrefix="1" applyNumberFormat="1" applyFont="1" applyBorder="1" applyProtection="1"/>
    <xf numFmtId="164" fontId="19" fillId="0" borderId="67" xfId="0" applyNumberFormat="1" applyFont="1" applyBorder="1" applyAlignment="1" applyProtection="1">
      <alignment horizontal="center"/>
    </xf>
    <xf numFmtId="164" fontId="19" fillId="0" borderId="0" xfId="0" quotePrefix="1" applyNumberFormat="1" applyFont="1" applyAlignment="1" applyProtection="1">
      <alignment horizontal="center"/>
    </xf>
    <xf numFmtId="0" fontId="19" fillId="0" borderId="0" xfId="0" applyFont="1" applyProtection="1"/>
    <xf numFmtId="164" fontId="0" fillId="0" borderId="0" xfId="0" applyNumberFormat="1" applyProtection="1"/>
    <xf numFmtId="164" fontId="19" fillId="0" borderId="0" xfId="0" applyNumberFormat="1" applyFont="1" applyAlignment="1" applyProtection="1">
      <alignment vertical="center"/>
    </xf>
    <xf numFmtId="0" fontId="19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0" fillId="33" borderId="14" xfId="0" applyFill="1" applyBorder="1" applyProtection="1"/>
    <xf numFmtId="0" fontId="0" fillId="33" borderId="15" xfId="0" applyFill="1" applyBorder="1" applyProtection="1"/>
    <xf numFmtId="0" fontId="0" fillId="33" borderId="16" xfId="0" applyFill="1" applyBorder="1" applyProtection="1"/>
    <xf numFmtId="164" fontId="28" fillId="32" borderId="2" xfId="0" applyNumberFormat="1" applyFont="1" applyFill="1" applyBorder="1" applyAlignment="1" applyProtection="1">
      <alignment horizontal="left" vertical="center"/>
    </xf>
    <xf numFmtId="0" fontId="19" fillId="7" borderId="25" xfId="5" applyFont="1" applyAlignment="1" applyProtection="1">
      <alignment vertical="center"/>
    </xf>
    <xf numFmtId="0" fontId="0" fillId="37" borderId="0" xfId="0" applyFill="1" applyProtection="1"/>
    <xf numFmtId="164" fontId="0" fillId="37" borderId="0" xfId="0" applyNumberFormat="1" applyFill="1" applyProtection="1"/>
    <xf numFmtId="0" fontId="77" fillId="37" borderId="0" xfId="0" applyFont="1" applyFill="1" applyProtection="1"/>
    <xf numFmtId="164" fontId="0" fillId="30" borderId="0" xfId="0" applyNumberFormat="1" applyFill="1" applyProtection="1"/>
    <xf numFmtId="0" fontId="0" fillId="30" borderId="0" xfId="0" applyFill="1" applyProtection="1"/>
    <xf numFmtId="164" fontId="3" fillId="13" borderId="1" xfId="2" applyNumberFormat="1" applyAlignment="1" applyProtection="1">
      <protection locked="0"/>
    </xf>
    <xf numFmtId="164" fontId="28" fillId="9" borderId="22" xfId="0" applyNumberFormat="1" applyFont="1" applyFill="1" applyBorder="1" applyAlignment="1"/>
    <xf numFmtId="164" fontId="28" fillId="9" borderId="14" xfId="0" applyNumberFormat="1" applyFont="1" applyFill="1" applyBorder="1" applyAlignment="1"/>
    <xf numFmtId="164" fontId="28" fillId="9" borderId="15" xfId="0" applyNumberFormat="1" applyFont="1" applyFill="1" applyBorder="1" applyAlignment="1"/>
    <xf numFmtId="49" fontId="32" fillId="13" borderId="6" xfId="2" quotePrefix="1" applyNumberFormat="1" applyFont="1" applyBorder="1" applyAlignment="1" applyProtection="1">
      <alignment vertical="center"/>
      <protection locked="0"/>
    </xf>
    <xf numFmtId="164" fontId="19" fillId="16" borderId="5" xfId="8" applyNumberFormat="1" applyFont="1" applyBorder="1" applyAlignment="1" applyProtection="1"/>
    <xf numFmtId="164" fontId="19" fillId="16" borderId="6" xfId="8" applyNumberFormat="1" applyFont="1" applyBorder="1" applyAlignment="1" applyProtection="1"/>
    <xf numFmtId="44" fontId="19" fillId="16" borderId="4" xfId="8" applyNumberFormat="1" applyFont="1" applyBorder="1" applyAlignment="1" applyProtection="1">
      <alignment vertical="center" wrapText="1"/>
    </xf>
    <xf numFmtId="44" fontId="19" fillId="16" borderId="12" xfId="8" applyNumberFormat="1" applyFont="1" applyBorder="1" applyAlignment="1" applyProtection="1">
      <alignment vertical="center" wrapText="1"/>
    </xf>
    <xf numFmtId="164" fontId="19" fillId="16" borderId="5" xfId="8" applyNumberFormat="1" applyFont="1" applyBorder="1" applyAlignment="1" applyProtection="1">
      <alignment vertical="center"/>
    </xf>
    <xf numFmtId="164" fontId="19" fillId="16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6" fillId="4" borderId="0" xfId="3" applyNumberFormat="1" applyFill="1" applyBorder="1" applyProtection="1"/>
    <xf numFmtId="0" fontId="0" fillId="4" borderId="0" xfId="0" applyFill="1" applyBorder="1" applyProtection="1"/>
    <xf numFmtId="164" fontId="6" fillId="4" borderId="0" xfId="3" applyNumberFormat="1" applyFill="1" applyBorder="1" applyAlignment="1" applyProtection="1"/>
    <xf numFmtId="0" fontId="67" fillId="4" borderId="0" xfId="0" applyFont="1" applyFill="1" applyBorder="1" applyProtection="1"/>
    <xf numFmtId="0" fontId="0" fillId="12" borderId="6" xfId="0" applyFill="1" applyBorder="1" applyProtection="1"/>
    <xf numFmtId="0" fontId="24" fillId="12" borderId="6" xfId="0" applyFont="1" applyFill="1" applyBorder="1" applyAlignment="1" applyProtection="1">
      <alignment horizontal="right"/>
    </xf>
    <xf numFmtId="0" fontId="1" fillId="2" borderId="3" xfId="1" quotePrefix="1" applyBorder="1" applyProtection="1"/>
    <xf numFmtId="164" fontId="19" fillId="4" borderId="0" xfId="0" applyNumberFormat="1" applyFont="1" applyFill="1" applyBorder="1"/>
    <xf numFmtId="44" fontId="19" fillId="38" borderId="0" xfId="8" applyNumberFormat="1" applyFont="1" applyFill="1" applyBorder="1" applyAlignment="1" applyProtection="1">
      <alignment vertical="center" wrapText="1"/>
    </xf>
    <xf numFmtId="49" fontId="32" fillId="39" borderId="0" xfId="2" quotePrefix="1" applyNumberFormat="1" applyFont="1" applyFill="1" applyBorder="1" applyAlignment="1" applyProtection="1">
      <alignment vertical="center"/>
      <protection locked="0"/>
    </xf>
    <xf numFmtId="165" fontId="6" fillId="4" borderId="0" xfId="3" applyNumberFormat="1" applyFill="1" applyBorder="1" applyProtection="1"/>
    <xf numFmtId="164" fontId="6" fillId="4" borderId="0" xfId="3" applyNumberFormat="1" applyFill="1" applyBorder="1" applyAlignment="1" applyProtection="1">
      <alignment horizontal="right" vertical="center"/>
    </xf>
    <xf numFmtId="164" fontId="19" fillId="16" borderId="7" xfId="8" applyNumberFormat="1" applyFont="1" applyBorder="1" applyAlignment="1" applyProtection="1"/>
    <xf numFmtId="164" fontId="19" fillId="16" borderId="9" xfId="8" applyNumberFormat="1" applyFont="1" applyBorder="1" applyAlignment="1" applyProtection="1"/>
    <xf numFmtId="0" fontId="1" fillId="2" borderId="21" xfId="1" applyBorder="1" applyProtection="1"/>
    <xf numFmtId="0" fontId="1" fillId="2" borderId="29" xfId="1" applyBorder="1" applyProtection="1"/>
    <xf numFmtId="166" fontId="1" fillId="2" borderId="29" xfId="1" applyNumberFormat="1" applyBorder="1" applyProtection="1"/>
    <xf numFmtId="1" fontId="1" fillId="2" borderId="29" xfId="1" applyNumberFormat="1" applyBorder="1" applyProtection="1"/>
    <xf numFmtId="0" fontId="32" fillId="13" borderId="23" xfId="2" quotePrefix="1" applyNumberFormat="1" applyFont="1" applyBorder="1" applyAlignment="1" applyProtection="1">
      <alignment vertical="center"/>
      <protection locked="0"/>
    </xf>
    <xf numFmtId="0" fontId="32" fillId="13" borderId="6" xfId="2" quotePrefix="1" applyNumberFormat="1" applyFont="1" applyBorder="1" applyAlignment="1" applyProtection="1">
      <alignment vertical="center"/>
      <protection locked="0"/>
    </xf>
    <xf numFmtId="164" fontId="40" fillId="5" borderId="53" xfId="3" applyNumberFormat="1" applyFont="1" applyBorder="1" applyAlignment="1" applyProtection="1">
      <alignment horizontal="center" vertical="center"/>
    </xf>
    <xf numFmtId="164" fontId="40" fillId="5" borderId="54" xfId="3" applyNumberFormat="1" applyFont="1" applyBorder="1" applyAlignment="1" applyProtection="1">
      <alignment horizontal="center" vertical="center"/>
    </xf>
    <xf numFmtId="164" fontId="40" fillId="5" borderId="55" xfId="3" applyNumberFormat="1" applyFont="1" applyBorder="1" applyAlignment="1" applyProtection="1">
      <alignment horizontal="center" vertical="center"/>
    </xf>
    <xf numFmtId="164" fontId="40" fillId="5" borderId="14" xfId="3" applyNumberFormat="1" applyFont="1" applyBorder="1" applyAlignment="1" applyProtection="1">
      <alignment horizontal="center" vertical="center"/>
    </xf>
    <xf numFmtId="164" fontId="40" fillId="5" borderId="15" xfId="3" applyNumberFormat="1" applyFont="1" applyBorder="1" applyAlignment="1" applyProtection="1">
      <alignment horizontal="center" vertical="center"/>
    </xf>
    <xf numFmtId="164" fontId="40" fillId="5" borderId="16" xfId="3" applyNumberFormat="1" applyFont="1" applyBorder="1" applyAlignment="1" applyProtection="1">
      <alignment horizontal="center" vertical="center"/>
    </xf>
    <xf numFmtId="0" fontId="0" fillId="30" borderId="0" xfId="0" applyFill="1" applyAlignment="1">
      <alignment horizontal="center" vertical="center"/>
    </xf>
    <xf numFmtId="164" fontId="28" fillId="3" borderId="5" xfId="0" applyNumberFormat="1" applyFont="1" applyFill="1" applyBorder="1" applyAlignment="1">
      <alignment horizontal="center"/>
    </xf>
    <xf numFmtId="164" fontId="28" fillId="3" borderId="23" xfId="0" applyNumberFormat="1" applyFont="1" applyFill="1" applyBorder="1" applyAlignment="1">
      <alignment horizontal="center"/>
    </xf>
    <xf numFmtId="164" fontId="1" fillId="2" borderId="1" xfId="1" applyNumberFormat="1" applyAlignment="1" applyProtection="1">
      <alignment horizontal="center"/>
    </xf>
    <xf numFmtId="164" fontId="8" fillId="6" borderId="24" xfId="4" applyNumberFormat="1" applyAlignment="1" applyProtection="1">
      <alignment horizontal="center"/>
    </xf>
    <xf numFmtId="164" fontId="28" fillId="32" borderId="2" xfId="0" applyNumberFormat="1" applyFont="1" applyFill="1" applyBorder="1" applyAlignment="1">
      <alignment horizontal="left" vertical="center"/>
    </xf>
    <xf numFmtId="164" fontId="19" fillId="7" borderId="2" xfId="5" quotePrefix="1" applyNumberFormat="1" applyFont="1" applyBorder="1" applyAlignment="1" applyProtection="1">
      <alignment horizontal="left"/>
    </xf>
    <xf numFmtId="164" fontId="19" fillId="7" borderId="2" xfId="5" applyNumberFormat="1" applyFont="1" applyBorder="1" applyAlignment="1" applyProtection="1">
      <alignment horizontal="left"/>
    </xf>
    <xf numFmtId="164" fontId="19" fillId="7" borderId="2" xfId="5" applyNumberFormat="1" applyFont="1" applyBorder="1" applyAlignment="1" applyProtection="1">
      <alignment horizontal="center"/>
    </xf>
    <xf numFmtId="164" fontId="19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9" fillId="32" borderId="2" xfId="0" applyNumberFormat="1" applyFont="1" applyFill="1" applyBorder="1" applyAlignment="1">
      <alignment horizontal="center" vertical="center"/>
    </xf>
    <xf numFmtId="164" fontId="28" fillId="32" borderId="2" xfId="0" applyNumberFormat="1" applyFont="1" applyFill="1" applyBorder="1" applyAlignment="1">
      <alignment horizontal="center" vertical="center"/>
    </xf>
    <xf numFmtId="164" fontId="19" fillId="0" borderId="11" xfId="0" applyNumberFormat="1" applyFont="1" applyBorder="1" applyAlignment="1">
      <alignment horizontal="center"/>
    </xf>
    <xf numFmtId="164" fontId="36" fillId="11" borderId="2" xfId="6" applyNumberFormat="1" applyFont="1" applyBorder="1" applyAlignment="1" applyProtection="1">
      <alignment horizontal="center"/>
    </xf>
    <xf numFmtId="164" fontId="31" fillId="2" borderId="1" xfId="1" applyNumberFormat="1" applyFont="1" applyAlignment="1" applyProtection="1">
      <alignment horizontal="center"/>
    </xf>
    <xf numFmtId="164" fontId="19" fillId="7" borderId="84" xfId="5" quotePrefix="1" applyNumberFormat="1" applyFont="1" applyBorder="1" applyAlignment="1" applyProtection="1">
      <alignment horizontal="left"/>
    </xf>
    <xf numFmtId="164" fontId="19" fillId="7" borderId="85" xfId="5" quotePrefix="1" applyNumberFormat="1" applyFont="1" applyBorder="1" applyAlignment="1" applyProtection="1">
      <alignment horizontal="left"/>
    </xf>
    <xf numFmtId="164" fontId="19" fillId="7" borderId="86" xfId="5" quotePrefix="1" applyNumberFormat="1" applyFont="1" applyBorder="1" applyAlignment="1" applyProtection="1">
      <alignment horizontal="left"/>
    </xf>
    <xf numFmtId="164" fontId="31" fillId="2" borderId="8" xfId="1" applyNumberFormat="1" applyFont="1" applyBorder="1" applyAlignment="1" applyProtection="1">
      <alignment horizontal="center" vertical="center"/>
    </xf>
    <xf numFmtId="164" fontId="31" fillId="2" borderId="9" xfId="1" applyNumberFormat="1" applyFont="1" applyBorder="1" applyAlignment="1" applyProtection="1">
      <alignment horizontal="center" vertical="center"/>
    </xf>
    <xf numFmtId="164" fontId="31" fillId="2" borderId="11" xfId="1" applyNumberFormat="1" applyFont="1" applyBorder="1" applyAlignment="1" applyProtection="1">
      <alignment horizontal="center" vertical="center"/>
    </xf>
    <xf numFmtId="164" fontId="31" fillId="2" borderId="12" xfId="1" applyNumberFormat="1" applyFont="1" applyBorder="1" applyAlignment="1" applyProtection="1">
      <alignment horizontal="center" vertical="center"/>
    </xf>
    <xf numFmtId="164" fontId="31" fillId="2" borderId="2" xfId="1" applyNumberFormat="1" applyFont="1" applyBorder="1" applyAlignment="1" applyProtection="1">
      <alignment horizontal="center"/>
    </xf>
    <xf numFmtId="164" fontId="38" fillId="6" borderId="42" xfId="4" applyNumberFormat="1" applyFont="1" applyBorder="1" applyAlignment="1" applyProtection="1">
      <alignment horizontal="center" vertical="center"/>
    </xf>
    <xf numFmtId="164" fontId="38" fillId="6" borderId="24" xfId="4" applyNumberFormat="1" applyFont="1" applyAlignment="1" applyProtection="1">
      <alignment horizontal="center" vertical="center"/>
    </xf>
    <xf numFmtId="164" fontId="31" fillId="2" borderId="2" xfId="1" applyNumberFormat="1" applyFont="1" applyBorder="1" applyAlignment="1" applyProtection="1">
      <alignment horizontal="center" vertical="center"/>
    </xf>
    <xf numFmtId="164" fontId="38" fillId="6" borderId="24" xfId="4" applyNumberFormat="1" applyFont="1" applyAlignment="1" applyProtection="1">
      <alignment horizontal="center"/>
    </xf>
    <xf numFmtId="164" fontId="36" fillId="11" borderId="5" xfId="6" applyNumberFormat="1" applyFont="1" applyBorder="1" applyAlignment="1" applyProtection="1">
      <alignment horizontal="center"/>
    </xf>
    <xf numFmtId="164" fontId="36" fillId="11" borderId="23" xfId="6" applyNumberFormat="1" applyFont="1" applyBorder="1" applyAlignment="1" applyProtection="1">
      <alignment horizontal="center"/>
    </xf>
    <xf numFmtId="164" fontId="36" fillId="11" borderId="94" xfId="6" applyNumberFormat="1" applyFont="1" applyBorder="1" applyAlignment="1" applyProtection="1">
      <alignment horizontal="center"/>
    </xf>
    <xf numFmtId="168" fontId="31" fillId="2" borderId="5" xfId="1" applyNumberFormat="1" applyFont="1" applyBorder="1" applyAlignment="1" applyProtection="1">
      <alignment horizontal="center"/>
    </xf>
    <xf numFmtId="168" fontId="31" fillId="2" borderId="23" xfId="1" applyNumberFormat="1" applyFont="1" applyBorder="1" applyAlignment="1" applyProtection="1">
      <alignment horizontal="center"/>
    </xf>
    <xf numFmtId="164" fontId="19" fillId="0" borderId="0" xfId="0" quotePrefix="1" applyNumberFormat="1" applyFont="1" applyAlignment="1">
      <alignment horizontal="center" vertical="center"/>
    </xf>
    <xf numFmtId="166" fontId="31" fillId="2" borderId="5" xfId="1" applyNumberFormat="1" applyFont="1" applyBorder="1" applyAlignment="1" applyProtection="1">
      <alignment horizontal="center" vertical="center"/>
    </xf>
    <xf numFmtId="166" fontId="31" fillId="2" borderId="23" xfId="1" applyNumberFormat="1" applyFont="1" applyBorder="1" applyAlignment="1" applyProtection="1">
      <alignment horizontal="center" vertical="center"/>
    </xf>
    <xf numFmtId="166" fontId="31" fillId="2" borderId="6" xfId="1" applyNumberFormat="1" applyFont="1" applyBorder="1" applyAlignment="1" applyProtection="1">
      <alignment horizontal="center" vertical="center"/>
    </xf>
    <xf numFmtId="164" fontId="38" fillId="6" borderId="98" xfId="4" applyNumberFormat="1" applyFont="1" applyBorder="1" applyAlignment="1" applyProtection="1">
      <alignment horizontal="center"/>
    </xf>
    <xf numFmtId="164" fontId="38" fillId="6" borderId="41" xfId="4" applyNumberFormat="1" applyFont="1" applyBorder="1" applyAlignment="1" applyProtection="1">
      <alignment horizontal="center"/>
    </xf>
    <xf numFmtId="164" fontId="38" fillId="6" borderId="42" xfId="4" applyNumberFormat="1" applyFont="1" applyBorder="1" applyAlignment="1" applyProtection="1">
      <alignment horizont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4" fontId="31" fillId="2" borderId="117" xfId="1" applyNumberFormat="1" applyFont="1" applyBorder="1" applyAlignment="1" applyProtection="1">
      <alignment horizontal="center"/>
    </xf>
    <xf numFmtId="164" fontId="31" fillId="2" borderId="115" xfId="1" applyNumberFormat="1" applyFont="1" applyBorder="1" applyAlignment="1" applyProtection="1">
      <alignment horizontal="center"/>
    </xf>
    <xf numFmtId="164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164" fontId="36" fillId="11" borderId="2" xfId="6" applyNumberFormat="1" applyFont="1" applyBorder="1" applyAlignment="1" applyProtection="1">
      <alignment horizontal="center" vertical="center"/>
    </xf>
    <xf numFmtId="164" fontId="19" fillId="16" borderId="7" xfId="8" applyNumberFormat="1" applyFont="1" applyBorder="1" applyAlignment="1" applyProtection="1">
      <alignment horizontal="center" wrapText="1"/>
    </xf>
    <xf numFmtId="164" fontId="19" fillId="16" borderId="8" xfId="8" applyNumberFormat="1" applyFont="1" applyBorder="1" applyAlignment="1" applyProtection="1">
      <alignment horizontal="center" wrapText="1"/>
    </xf>
    <xf numFmtId="164" fontId="19" fillId="16" borderId="9" xfId="8" applyNumberFormat="1" applyFont="1" applyBorder="1" applyAlignment="1" applyProtection="1">
      <alignment horizontal="center" wrapText="1"/>
    </xf>
    <xf numFmtId="164" fontId="19" fillId="16" borderId="47" xfId="8" applyNumberFormat="1" applyFont="1" applyBorder="1" applyAlignment="1" applyProtection="1">
      <alignment horizontal="center" wrapText="1"/>
    </xf>
    <xf numFmtId="164" fontId="19" fillId="16" borderId="11" xfId="8" applyNumberFormat="1" applyFont="1" applyBorder="1" applyAlignment="1" applyProtection="1">
      <alignment horizontal="center" wrapText="1"/>
    </xf>
    <xf numFmtId="164" fontId="19" fillId="16" borderId="12" xfId="8" applyNumberFormat="1" applyFont="1" applyBorder="1" applyAlignment="1" applyProtection="1">
      <alignment horizontal="center" wrapText="1"/>
    </xf>
    <xf numFmtId="164" fontId="19" fillId="16" borderId="0" xfId="8" applyNumberFormat="1" applyFont="1" applyBorder="1" applyAlignment="1" applyProtection="1">
      <alignment horizontal="center" wrapText="1"/>
    </xf>
    <xf numFmtId="164" fontId="19" fillId="16" borderId="4" xfId="8" applyNumberFormat="1" applyFont="1" applyBorder="1" applyAlignment="1" applyProtection="1">
      <alignment horizontal="center" wrapText="1"/>
    </xf>
    <xf numFmtId="164" fontId="19" fillId="16" borderId="7" xfId="8" applyNumberFormat="1" applyFont="1" applyBorder="1" applyAlignment="1" applyProtection="1">
      <alignment horizontal="center" vertical="center"/>
    </xf>
    <xf numFmtId="164" fontId="19" fillId="16" borderId="8" xfId="8" applyNumberFormat="1" applyFont="1" applyBorder="1" applyAlignment="1" applyProtection="1">
      <alignment horizontal="center" vertical="center"/>
    </xf>
    <xf numFmtId="164" fontId="19" fillId="16" borderId="9" xfId="8" applyNumberFormat="1" applyFont="1" applyBorder="1" applyAlignment="1" applyProtection="1">
      <alignment horizontal="center" vertical="center"/>
    </xf>
    <xf numFmtId="164" fontId="19" fillId="16" borderId="10" xfId="8" applyNumberFormat="1" applyFont="1" applyBorder="1" applyAlignment="1" applyProtection="1">
      <alignment horizontal="center" vertical="center"/>
    </xf>
    <xf numFmtId="164" fontId="19" fillId="16" borderId="11" xfId="8" applyNumberFormat="1" applyFont="1" applyBorder="1" applyAlignment="1" applyProtection="1">
      <alignment horizontal="center" vertical="center"/>
    </xf>
    <xf numFmtId="164" fontId="19" fillId="16" borderId="12" xfId="8" applyNumberFormat="1" applyFont="1" applyBorder="1" applyAlignment="1" applyProtection="1">
      <alignment horizontal="center" vertical="center"/>
    </xf>
    <xf numFmtId="164" fontId="19" fillId="16" borderId="7" xfId="8" applyNumberFormat="1" applyFont="1" applyBorder="1" applyAlignment="1" applyProtection="1">
      <alignment horizontal="center" vertical="center" wrapText="1"/>
    </xf>
    <xf numFmtId="164" fontId="19" fillId="16" borderId="8" xfId="8" applyNumberFormat="1" applyFont="1" applyBorder="1" applyAlignment="1" applyProtection="1">
      <alignment horizontal="center" vertical="center" wrapText="1"/>
    </xf>
    <xf numFmtId="164" fontId="19" fillId="16" borderId="9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164" fontId="37" fillId="5" borderId="2" xfId="3" applyNumberFormat="1" applyFont="1" applyBorder="1" applyAlignment="1" applyProtection="1">
      <alignment horizontal="right"/>
    </xf>
    <xf numFmtId="164" fontId="19" fillId="7" borderId="83" xfId="5" applyNumberFormat="1" applyFont="1" applyBorder="1" applyAlignment="1" applyProtection="1">
      <alignment horizontal="left"/>
    </xf>
    <xf numFmtId="164" fontId="19" fillId="7" borderId="91" xfId="5" applyNumberFormat="1" applyFont="1" applyBorder="1" applyAlignment="1" applyProtection="1">
      <alignment horizontal="left"/>
    </xf>
    <xf numFmtId="164" fontId="19" fillId="7" borderId="92" xfId="5" applyNumberFormat="1" applyFont="1" applyBorder="1" applyAlignment="1" applyProtection="1">
      <alignment horizontal="left"/>
    </xf>
    <xf numFmtId="164" fontId="19" fillId="7" borderId="89" xfId="5" applyNumberFormat="1" applyFont="1" applyBorder="1" applyAlignment="1" applyProtection="1">
      <alignment horizontal="center"/>
    </xf>
    <xf numFmtId="164" fontId="19" fillId="7" borderId="90" xfId="5" applyNumberFormat="1" applyFont="1" applyBorder="1" applyAlignment="1" applyProtection="1">
      <alignment horizontal="center"/>
    </xf>
    <xf numFmtId="164" fontId="19" fillId="7" borderId="87" xfId="5" applyNumberFormat="1" applyFont="1" applyBorder="1" applyAlignment="1" applyProtection="1">
      <alignment horizontal="center"/>
    </xf>
    <xf numFmtId="164" fontId="19" fillId="7" borderId="88" xfId="5" applyNumberFormat="1" applyFont="1" applyBorder="1" applyAlignment="1" applyProtection="1">
      <alignment horizontal="center"/>
    </xf>
    <xf numFmtId="0" fontId="34" fillId="0" borderId="0" xfId="0" applyFont="1"/>
    <xf numFmtId="164" fontId="43" fillId="19" borderId="0" xfId="0" applyNumberFormat="1" applyFont="1" applyFill="1" applyAlignment="1">
      <alignment horizontal="center" vertical="center"/>
    </xf>
    <xf numFmtId="164" fontId="19" fillId="16" borderId="10" xfId="8" applyNumberFormat="1" applyFont="1" applyBorder="1" applyAlignment="1" applyProtection="1">
      <alignment horizontal="center"/>
    </xf>
    <xf numFmtId="164" fontId="19" fillId="16" borderId="12" xfId="8" applyNumberFormat="1" applyFont="1" applyBorder="1" applyAlignment="1" applyProtection="1">
      <alignment horizontal="center"/>
    </xf>
    <xf numFmtId="164" fontId="19" fillId="16" borderId="47" xfId="8" applyNumberFormat="1" applyFont="1" applyBorder="1" applyAlignment="1" applyProtection="1">
      <alignment horizontal="center" vertical="center"/>
    </xf>
    <xf numFmtId="164" fontId="19" fillId="16" borderId="4" xfId="8" applyNumberFormat="1" applyFont="1" applyBorder="1" applyAlignment="1" applyProtection="1">
      <alignment horizontal="center" vertical="center"/>
    </xf>
    <xf numFmtId="164" fontId="31" fillId="2" borderId="20" xfId="1" applyNumberFormat="1" applyFont="1" applyBorder="1" applyAlignment="1" applyProtection="1">
      <alignment horizontal="center" vertical="center"/>
    </xf>
    <xf numFmtId="164" fontId="31" fillId="2" borderId="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164" fontId="42" fillId="19" borderId="0" xfId="0" applyNumberFormat="1" applyFont="1" applyFill="1" applyAlignment="1">
      <alignment horizontal="center" vertical="center"/>
    </xf>
    <xf numFmtId="164" fontId="46" fillId="9" borderId="15" xfId="0" applyNumberFormat="1" applyFont="1" applyFill="1" applyBorder="1" applyAlignment="1">
      <alignment horizontal="center"/>
    </xf>
    <xf numFmtId="0" fontId="19" fillId="16" borderId="0" xfId="8" applyFont="1" applyBorder="1" applyAlignment="1" applyProtection="1">
      <alignment horizontal="right" vertical="center"/>
    </xf>
    <xf numFmtId="0" fontId="19" fillId="16" borderId="39" xfId="8" applyFont="1" applyBorder="1" applyAlignment="1" applyProtection="1">
      <alignment horizontal="right" vertical="center"/>
    </xf>
    <xf numFmtId="164" fontId="31" fillId="2" borderId="122" xfId="1" applyNumberFormat="1" applyFont="1" applyBorder="1" applyAlignment="1" applyProtection="1">
      <alignment horizontal="center"/>
    </xf>
    <xf numFmtId="164" fontId="19" fillId="16" borderId="2" xfId="8" applyNumberFormat="1" applyFont="1" applyBorder="1" applyAlignment="1" applyProtection="1">
      <alignment horizontal="center" vertical="center" wrapText="1"/>
    </xf>
    <xf numFmtId="0" fontId="35" fillId="13" borderId="13" xfId="2" applyFont="1" applyBorder="1" applyAlignment="1" applyProtection="1">
      <alignment horizontal="center" vertical="center"/>
      <protection locked="0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4" fontId="35" fillId="13" borderId="13" xfId="2" applyNumberFormat="1" applyFont="1" applyBorder="1" applyAlignment="1" applyProtection="1">
      <alignment horizontal="center" vertical="center"/>
      <protection locked="0"/>
    </xf>
    <xf numFmtId="164" fontId="35" fillId="13" borderId="1" xfId="2" applyNumberFormat="1" applyFont="1" applyAlignment="1" applyProtection="1">
      <alignment horizontal="center" vertical="center"/>
      <protection locked="0"/>
    </xf>
    <xf numFmtId="164" fontId="19" fillId="16" borderId="2" xfId="8" applyNumberFormat="1" applyFont="1" applyBorder="1" applyAlignment="1" applyProtection="1">
      <alignment horizontal="center" vertical="center"/>
    </xf>
    <xf numFmtId="164" fontId="35" fillId="13" borderId="1" xfId="2" quotePrefix="1" applyNumberFormat="1" applyFont="1" applyAlignment="1" applyProtection="1">
      <alignment horizontal="center" vertical="center"/>
      <protection locked="0"/>
    </xf>
    <xf numFmtId="164" fontId="19" fillId="16" borderId="2" xfId="8" applyNumberFormat="1" applyFont="1" applyBorder="1" applyAlignment="1" applyProtection="1">
      <alignment horizontal="center" wrapText="1"/>
    </xf>
    <xf numFmtId="164" fontId="45" fillId="14" borderId="41" xfId="4" applyNumberFormat="1" applyFont="1" applyFill="1" applyBorder="1" applyAlignment="1" applyProtection="1">
      <alignment horizontal="center"/>
    </xf>
    <xf numFmtId="164" fontId="45" fillId="14" borderId="42" xfId="4" applyNumberFormat="1" applyFont="1" applyFill="1" applyBorder="1" applyAlignment="1" applyProtection="1">
      <alignment horizontal="center"/>
    </xf>
    <xf numFmtId="164" fontId="19" fillId="0" borderId="0" xfId="0" applyNumberFormat="1" applyFont="1" applyAlignment="1">
      <alignment horizontal="center"/>
    </xf>
    <xf numFmtId="164" fontId="36" fillId="11" borderId="6" xfId="6" applyNumberFormat="1" applyFont="1" applyBorder="1" applyAlignment="1" applyProtection="1">
      <alignment horizontal="center"/>
    </xf>
    <xf numFmtId="164" fontId="28" fillId="3" borderId="6" xfId="0" applyNumberFormat="1" applyFont="1" applyFill="1" applyBorder="1" applyAlignment="1">
      <alignment horizontal="center"/>
    </xf>
    <xf numFmtId="164" fontId="36" fillId="11" borderId="47" xfId="6" applyNumberFormat="1" applyFont="1" applyBorder="1" applyAlignment="1" applyProtection="1">
      <alignment horizontal="center" vertical="center"/>
    </xf>
    <xf numFmtId="0" fontId="31" fillId="2" borderId="1" xfId="1" applyFont="1" applyAlignment="1" applyProtection="1">
      <alignment horizontal="center"/>
    </xf>
    <xf numFmtId="164" fontId="19" fillId="7" borderId="82" xfId="5" applyNumberFormat="1" applyFont="1" applyBorder="1" applyAlignment="1" applyProtection="1">
      <alignment horizontal="left"/>
    </xf>
    <xf numFmtId="164" fontId="19" fillId="7" borderId="93" xfId="5" applyNumberFormat="1" applyFont="1" applyBorder="1" applyAlignment="1" applyProtection="1">
      <alignment horizontal="left"/>
    </xf>
    <xf numFmtId="164" fontId="19" fillId="7" borderId="81" xfId="5" applyNumberFormat="1" applyFont="1" applyBorder="1" applyAlignment="1" applyProtection="1">
      <alignment horizontal="left"/>
    </xf>
    <xf numFmtId="0" fontId="37" fillId="5" borderId="31" xfId="3" applyFont="1" applyBorder="1" applyAlignment="1" applyProtection="1">
      <alignment horizontal="center"/>
    </xf>
    <xf numFmtId="164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39" xfId="5" quotePrefix="1" applyFont="1" applyBorder="1" applyAlignment="1" applyProtection="1">
      <alignment horizontal="center"/>
    </xf>
    <xf numFmtId="164" fontId="35" fillId="13" borderId="37" xfId="2" quotePrefix="1" applyNumberFormat="1" applyFont="1" applyBorder="1" applyAlignment="1" applyProtection="1">
      <alignment horizontal="center"/>
      <protection locked="0"/>
    </xf>
    <xf numFmtId="164" fontId="35" fillId="13" borderId="3" xfId="2" quotePrefix="1" applyNumberFormat="1" applyFont="1" applyBorder="1" applyAlignment="1" applyProtection="1">
      <alignment horizontal="center"/>
      <protection locked="0"/>
    </xf>
    <xf numFmtId="164" fontId="40" fillId="5" borderId="7" xfId="3" applyNumberFormat="1" applyFont="1" applyBorder="1" applyAlignment="1" applyProtection="1">
      <alignment horizontal="center" vertical="center"/>
    </xf>
    <xf numFmtId="164" fontId="40" fillId="5" borderId="8" xfId="3" applyNumberFormat="1" applyFont="1" applyBorder="1" applyAlignment="1" applyProtection="1">
      <alignment horizontal="center" vertical="center"/>
    </xf>
    <xf numFmtId="164" fontId="40" fillId="5" borderId="9" xfId="3" applyNumberFormat="1" applyFont="1" applyBorder="1" applyAlignment="1" applyProtection="1">
      <alignment horizontal="center" vertical="center"/>
    </xf>
    <xf numFmtId="164" fontId="40" fillId="5" borderId="47" xfId="3" applyNumberFormat="1" applyFont="1" applyBorder="1" applyAlignment="1" applyProtection="1">
      <alignment horizontal="center" vertical="center"/>
    </xf>
    <xf numFmtId="164" fontId="40" fillId="5" borderId="0" xfId="3" applyNumberFormat="1" applyFont="1" applyBorder="1" applyAlignment="1" applyProtection="1">
      <alignment horizontal="center" vertical="center"/>
    </xf>
    <xf numFmtId="164" fontId="40" fillId="5" borderId="4" xfId="3" applyNumberFormat="1" applyFont="1" applyBorder="1" applyAlignment="1" applyProtection="1">
      <alignment horizontal="center" vertical="center"/>
    </xf>
    <xf numFmtId="164" fontId="40" fillId="5" borderId="10" xfId="3" applyNumberFormat="1" applyFont="1" applyBorder="1" applyAlignment="1" applyProtection="1">
      <alignment horizontal="center" vertical="center"/>
    </xf>
    <xf numFmtId="164" fontId="40" fillId="5" borderId="11" xfId="3" applyNumberFormat="1" applyFont="1" applyBorder="1" applyAlignment="1" applyProtection="1">
      <alignment horizontal="center" vertical="center"/>
    </xf>
    <xf numFmtId="164" fontId="40" fillId="5" borderId="12" xfId="3" applyNumberFormat="1" applyFont="1" applyBorder="1" applyAlignment="1" applyProtection="1">
      <alignment horizontal="center" vertical="center"/>
    </xf>
    <xf numFmtId="164" fontId="46" fillId="7" borderId="22" xfId="5" applyNumberFormat="1" applyFont="1" applyBorder="1" applyAlignment="1" applyProtection="1">
      <alignment horizontal="center"/>
    </xf>
    <xf numFmtId="164" fontId="46" fillId="7" borderId="80" xfId="5" applyNumberFormat="1" applyFont="1" applyBorder="1" applyAlignment="1" applyProtection="1">
      <alignment horizontal="center"/>
    </xf>
    <xf numFmtId="164" fontId="46" fillId="7" borderId="0" xfId="5" applyNumberFormat="1" applyFont="1" applyBorder="1" applyAlignment="1" applyProtection="1">
      <alignment horizontal="center"/>
    </xf>
    <xf numFmtId="164" fontId="19" fillId="9" borderId="2" xfId="0" applyNumberFormat="1" applyFont="1" applyFill="1" applyBorder="1" applyAlignment="1">
      <alignment horizontal="left"/>
    </xf>
    <xf numFmtId="164" fontId="19" fillId="0" borderId="2" xfId="0" applyNumberFormat="1" applyFont="1" applyBorder="1" applyAlignment="1">
      <alignment horizontal="left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4" fontId="36" fillId="11" borderId="2" xfId="6" quotePrefix="1" applyNumberFormat="1" applyFont="1" applyBorder="1" applyAlignment="1" applyProtection="1">
      <alignment horizontal="center"/>
    </xf>
    <xf numFmtId="164" fontId="37" fillId="5" borderId="2" xfId="3" applyNumberFormat="1" applyFont="1" applyBorder="1" applyAlignment="1" applyProtection="1">
      <alignment horizontal="center"/>
    </xf>
    <xf numFmtId="164" fontId="31" fillId="2" borderId="7" xfId="1" applyNumberFormat="1" applyFont="1" applyBorder="1" applyAlignment="1" applyProtection="1">
      <alignment horizontal="right" vertical="center"/>
    </xf>
    <xf numFmtId="164" fontId="31" fillId="2" borderId="8" xfId="1" applyNumberFormat="1" applyFont="1" applyBorder="1" applyAlignment="1" applyProtection="1">
      <alignment horizontal="right" vertical="center"/>
    </xf>
    <xf numFmtId="164" fontId="31" fillId="2" borderId="10" xfId="1" applyNumberFormat="1" applyFont="1" applyBorder="1" applyAlignment="1" applyProtection="1">
      <alignment horizontal="right" vertical="center"/>
    </xf>
    <xf numFmtId="164" fontId="31" fillId="2" borderId="11" xfId="1" applyNumberFormat="1" applyFont="1" applyBorder="1" applyAlignment="1" applyProtection="1">
      <alignment horizontal="right" vertical="center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4" fontId="37" fillId="5" borderId="43" xfId="3" applyNumberFormat="1" applyFont="1" applyBorder="1" applyAlignment="1" applyProtection="1">
      <alignment horizontal="right"/>
    </xf>
    <xf numFmtId="164" fontId="37" fillId="5" borderId="23" xfId="3" applyNumberFormat="1" applyFont="1" applyBorder="1" applyAlignment="1" applyProtection="1">
      <alignment horizontal="right"/>
    </xf>
    <xf numFmtId="164" fontId="37" fillId="5" borderId="6" xfId="3" applyNumberFormat="1" applyFont="1" applyBorder="1" applyAlignment="1" applyProtection="1">
      <alignment horizontal="right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4" fontId="37" fillId="5" borderId="78" xfId="3" applyNumberFormat="1" applyFont="1" applyBorder="1" applyAlignment="1" applyProtection="1">
      <alignment horizontal="right"/>
    </xf>
    <xf numFmtId="164" fontId="37" fillId="5" borderId="11" xfId="3" applyNumberFormat="1" applyFont="1" applyBorder="1" applyAlignment="1" applyProtection="1">
      <alignment horizontal="right"/>
    </xf>
    <xf numFmtId="164" fontId="37" fillId="5" borderId="12" xfId="3" applyNumberFormat="1" applyFont="1" applyBorder="1" applyAlignment="1" applyProtection="1">
      <alignment horizontal="right"/>
    </xf>
    <xf numFmtId="164" fontId="31" fillId="2" borderId="13" xfId="1" applyNumberFormat="1" applyFont="1" applyBorder="1" applyAlignment="1" applyProtection="1">
      <alignment horizontal="center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164" fontId="31" fillId="2" borderId="3" xfId="1" applyNumberFormat="1" applyFont="1" applyBorder="1" applyAlignment="1" applyProtection="1">
      <alignment horizontal="center"/>
    </xf>
    <xf numFmtId="0" fontId="34" fillId="12" borderId="2" xfId="0" applyFont="1" applyFill="1" applyBorder="1" applyAlignment="1">
      <alignment horizontal="left" vertical="center"/>
    </xf>
    <xf numFmtId="44" fontId="19" fillId="16" borderId="2" xfId="8" applyNumberFormat="1" applyFont="1" applyBorder="1" applyAlignment="1" applyProtection="1">
      <alignment horizontal="center" vertical="center" wrapText="1"/>
    </xf>
    <xf numFmtId="0" fontId="28" fillId="18" borderId="30" xfId="8" applyFont="1" applyFill="1" applyBorder="1" applyAlignment="1" applyProtection="1">
      <alignment horizontal="right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164" fontId="37" fillId="5" borderId="31" xfId="3" applyNumberFormat="1" applyFont="1" applyBorder="1" applyAlignment="1" applyProtection="1">
      <alignment horizontal="center"/>
    </xf>
    <xf numFmtId="164" fontId="36" fillId="11" borderId="7" xfId="6" applyNumberFormat="1" applyFont="1" applyBorder="1" applyAlignment="1" applyProtection="1">
      <alignment horizontal="center" vertical="center"/>
    </xf>
    <xf numFmtId="164" fontId="36" fillId="11" borderId="8" xfId="6" applyNumberFormat="1" applyFont="1" applyBorder="1" applyAlignment="1" applyProtection="1">
      <alignment horizontal="center" vertical="center"/>
    </xf>
    <xf numFmtId="164" fontId="36" fillId="11" borderId="9" xfId="6" applyNumberFormat="1" applyFont="1" applyBorder="1" applyAlignment="1" applyProtection="1">
      <alignment horizontal="center" vertical="center"/>
    </xf>
    <xf numFmtId="164" fontId="36" fillId="11" borderId="0" xfId="6" applyNumberFormat="1" applyFont="1" applyBorder="1" applyAlignment="1" applyProtection="1">
      <alignment horizontal="center" vertical="center"/>
    </xf>
    <xf numFmtId="164" fontId="36" fillId="11" borderId="4" xfId="6" applyNumberFormat="1" applyFont="1" applyBorder="1" applyAlignment="1" applyProtection="1">
      <alignment horizontal="center" vertical="center"/>
    </xf>
    <xf numFmtId="164" fontId="35" fillId="13" borderId="99" xfId="2" applyNumberFormat="1" applyFont="1" applyBorder="1" applyAlignment="1" applyProtection="1">
      <alignment horizontal="center" vertical="center"/>
      <protection locked="0"/>
    </xf>
    <xf numFmtId="164" fontId="35" fillId="13" borderId="8" xfId="2" applyNumberFormat="1" applyFont="1" applyBorder="1" applyAlignment="1" applyProtection="1">
      <alignment horizontal="center" vertical="center"/>
      <protection locked="0"/>
    </xf>
    <xf numFmtId="164" fontId="35" fillId="13" borderId="17" xfId="2" applyNumberFormat="1" applyFont="1" applyBorder="1" applyAlignment="1" applyProtection="1">
      <alignment horizontal="center" vertical="center"/>
      <protection locked="0"/>
    </xf>
    <xf numFmtId="164" fontId="35" fillId="13" borderId="45" xfId="2" applyNumberFormat="1" applyFont="1" applyBorder="1" applyAlignment="1" applyProtection="1">
      <alignment horizontal="center" vertical="center"/>
      <protection locked="0"/>
    </xf>
    <xf numFmtId="164" fontId="31" fillId="2" borderId="13" xfId="1" applyNumberFormat="1" applyFont="1" applyBorder="1" applyAlignment="1" applyProtection="1">
      <alignment horizontal="center" vertical="center"/>
    </xf>
    <xf numFmtId="164" fontId="31" fillId="2" borderId="1" xfId="1" applyNumberFormat="1" applyFont="1" applyAlignment="1" applyProtection="1">
      <alignment horizontal="center" vertical="center"/>
    </xf>
    <xf numFmtId="164" fontId="31" fillId="2" borderId="44" xfId="1" applyNumberFormat="1" applyFont="1" applyBorder="1" applyAlignment="1" applyProtection="1">
      <alignment horizontal="center"/>
    </xf>
    <xf numFmtId="164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4" fontId="36" fillId="11" borderId="1" xfId="6" quotePrefix="1" applyNumberFormat="1" applyFont="1" applyBorder="1" applyAlignment="1" applyProtection="1">
      <alignment horizontal="center"/>
    </xf>
    <xf numFmtId="164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164" fontId="31" fillId="2" borderId="38" xfId="1" applyNumberFormat="1" applyFont="1" applyBorder="1" applyAlignment="1" applyProtection="1">
      <alignment horizontal="center"/>
    </xf>
    <xf numFmtId="44" fontId="19" fillId="16" borderId="95" xfId="8" applyNumberFormat="1" applyFont="1" applyBorder="1" applyAlignment="1" applyProtection="1">
      <alignment horizontal="center" vertical="center" wrapText="1"/>
    </xf>
    <xf numFmtId="44" fontId="19" fillId="16" borderId="96" xfId="8" applyNumberFormat="1" applyFont="1" applyBorder="1" applyAlignment="1" applyProtection="1">
      <alignment horizontal="center" vertical="center" wrapText="1"/>
    </xf>
    <xf numFmtId="44" fontId="19" fillId="16" borderId="97" xfId="8" applyNumberFormat="1" applyFont="1" applyBorder="1" applyAlignment="1" applyProtection="1">
      <alignment horizontal="center" vertical="center" wrapText="1"/>
    </xf>
    <xf numFmtId="44" fontId="19" fillId="16" borderId="10" xfId="8" applyNumberFormat="1" applyFont="1" applyBorder="1" applyAlignment="1" applyProtection="1">
      <alignment horizontal="center" vertical="center" wrapText="1"/>
    </xf>
    <xf numFmtId="44" fontId="19" fillId="16" borderId="11" xfId="8" applyNumberFormat="1" applyFont="1" applyBorder="1" applyAlignment="1" applyProtection="1">
      <alignment horizontal="center" vertical="center" wrapText="1"/>
    </xf>
    <xf numFmtId="44" fontId="19" fillId="16" borderId="12" xfId="8" applyNumberFormat="1" applyFont="1" applyBorder="1" applyAlignment="1" applyProtection="1">
      <alignment horizontal="center" vertical="center" wrapText="1"/>
    </xf>
    <xf numFmtId="0" fontId="38" fillId="6" borderId="24" xfId="4" applyFont="1" applyAlignment="1" applyProtection="1">
      <alignment horizontal="center" vertical="center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164" fontId="38" fillId="6" borderId="49" xfId="4" applyNumberFormat="1" applyFont="1" applyBorder="1" applyAlignment="1" applyProtection="1">
      <alignment horizont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0" fontId="37" fillId="5" borderId="2" xfId="3" applyFont="1" applyBorder="1" applyAlignment="1" applyProtection="1">
      <alignment horizontal="center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164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8" fillId="6" borderId="24" xfId="4" applyFont="1" applyAlignment="1" applyProtection="1">
      <alignment horizontal="center"/>
    </xf>
    <xf numFmtId="0" fontId="34" fillId="12" borderId="30" xfId="0" applyFont="1" applyFill="1" applyBorder="1" applyAlignment="1">
      <alignment horizontal="left" vertical="center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4" fontId="31" fillId="2" borderId="7" xfId="1" applyNumberFormat="1" applyFont="1" applyBorder="1" applyAlignment="1" applyProtection="1">
      <alignment horizontal="center" vertical="center"/>
    </xf>
    <xf numFmtId="164" fontId="31" fillId="2" borderId="47" xfId="1" applyNumberFormat="1" applyFont="1" applyBorder="1" applyAlignment="1" applyProtection="1">
      <alignment horizontal="center" vertical="center"/>
    </xf>
    <xf numFmtId="164" fontId="31" fillId="2" borderId="4" xfId="1" applyNumberFormat="1" applyFont="1" applyBorder="1" applyAlignment="1" applyProtection="1">
      <alignment horizontal="center" vertical="center"/>
    </xf>
    <xf numFmtId="164" fontId="31" fillId="2" borderId="46" xfId="1" applyNumberFormat="1" applyFont="1" applyBorder="1" applyAlignment="1" applyProtection="1">
      <alignment horizontal="center" vertical="center"/>
    </xf>
    <xf numFmtId="164" fontId="31" fillId="2" borderId="45" xfId="1" applyNumberFormat="1" applyFont="1" applyBorder="1" applyAlignment="1" applyProtection="1">
      <alignment horizontal="center" vertical="center"/>
    </xf>
    <xf numFmtId="164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164" fontId="35" fillId="13" borderId="19" xfId="2" applyNumberFormat="1" applyFont="1" applyBorder="1" applyAlignment="1" applyProtection="1">
      <alignment horizontal="center" vertical="center"/>
      <protection locked="0"/>
    </xf>
    <xf numFmtId="164" fontId="35" fillId="13" borderId="20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4" fontId="19" fillId="9" borderId="15" xfId="0" applyNumberFormat="1" applyFont="1" applyFill="1" applyBorder="1" applyAlignment="1">
      <alignment horizontal="center"/>
    </xf>
    <xf numFmtId="0" fontId="0" fillId="7" borderId="140" xfId="5" quotePrefix="1" applyFont="1" applyBorder="1" applyAlignment="1" applyProtection="1">
      <alignment horizontal="center"/>
    </xf>
    <xf numFmtId="0" fontId="0" fillId="7" borderId="141" xfId="5" quotePrefix="1" applyFont="1" applyBorder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9" fillId="9" borderId="108" xfId="0" applyNumberFormat="1" applyFont="1" applyFill="1" applyBorder="1" applyAlignment="1">
      <alignment horizontal="center"/>
    </xf>
    <xf numFmtId="164" fontId="19" fillId="7" borderId="111" xfId="5" applyNumberFormat="1" applyFont="1" applyBorder="1" applyAlignment="1" applyProtection="1">
      <alignment horizontal="center"/>
    </xf>
    <xf numFmtId="164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0" fontId="39" fillId="7" borderId="77" xfId="5" applyFont="1" applyBorder="1" applyAlignment="1" applyProtection="1">
      <alignment horizontal="center"/>
    </xf>
    <xf numFmtId="164" fontId="36" fillId="11" borderId="10" xfId="6" applyNumberFormat="1" applyFont="1" applyBorder="1" applyAlignment="1" applyProtection="1">
      <alignment horizontal="center" vertical="center"/>
    </xf>
    <xf numFmtId="164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0" fontId="19" fillId="29" borderId="2" xfId="8" applyFont="1" applyFill="1" applyBorder="1" applyAlignment="1" applyProtection="1">
      <alignment horizontal="right"/>
    </xf>
    <xf numFmtId="164" fontId="38" fillId="6" borderId="61" xfId="4" applyNumberFormat="1" applyFont="1" applyBorder="1" applyAlignment="1" applyProtection="1">
      <alignment horizontal="center"/>
    </xf>
    <xf numFmtId="164" fontId="38" fillId="6" borderId="62" xfId="4" applyNumberFormat="1" applyFont="1" applyBorder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164" fontId="35" fillId="13" borderId="18" xfId="2" applyNumberFormat="1" applyFont="1" applyBorder="1" applyAlignment="1" applyProtection="1">
      <alignment horizontal="center" vertical="center"/>
      <protection locked="0"/>
    </xf>
    <xf numFmtId="164" fontId="35" fillId="13" borderId="3" xfId="2" applyNumberFormat="1" applyFont="1" applyBorder="1" applyAlignment="1" applyProtection="1">
      <alignment horizontal="center" vertical="center"/>
      <protection locked="0"/>
    </xf>
    <xf numFmtId="164" fontId="31" fillId="2" borderId="17" xfId="1" applyNumberFormat="1" applyFont="1" applyBorder="1" applyAlignment="1" applyProtection="1">
      <alignment horizontal="center"/>
    </xf>
    <xf numFmtId="164" fontId="31" fillId="2" borderId="45" xfId="1" applyNumberFormat="1" applyFont="1" applyBorder="1" applyAlignment="1" applyProtection="1">
      <alignment horizontal="center"/>
    </xf>
    <xf numFmtId="164" fontId="31" fillId="2" borderId="18" xfId="1" applyNumberFormat="1" applyFont="1" applyBorder="1" applyAlignment="1" applyProtection="1">
      <alignment horizontal="center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4" fontId="19" fillId="16" borderId="0" xfId="8" applyNumberFormat="1" applyFont="1" applyAlignment="1" applyProtection="1">
      <alignment horizontal="center"/>
    </xf>
    <xf numFmtId="164" fontId="19" fillId="16" borderId="39" xfId="8" applyNumberFormat="1" applyFont="1" applyBorder="1" applyAlignment="1" applyProtection="1">
      <alignment horizontal="center"/>
    </xf>
    <xf numFmtId="164" fontId="35" fillId="13" borderId="8" xfId="2" quotePrefix="1" applyNumberFormat="1" applyFont="1" applyBorder="1" applyAlignment="1" applyProtection="1">
      <alignment horizontal="center" vertical="center"/>
      <protection locked="0"/>
    </xf>
    <xf numFmtId="164" fontId="35" fillId="13" borderId="61" xfId="2" quotePrefix="1" applyNumberFormat="1" applyFont="1" applyBorder="1" applyAlignment="1" applyProtection="1">
      <alignment horizontal="center" vertical="center"/>
      <protection locked="0"/>
    </xf>
    <xf numFmtId="164" fontId="35" fillId="13" borderId="13" xfId="2" quotePrefix="1" applyNumberFormat="1" applyFont="1" applyBorder="1" applyAlignment="1" applyProtection="1">
      <alignment horizontal="center" vertical="center"/>
      <protection locked="0"/>
    </xf>
    <xf numFmtId="0" fontId="38" fillId="6" borderId="49" xfId="4" applyFont="1" applyBorder="1" applyAlignment="1" applyProtection="1">
      <alignment horizontal="center"/>
    </xf>
    <xf numFmtId="164" fontId="31" fillId="2" borderId="29" xfId="1" applyNumberFormat="1" applyFont="1" applyBorder="1" applyAlignment="1" applyProtection="1">
      <alignment horizontal="center"/>
    </xf>
    <xf numFmtId="164" fontId="31" fillId="2" borderId="124" xfId="1" applyNumberFormat="1" applyFont="1" applyBorder="1" applyAlignment="1" applyProtection="1">
      <alignment horizontal="center"/>
    </xf>
    <xf numFmtId="164" fontId="31" fillId="2" borderId="15" xfId="1" applyNumberFormat="1" applyFont="1" applyBorder="1" applyAlignment="1" applyProtection="1">
      <alignment horizontal="center"/>
    </xf>
    <xf numFmtId="164" fontId="31" fillId="2" borderId="108" xfId="1" applyNumberFormat="1" applyFont="1" applyBorder="1" applyAlignment="1" applyProtection="1">
      <alignment horizontal="center"/>
    </xf>
    <xf numFmtId="164" fontId="38" fillId="6" borderId="125" xfId="4" applyNumberFormat="1" applyFont="1" applyBorder="1" applyAlignment="1" applyProtection="1">
      <alignment horizontal="left"/>
    </xf>
    <xf numFmtId="0" fontId="19" fillId="29" borderId="10" xfId="8" applyFont="1" applyFill="1" applyBorder="1" applyAlignment="1" applyProtection="1">
      <alignment horizontal="right"/>
    </xf>
    <xf numFmtId="0" fontId="19" fillId="29" borderId="11" xfId="8" applyFont="1" applyFill="1" applyBorder="1" applyAlignment="1" applyProtection="1">
      <alignment horizontal="right"/>
    </xf>
    <xf numFmtId="0" fontId="19" fillId="29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4" fontId="31" fillId="2" borderId="5" xfId="1" applyNumberFormat="1" applyFont="1" applyBorder="1" applyAlignment="1" applyProtection="1">
      <alignment horizontal="center"/>
    </xf>
    <xf numFmtId="164" fontId="31" fillId="2" borderId="23" xfId="1" applyNumberFormat="1" applyFont="1" applyBorder="1" applyAlignment="1" applyProtection="1">
      <alignment horizontal="center"/>
    </xf>
    <xf numFmtId="164" fontId="31" fillId="2" borderId="6" xfId="1" applyNumberFormat="1" applyFont="1" applyBorder="1" applyAlignment="1" applyProtection="1">
      <alignment horizont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164" fontId="19" fillId="16" borderId="1" xfId="8" applyNumberFormat="1" applyFont="1" applyBorder="1" applyAlignment="1" applyProtection="1">
      <alignment horizontal="center" vertical="center"/>
    </xf>
    <xf numFmtId="167" fontId="31" fillId="2" borderId="5" xfId="1" applyNumberFormat="1" applyFont="1" applyBorder="1" applyAlignment="1" applyProtection="1">
      <alignment horizontal="center"/>
    </xf>
    <xf numFmtId="167" fontId="31" fillId="2" borderId="23" xfId="1" applyNumberFormat="1" applyFont="1" applyBorder="1" applyAlignment="1" applyProtection="1">
      <alignment horizontal="center"/>
    </xf>
    <xf numFmtId="0" fontId="0" fillId="30" borderId="0" xfId="0" applyFill="1" applyAlignment="1" applyProtection="1">
      <alignment horizontal="center" vertical="center"/>
    </xf>
    <xf numFmtId="0" fontId="37" fillId="5" borderId="5" xfId="3" applyFont="1" applyBorder="1" applyAlignment="1" applyProtection="1">
      <alignment horizontal="center"/>
    </xf>
    <xf numFmtId="0" fontId="37" fillId="5" borderId="23" xfId="3" applyFont="1" applyBorder="1" applyAlignment="1" applyProtection="1">
      <alignment horizontal="center"/>
    </xf>
    <xf numFmtId="0" fontId="37" fillId="5" borderId="6" xfId="3" applyFont="1" applyBorder="1" applyAlignment="1" applyProtection="1">
      <alignment horizontal="center"/>
    </xf>
    <xf numFmtId="164" fontId="8" fillId="6" borderId="98" xfId="4" applyNumberFormat="1" applyBorder="1" applyAlignment="1" applyProtection="1">
      <alignment horizontal="center"/>
    </xf>
    <xf numFmtId="164" fontId="8" fillId="6" borderId="41" xfId="4" applyNumberFormat="1" applyBorder="1" applyAlignment="1" applyProtection="1">
      <alignment horizontal="center"/>
    </xf>
    <xf numFmtId="164" fontId="8" fillId="6" borderId="42" xfId="4" applyNumberFormat="1" applyBorder="1" applyAlignment="1" applyProtection="1">
      <alignment horizontal="center"/>
    </xf>
    <xf numFmtId="164" fontId="36" fillId="11" borderId="31" xfId="6" applyNumberFormat="1" applyFont="1" applyBorder="1" applyAlignment="1" applyProtection="1">
      <alignment horizontal="center"/>
    </xf>
    <xf numFmtId="164" fontId="36" fillId="11" borderId="10" xfId="6" applyNumberFormat="1" applyFont="1" applyBorder="1" applyAlignment="1" applyProtection="1">
      <alignment horizontal="center"/>
    </xf>
    <xf numFmtId="167" fontId="36" fillId="11" borderId="2" xfId="6" applyNumberFormat="1" applyFont="1" applyBorder="1" applyAlignment="1" applyProtection="1">
      <alignment horizontal="center"/>
    </xf>
    <xf numFmtId="164" fontId="28" fillId="7" borderId="2" xfId="5" quotePrefix="1" applyNumberFormat="1" applyFont="1" applyBorder="1" applyAlignment="1" applyProtection="1">
      <alignment horizontal="left"/>
    </xf>
    <xf numFmtId="164" fontId="19" fillId="7" borderId="5" xfId="5" applyNumberFormat="1" applyFont="1" applyBorder="1" applyAlignment="1" applyProtection="1">
      <alignment horizontal="center"/>
    </xf>
    <xf numFmtId="164" fontId="19" fillId="7" borderId="23" xfId="5" applyNumberFormat="1" applyFont="1" applyBorder="1" applyAlignment="1" applyProtection="1">
      <alignment horizontal="center"/>
    </xf>
    <xf numFmtId="164" fontId="19" fillId="7" borderId="6" xfId="5" applyNumberFormat="1" applyFont="1" applyBorder="1" applyAlignment="1" applyProtection="1">
      <alignment horizontal="center"/>
    </xf>
    <xf numFmtId="164" fontId="28" fillId="32" borderId="2" xfId="0" applyNumberFormat="1" applyFont="1" applyFill="1" applyBorder="1" applyAlignment="1" applyProtection="1">
      <alignment horizontal="left" vertical="center"/>
    </xf>
    <xf numFmtId="164" fontId="28" fillId="3" borderId="5" xfId="0" applyNumberFormat="1" applyFont="1" applyFill="1" applyBorder="1" applyAlignment="1" applyProtection="1">
      <alignment horizontal="center"/>
    </xf>
    <xf numFmtId="164" fontId="28" fillId="3" borderId="23" xfId="0" applyNumberFormat="1" applyFont="1" applyFill="1" applyBorder="1" applyAlignment="1" applyProtection="1">
      <alignment horizontal="center"/>
    </xf>
    <xf numFmtId="164" fontId="28" fillId="3" borderId="6" xfId="0" applyNumberFormat="1" applyFont="1" applyFill="1" applyBorder="1" applyAlignment="1" applyProtection="1">
      <alignment horizontal="center"/>
    </xf>
    <xf numFmtId="164" fontId="19" fillId="9" borderId="14" xfId="0" applyNumberFormat="1" applyFont="1" applyFill="1" applyBorder="1" applyAlignment="1" applyProtection="1">
      <alignment horizontal="left"/>
    </xf>
    <xf numFmtId="164" fontId="19" fillId="9" borderId="15" xfId="0" applyNumberFormat="1" applyFont="1" applyFill="1" applyBorder="1" applyAlignment="1" applyProtection="1">
      <alignment horizontal="left"/>
    </xf>
    <xf numFmtId="164" fontId="28" fillId="7" borderId="5" xfId="5" quotePrefix="1" applyNumberFormat="1" applyFont="1" applyBorder="1" applyAlignment="1" applyProtection="1">
      <alignment horizontal="left"/>
    </xf>
    <xf numFmtId="164" fontId="28" fillId="7" borderId="23" xfId="5" quotePrefix="1" applyNumberFormat="1" applyFont="1" applyBorder="1" applyAlignment="1" applyProtection="1">
      <alignment horizontal="left"/>
    </xf>
    <xf numFmtId="164" fontId="28" fillId="7" borderId="6" xfId="5" quotePrefix="1" applyNumberFormat="1" applyFont="1" applyBorder="1" applyAlignment="1" applyProtection="1">
      <alignment horizontal="left"/>
    </xf>
    <xf numFmtId="164" fontId="46" fillId="7" borderId="5" xfId="5" applyNumberFormat="1" applyFont="1" applyBorder="1" applyAlignment="1" applyProtection="1">
      <alignment horizontal="center"/>
    </xf>
    <xf numFmtId="164" fontId="46" fillId="7" borderId="23" xfId="5" applyNumberFormat="1" applyFont="1" applyBorder="1" applyAlignment="1" applyProtection="1">
      <alignment horizontal="center"/>
    </xf>
    <xf numFmtId="164" fontId="46" fillId="7" borderId="8" xfId="5" applyNumberFormat="1" applyFont="1" applyBorder="1" applyAlignment="1" applyProtection="1">
      <alignment horizontal="center"/>
    </xf>
    <xf numFmtId="164" fontId="46" fillId="7" borderId="9" xfId="5" applyNumberFormat="1" applyFont="1" applyBorder="1" applyAlignment="1" applyProtection="1">
      <alignment horizontal="center"/>
    </xf>
    <xf numFmtId="164" fontId="31" fillId="2" borderId="148" xfId="1" applyNumberFormat="1" applyFont="1" applyBorder="1" applyAlignment="1" applyProtection="1">
      <alignment horizontal="center" vertical="center"/>
    </xf>
    <xf numFmtId="164" fontId="31" fillId="2" borderId="61" xfId="1" applyNumberFormat="1" applyFont="1" applyBorder="1" applyAlignment="1" applyProtection="1">
      <alignment horizontal="center" vertical="center"/>
    </xf>
    <xf numFmtId="164" fontId="31" fillId="2" borderId="149" xfId="1" applyNumberFormat="1" applyFont="1" applyBorder="1" applyAlignment="1" applyProtection="1">
      <alignment horizontal="center" vertical="center"/>
    </xf>
    <xf numFmtId="164" fontId="19" fillId="9" borderId="2" xfId="0" applyNumberFormat="1" applyFont="1" applyFill="1" applyBorder="1" applyAlignment="1" applyProtection="1">
      <alignment horizontal="left"/>
    </xf>
    <xf numFmtId="164" fontId="19" fillId="0" borderId="0" xfId="0" quotePrefix="1" applyNumberFormat="1" applyFont="1" applyAlignment="1" applyProtection="1">
      <alignment horizontal="center" vertical="center"/>
    </xf>
    <xf numFmtId="164" fontId="19" fillId="0" borderId="2" xfId="0" applyNumberFormat="1" applyFont="1" applyBorder="1" applyAlignment="1" applyProtection="1">
      <alignment horizontal="left"/>
    </xf>
    <xf numFmtId="0" fontId="34" fillId="3" borderId="5" xfId="0" applyFont="1" applyFill="1" applyBorder="1" applyAlignment="1" applyProtection="1">
      <alignment horizontal="center"/>
    </xf>
    <xf numFmtId="0" fontId="34" fillId="3" borderId="23" xfId="0" applyFont="1" applyFill="1" applyBorder="1" applyAlignment="1" applyProtection="1">
      <alignment horizontal="center"/>
    </xf>
    <xf numFmtId="0" fontId="34" fillId="3" borderId="6" xfId="0" applyFont="1" applyFill="1" applyBorder="1" applyAlignment="1" applyProtection="1">
      <alignment horizontal="center"/>
    </xf>
    <xf numFmtId="0" fontId="34" fillId="12" borderId="2" xfId="0" applyFont="1" applyFill="1" applyBorder="1" applyAlignment="1" applyProtection="1">
      <alignment horizontal="left" vertical="center"/>
    </xf>
    <xf numFmtId="164" fontId="37" fillId="5" borderId="5" xfId="3" applyNumberFormat="1" applyFont="1" applyBorder="1" applyAlignment="1" applyProtection="1">
      <alignment horizontal="center"/>
    </xf>
    <xf numFmtId="164" fontId="37" fillId="5" borderId="23" xfId="3" applyNumberFormat="1" applyFont="1" applyBorder="1" applyAlignment="1" applyProtection="1">
      <alignment horizontal="center"/>
    </xf>
    <xf numFmtId="164" fontId="37" fillId="5" borderId="6" xfId="3" applyNumberFormat="1" applyFont="1" applyBorder="1" applyAlignment="1" applyProtection="1">
      <alignment horizontal="center"/>
    </xf>
    <xf numFmtId="164" fontId="37" fillId="5" borderId="5" xfId="3" applyNumberFormat="1" applyFont="1" applyBorder="1" applyAlignment="1" applyProtection="1">
      <alignment horizontal="right"/>
    </xf>
    <xf numFmtId="164" fontId="36" fillId="11" borderId="11" xfId="6" applyNumberFormat="1" applyFont="1" applyBorder="1" applyAlignment="1" applyProtection="1">
      <alignment horizontal="center" vertical="center"/>
    </xf>
    <xf numFmtId="0" fontId="0" fillId="12" borderId="2" xfId="0" applyFill="1" applyBorder="1" applyAlignment="1" applyProtection="1">
      <alignment horizontal="center" vertical="center"/>
    </xf>
    <xf numFmtId="0" fontId="34" fillId="12" borderId="30" xfId="0" applyFont="1" applyFill="1" applyBorder="1" applyAlignment="1" applyProtection="1">
      <alignment horizontal="left" vertical="center"/>
    </xf>
    <xf numFmtId="164" fontId="31" fillId="2" borderId="150" xfId="1" applyNumberFormat="1" applyFont="1" applyBorder="1" applyAlignment="1" applyProtection="1">
      <alignment horizontal="center"/>
    </xf>
    <xf numFmtId="164" fontId="31" fillId="2" borderId="151" xfId="1" applyNumberFormat="1" applyFont="1" applyBorder="1" applyAlignment="1" applyProtection="1">
      <alignment horizontal="center"/>
    </xf>
    <xf numFmtId="164" fontId="31" fillId="2" borderId="152" xfId="1" applyNumberFormat="1" applyFont="1" applyBorder="1" applyAlignment="1" applyProtection="1">
      <alignment horizontal="center"/>
    </xf>
    <xf numFmtId="164" fontId="19" fillId="9" borderId="15" xfId="0" applyNumberFormat="1" applyFont="1" applyFill="1" applyBorder="1" applyAlignment="1" applyProtection="1">
      <alignment horizontal="center"/>
    </xf>
    <xf numFmtId="164" fontId="19" fillId="9" borderId="108" xfId="0" applyNumberFormat="1" applyFont="1" applyFill="1" applyBorder="1" applyAlignment="1" applyProtection="1">
      <alignment horizontal="center"/>
    </xf>
    <xf numFmtId="164" fontId="38" fillId="6" borderId="128" xfId="4" applyNumberFormat="1" applyFont="1" applyBorder="1" applyAlignment="1" applyProtection="1">
      <alignment horizontal="left"/>
    </xf>
    <xf numFmtId="164" fontId="38" fillId="6" borderId="15" xfId="4" applyNumberFormat="1" applyFont="1" applyBorder="1" applyAlignment="1" applyProtection="1">
      <alignment horizontal="left"/>
    </xf>
    <xf numFmtId="164" fontId="38" fillId="6" borderId="129" xfId="4" applyNumberFormat="1" applyFont="1" applyBorder="1" applyAlignment="1" applyProtection="1">
      <alignment horizontal="left"/>
    </xf>
    <xf numFmtId="164" fontId="31" fillId="7" borderId="25" xfId="5" applyNumberFormat="1" applyFont="1" applyAlignment="1" applyProtection="1">
      <alignment horizontal="center" vertical="center"/>
    </xf>
    <xf numFmtId="0" fontId="31" fillId="7" borderId="25" xfId="5" applyFont="1" applyAlignment="1" applyProtection="1">
      <alignment horizontal="center" vertical="center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4" fontId="31" fillId="2" borderId="10" xfId="1" applyNumberFormat="1" applyFont="1" applyBorder="1" applyAlignment="1" applyProtection="1">
      <alignment horizontal="center" vertical="center"/>
    </xf>
    <xf numFmtId="166" fontId="31" fillId="7" borderId="25" xfId="5" applyNumberFormat="1" applyFont="1" applyAlignment="1" applyProtection="1">
      <alignment horizontal="center" vertical="center"/>
    </xf>
    <xf numFmtId="0" fontId="3" fillId="13" borderId="153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108" xfId="2" applyBorder="1" applyAlignment="1" applyProtection="1">
      <alignment horizontal="center"/>
      <protection locked="0"/>
    </xf>
    <xf numFmtId="49" fontId="35" fillId="7" borderId="25" xfId="5" quotePrefix="1" applyNumberFormat="1" applyFont="1" applyAlignment="1" applyProtection="1">
      <alignment horizontal="center"/>
    </xf>
    <xf numFmtId="49" fontId="35" fillId="7" borderId="25" xfId="5" applyNumberFormat="1" applyFont="1" applyAlignment="1" applyProtection="1">
      <alignment horizontal="center"/>
    </xf>
    <xf numFmtId="164" fontId="73" fillId="3" borderId="1" xfId="1" applyNumberFormat="1" applyFont="1" applyFill="1" applyAlignment="1" applyProtection="1">
      <alignment horizontal="center" vertical="center"/>
    </xf>
    <xf numFmtId="0" fontId="73" fillId="3" borderId="1" xfId="1" applyFont="1" applyFill="1" applyAlignment="1" applyProtection="1">
      <alignment horizontal="center" vertical="center"/>
    </xf>
    <xf numFmtId="164" fontId="73" fillId="3" borderId="29" xfId="1" applyNumberFormat="1" applyFont="1" applyFill="1" applyBorder="1" applyAlignment="1" applyProtection="1">
      <alignment horizontal="center" vertical="center"/>
    </xf>
    <xf numFmtId="164" fontId="73" fillId="3" borderId="13" xfId="1" applyNumberFormat="1" applyFont="1" applyFill="1" applyBorder="1" applyAlignment="1" applyProtection="1">
      <alignment horizontal="center" vertical="center"/>
    </xf>
    <xf numFmtId="164" fontId="42" fillId="19" borderId="0" xfId="0" applyNumberFormat="1" applyFont="1" applyFill="1" applyAlignment="1" applyProtection="1">
      <alignment horizontal="center" vertical="center"/>
    </xf>
    <xf numFmtId="164" fontId="43" fillId="19" borderId="0" xfId="0" applyNumberFormat="1" applyFont="1" applyFill="1" applyAlignment="1" applyProtection="1">
      <alignment horizontal="center" vertical="center"/>
    </xf>
    <xf numFmtId="164" fontId="19" fillId="32" borderId="2" xfId="0" applyNumberFormat="1" applyFont="1" applyFill="1" applyBorder="1" applyAlignment="1" applyProtection="1">
      <alignment horizontal="center" vertical="center"/>
    </xf>
    <xf numFmtId="164" fontId="28" fillId="32" borderId="2" xfId="0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9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73" fillId="3" borderId="2" xfId="1" applyFont="1" applyFill="1" applyBorder="1" applyAlignment="1" applyProtection="1">
      <alignment horizontal="center" vertical="center"/>
    </xf>
    <xf numFmtId="164" fontId="38" fillId="6" borderId="144" xfId="4" applyNumberFormat="1" applyFont="1" applyBorder="1" applyAlignment="1" applyProtection="1">
      <alignment horizontal="center" vertical="center"/>
    </xf>
    <xf numFmtId="164" fontId="38" fillId="6" borderId="0" xfId="4" applyNumberFormat="1" applyFont="1" applyBorder="1" applyAlignment="1" applyProtection="1">
      <alignment horizontal="center" vertical="center"/>
    </xf>
    <xf numFmtId="164" fontId="46" fillId="7" borderId="2" xfId="5" applyNumberFormat="1" applyFont="1" applyBorder="1" applyAlignment="1" applyProtection="1">
      <alignment horizontal="center" vertical="center" wrapText="1"/>
    </xf>
    <xf numFmtId="164" fontId="70" fillId="7" borderId="143" xfId="12" applyNumberFormat="1" applyFill="1" applyAlignment="1" applyProtection="1">
      <alignment horizontal="center" vertical="center"/>
    </xf>
    <xf numFmtId="0" fontId="13" fillId="11" borderId="13" xfId="6" applyBorder="1" applyAlignment="1" applyProtection="1">
      <alignment horizontal="center" vertical="center"/>
    </xf>
    <xf numFmtId="0" fontId="13" fillId="11" borderId="1" xfId="6" applyBorder="1" applyAlignment="1" applyProtection="1">
      <alignment horizontal="center" vertical="center"/>
    </xf>
    <xf numFmtId="164" fontId="28" fillId="31" borderId="14" xfId="0" applyNumberFormat="1" applyFont="1" applyFill="1" applyBorder="1" applyAlignment="1" applyProtection="1">
      <alignment horizontal="left"/>
    </xf>
    <xf numFmtId="164" fontId="28" fillId="31" borderId="15" xfId="0" applyNumberFormat="1" applyFont="1" applyFill="1" applyBorder="1" applyAlignment="1" applyProtection="1">
      <alignment horizontal="left"/>
    </xf>
    <xf numFmtId="164" fontId="65" fillId="7" borderId="2" xfId="5" applyNumberFormat="1" applyFont="1" applyBorder="1" applyAlignment="1" applyProtection="1">
      <alignment horizontal="left" vertical="center"/>
    </xf>
    <xf numFmtId="0" fontId="63" fillId="31" borderId="2" xfId="0" applyFont="1" applyFill="1" applyBorder="1" applyAlignment="1" applyProtection="1">
      <alignment horizontal="center" vertical="center"/>
    </xf>
    <xf numFmtId="0" fontId="0" fillId="31" borderId="2" xfId="0" applyFill="1" applyBorder="1" applyAlignment="1" applyProtection="1">
      <alignment horizontal="center" vertical="center"/>
    </xf>
    <xf numFmtId="0" fontId="0" fillId="31" borderId="7" xfId="0" applyFill="1" applyBorder="1" applyAlignment="1" applyProtection="1">
      <alignment horizontal="center" vertical="center"/>
    </xf>
    <xf numFmtId="0" fontId="0" fillId="31" borderId="8" xfId="0" applyFill="1" applyBorder="1" applyAlignment="1" applyProtection="1">
      <alignment horizontal="center" vertical="center"/>
    </xf>
    <xf numFmtId="0" fontId="0" fillId="31" borderId="9" xfId="0" applyFill="1" applyBorder="1" applyAlignment="1" applyProtection="1">
      <alignment horizontal="center" vertical="center"/>
    </xf>
    <xf numFmtId="0" fontId="0" fillId="31" borderId="10" xfId="0" applyFill="1" applyBorder="1" applyAlignment="1" applyProtection="1">
      <alignment horizontal="center" vertical="center"/>
    </xf>
    <xf numFmtId="0" fontId="0" fillId="31" borderId="11" xfId="0" applyFill="1" applyBorder="1" applyAlignment="1" applyProtection="1">
      <alignment horizontal="center" vertical="center"/>
    </xf>
    <xf numFmtId="0" fontId="0" fillId="31" borderId="12" xfId="0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4" fontId="46" fillId="34" borderId="7" xfId="8" applyNumberFormat="1" applyFont="1" applyFill="1" applyBorder="1" applyAlignment="1" applyProtection="1">
      <alignment horizontal="center" vertical="center" wrapText="1"/>
    </xf>
    <xf numFmtId="164" fontId="46" fillId="34" borderId="8" xfId="8" applyNumberFormat="1" applyFont="1" applyFill="1" applyBorder="1" applyAlignment="1" applyProtection="1">
      <alignment horizontal="center" vertical="center" wrapText="1"/>
    </xf>
    <xf numFmtId="164" fontId="46" fillId="34" borderId="9" xfId="8" applyNumberFormat="1" applyFont="1" applyFill="1" applyBorder="1" applyAlignment="1" applyProtection="1">
      <alignment horizontal="center" vertical="center" wrapText="1"/>
    </xf>
    <xf numFmtId="164" fontId="46" fillId="34" borderId="10" xfId="8" applyNumberFormat="1" applyFont="1" applyFill="1" applyBorder="1" applyAlignment="1" applyProtection="1">
      <alignment horizontal="center" vertical="center" wrapText="1"/>
    </xf>
    <xf numFmtId="164" fontId="46" fillId="34" borderId="11" xfId="8" applyNumberFormat="1" applyFont="1" applyFill="1" applyBorder="1" applyAlignment="1" applyProtection="1">
      <alignment horizontal="center" vertical="center" wrapText="1"/>
    </xf>
    <xf numFmtId="164" fontId="46" fillId="34" borderId="12" xfId="8" applyNumberFormat="1" applyFont="1" applyFill="1" applyBorder="1" applyAlignment="1" applyProtection="1">
      <alignment horizontal="center" vertical="center" wrapText="1"/>
    </xf>
    <xf numFmtId="164" fontId="19" fillId="16" borderId="7" xfId="8" applyNumberFormat="1" applyFont="1" applyBorder="1" applyAlignment="1" applyProtection="1">
      <alignment horizontal="left" vertical="center"/>
    </xf>
    <xf numFmtId="164" fontId="19" fillId="16" borderId="8" xfId="8" applyNumberFormat="1" applyFont="1" applyBorder="1" applyAlignment="1" applyProtection="1">
      <alignment horizontal="left" vertical="center"/>
    </xf>
    <xf numFmtId="164" fontId="19" fillId="16" borderId="9" xfId="8" applyNumberFormat="1" applyFont="1" applyBorder="1" applyAlignment="1" applyProtection="1">
      <alignment horizontal="left" vertical="center"/>
    </xf>
    <xf numFmtId="164" fontId="19" fillId="16" borderId="10" xfId="8" applyNumberFormat="1" applyFont="1" applyBorder="1" applyAlignment="1" applyProtection="1">
      <alignment horizontal="left" vertical="center"/>
    </xf>
    <xf numFmtId="164" fontId="19" fillId="16" borderId="11" xfId="8" applyNumberFormat="1" applyFont="1" applyBorder="1" applyAlignment="1" applyProtection="1">
      <alignment horizontal="left" vertical="center"/>
    </xf>
    <xf numFmtId="164" fontId="19" fillId="16" borderId="12" xfId="8" applyNumberFormat="1" applyFont="1" applyBorder="1" applyAlignment="1" applyProtection="1">
      <alignment horizontal="left" vertical="center"/>
    </xf>
    <xf numFmtId="164" fontId="65" fillId="7" borderId="5" xfId="5" applyNumberFormat="1" applyFont="1" applyBorder="1" applyAlignment="1" applyProtection="1">
      <alignment horizontal="left" vertical="center"/>
    </xf>
    <xf numFmtId="164" fontId="65" fillId="7" borderId="23" xfId="5" applyNumberFormat="1" applyFont="1" applyBorder="1" applyAlignment="1" applyProtection="1">
      <alignment horizontal="left" vertical="center"/>
    </xf>
    <xf numFmtId="164" fontId="65" fillId="7" borderId="6" xfId="5" applyNumberFormat="1" applyFont="1" applyBorder="1" applyAlignment="1" applyProtection="1">
      <alignment horizontal="left" vertical="center"/>
    </xf>
    <xf numFmtId="0" fontId="31" fillId="2" borderId="13" xfId="1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4" fontId="35" fillId="13" borderId="105" xfId="2" quotePrefix="1" applyNumberFormat="1" applyFont="1" applyBorder="1" applyAlignment="1" applyProtection="1">
      <alignment horizontal="center" vertical="center"/>
      <protection locked="0"/>
    </xf>
    <xf numFmtId="164" fontId="35" fillId="13" borderId="0" xfId="2" applyNumberFormat="1" applyFont="1" applyBorder="1" applyAlignment="1" applyProtection="1">
      <alignment horizontal="center" vertical="center"/>
      <protection locked="0"/>
    </xf>
    <xf numFmtId="164" fontId="35" fillId="13" borderId="106" xfId="2" applyNumberFormat="1" applyFont="1" applyBorder="1" applyAlignment="1" applyProtection="1">
      <alignment horizontal="center" vertical="center"/>
      <protection locked="0"/>
    </xf>
    <xf numFmtId="164" fontId="35" fillId="13" borderId="105" xfId="2" applyNumberFormat="1" applyFont="1" applyBorder="1" applyAlignment="1" applyProtection="1">
      <alignment horizontal="center" vertical="center"/>
      <protection locked="0"/>
    </xf>
    <xf numFmtId="164" fontId="35" fillId="13" borderId="107" xfId="2" applyNumberFormat="1" applyFont="1" applyBorder="1" applyAlignment="1" applyProtection="1">
      <alignment horizontal="center" vertical="center"/>
      <protection locked="0"/>
    </xf>
    <xf numFmtId="171" fontId="1" fillId="2" borderId="1" xfId="1" quotePrefix="1" applyNumberFormat="1" applyAlignment="1" applyProtection="1">
      <alignment horizontal="center" vertical="center"/>
    </xf>
    <xf numFmtId="164" fontId="65" fillId="7" borderId="5" xfId="5" applyNumberFormat="1" applyFont="1" applyBorder="1" applyAlignment="1" applyProtection="1">
      <alignment horizontal="center" vertical="center"/>
    </xf>
    <xf numFmtId="164" fontId="65" fillId="7" borderId="23" xfId="5" applyNumberFormat="1" applyFont="1" applyBorder="1" applyAlignment="1" applyProtection="1">
      <alignment horizontal="center" vertical="center"/>
    </xf>
    <xf numFmtId="164" fontId="65" fillId="7" borderId="6" xfId="5" applyNumberFormat="1" applyFont="1" applyBorder="1" applyAlignment="1" applyProtection="1">
      <alignment horizontal="center" vertical="center"/>
    </xf>
    <xf numFmtId="164" fontId="65" fillId="7" borderId="8" xfId="5" applyNumberFormat="1" applyFont="1" applyBorder="1" applyAlignment="1" applyProtection="1">
      <alignment horizontal="left" vertical="center"/>
    </xf>
    <xf numFmtId="164" fontId="65" fillId="7" borderId="9" xfId="5" applyNumberFormat="1" applyFont="1" applyBorder="1" applyAlignment="1" applyProtection="1">
      <alignment horizontal="left" vertical="center"/>
    </xf>
    <xf numFmtId="0" fontId="0" fillId="31" borderId="31" xfId="0" applyFill="1" applyBorder="1" applyAlignment="1" applyProtection="1">
      <alignment horizontal="center" vertical="center"/>
    </xf>
    <xf numFmtId="0" fontId="1" fillId="2" borderId="145" xfId="1" applyBorder="1" applyAlignment="1" applyProtection="1">
      <alignment horizontal="center" vertical="center"/>
    </xf>
    <xf numFmtId="0" fontId="1" fillId="2" borderId="146" xfId="1" applyBorder="1" applyAlignment="1" applyProtection="1">
      <alignment horizontal="center" vertical="center"/>
    </xf>
    <xf numFmtId="0" fontId="1" fillId="2" borderId="44" xfId="1" applyBorder="1" applyAlignment="1" applyProtection="1">
      <alignment horizontal="center" vertical="center"/>
    </xf>
    <xf numFmtId="0" fontId="1" fillId="2" borderId="38" xfId="1" applyBorder="1" applyAlignment="1" applyProtection="1">
      <alignment horizontal="center" vertical="center"/>
    </xf>
    <xf numFmtId="164" fontId="1" fillId="2" borderId="147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13" fillId="11" borderId="31" xfId="6" applyBorder="1" applyAlignment="1" applyProtection="1">
      <alignment horizontal="center" vertical="center"/>
    </xf>
    <xf numFmtId="0" fontId="13" fillId="11" borderId="2" xfId="6" applyBorder="1" applyAlignment="1" applyProtection="1">
      <alignment horizontal="center" vertical="center"/>
    </xf>
    <xf numFmtId="164" fontId="35" fillId="13" borderId="19" xfId="2" quotePrefix="1" applyNumberFormat="1" applyFont="1" applyBorder="1" applyAlignment="1" applyProtection="1">
      <alignment horizontal="center" vertical="center"/>
      <protection locked="0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164" fontId="68" fillId="13" borderId="13" xfId="2" applyNumberFormat="1" applyFont="1" applyBorder="1" applyAlignment="1" applyProtection="1">
      <alignment horizontal="center" vertical="center"/>
      <protection locked="0"/>
    </xf>
    <xf numFmtId="164" fontId="68" fillId="13" borderId="1" xfId="2" applyNumberFormat="1" applyFont="1" applyAlignment="1" applyProtection="1">
      <alignment horizontal="center" vertical="center"/>
      <protection locked="0"/>
    </xf>
    <xf numFmtId="164" fontId="68" fillId="13" borderId="13" xfId="2" quotePrefix="1" applyNumberFormat="1" applyFont="1" applyBorder="1" applyAlignment="1" applyProtection="1">
      <alignment horizontal="center" vertical="center"/>
      <protection locked="0"/>
    </xf>
    <xf numFmtId="0" fontId="63" fillId="31" borderId="5" xfId="0" applyFont="1" applyFill="1" applyBorder="1" applyAlignment="1" applyProtection="1">
      <alignment horizontal="center" vertical="center"/>
    </xf>
    <xf numFmtId="0" fontId="63" fillId="31" borderId="23" xfId="0" applyFont="1" applyFill="1" applyBorder="1" applyAlignment="1" applyProtection="1">
      <alignment horizontal="center" vertical="center"/>
    </xf>
    <xf numFmtId="164" fontId="27" fillId="2" borderId="13" xfId="1" applyNumberFormat="1" applyFont="1" applyBorder="1" applyAlignment="1" applyProtection="1">
      <alignment horizontal="center" vertical="center"/>
    </xf>
    <xf numFmtId="0" fontId="27" fillId="2" borderId="13" xfId="1" applyFont="1" applyBorder="1" applyAlignment="1" applyProtection="1">
      <alignment horizontal="center" vertical="center"/>
    </xf>
    <xf numFmtId="0" fontId="27" fillId="2" borderId="1" xfId="1" applyFont="1" applyAlignment="1" applyProtection="1">
      <alignment horizontal="center" vertical="center"/>
    </xf>
    <xf numFmtId="164" fontId="69" fillId="6" borderId="24" xfId="4" applyNumberFormat="1" applyFont="1" applyAlignment="1" applyProtection="1">
      <alignment horizontal="center" vertical="center"/>
    </xf>
    <xf numFmtId="0" fontId="24" fillId="3" borderId="2" xfId="0" applyFont="1" applyFill="1" applyBorder="1" applyAlignment="1" applyProtection="1">
      <alignment horizontal="left" vertical="center"/>
    </xf>
    <xf numFmtId="164" fontId="24" fillId="3" borderId="2" xfId="0" applyNumberFormat="1" applyFont="1" applyFill="1" applyBorder="1" applyAlignment="1" applyProtection="1">
      <alignment horizontal="left" vertical="center"/>
    </xf>
    <xf numFmtId="0" fontId="24" fillId="3" borderId="2" xfId="0" applyFont="1" applyFill="1" applyBorder="1" applyAlignment="1" applyProtection="1">
      <alignment horizontal="center" vertical="center"/>
    </xf>
    <xf numFmtId="0" fontId="0" fillId="0" borderId="4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</xf>
    <xf numFmtId="0" fontId="0" fillId="0" borderId="22" xfId="0" applyBorder="1" applyAlignment="1">
      <alignment horizontal="center"/>
    </xf>
    <xf numFmtId="164" fontId="19" fillId="16" borderId="126" xfId="8" applyNumberFormat="1" applyFont="1" applyBorder="1" applyAlignment="1" applyProtection="1">
      <alignment horizontal="center" vertical="center"/>
    </xf>
    <xf numFmtId="164" fontId="19" fillId="16" borderId="22" xfId="8" applyNumberFormat="1" applyFont="1" applyBorder="1" applyAlignment="1" applyProtection="1">
      <alignment horizontal="center" vertical="center"/>
    </xf>
    <xf numFmtId="164" fontId="19" fillId="16" borderId="148" xfId="8" applyNumberFormat="1" applyFont="1" applyBorder="1" applyAlignment="1" applyProtection="1">
      <alignment horizontal="center" vertical="center"/>
    </xf>
    <xf numFmtId="164" fontId="19" fillId="16" borderId="61" xfId="8" applyNumberFormat="1" applyFont="1" applyBorder="1" applyAlignment="1" applyProtection="1">
      <alignment horizontal="center" vertical="center"/>
    </xf>
    <xf numFmtId="44" fontId="78" fillId="16" borderId="126" xfId="8" applyNumberFormat="1" applyFont="1" applyBorder="1" applyAlignment="1" applyProtection="1">
      <alignment horizontal="center" vertical="center" wrapText="1"/>
    </xf>
    <xf numFmtId="44" fontId="78" fillId="16" borderId="22" xfId="8" applyNumberFormat="1" applyFont="1" applyBorder="1" applyAlignment="1" applyProtection="1">
      <alignment horizontal="center" vertical="center" wrapText="1"/>
    </xf>
    <xf numFmtId="44" fontId="78" fillId="16" borderId="127" xfId="8" applyNumberFormat="1" applyFont="1" applyBorder="1" applyAlignment="1" applyProtection="1">
      <alignment horizontal="center" vertical="center" wrapText="1"/>
    </xf>
    <xf numFmtId="44" fontId="78" fillId="16" borderId="10" xfId="8" applyNumberFormat="1" applyFont="1" applyBorder="1" applyAlignment="1" applyProtection="1">
      <alignment horizontal="center" vertical="center" wrapText="1"/>
    </xf>
    <xf numFmtId="44" fontId="78" fillId="16" borderId="11" xfId="8" applyNumberFormat="1" applyFont="1" applyBorder="1" applyAlignment="1" applyProtection="1">
      <alignment horizontal="center" vertical="center" wrapText="1"/>
    </xf>
    <xf numFmtId="44" fontId="78" fillId="16" borderId="12" xfId="8" applyNumberFormat="1" applyFont="1" applyBorder="1" applyAlignment="1" applyProtection="1">
      <alignment horizontal="center" vertical="center" wrapText="1"/>
    </xf>
    <xf numFmtId="44" fontId="78" fillId="16" borderId="2" xfId="8" applyNumberFormat="1" applyFont="1" applyBorder="1" applyAlignment="1" applyProtection="1">
      <alignment horizontal="center" vertical="center" wrapText="1"/>
    </xf>
    <xf numFmtId="0" fontId="57" fillId="6" borderId="41" xfId="4" applyFont="1" applyBorder="1" applyAlignment="1" applyProtection="1">
      <alignment horizontal="center"/>
    </xf>
    <xf numFmtId="0" fontId="57" fillId="6" borderId="42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44" fontId="78" fillId="16" borderId="31" xfId="8" applyNumberFormat="1" applyFont="1" applyBorder="1" applyAlignment="1" applyProtection="1">
      <alignment horizontal="center" vertical="center" wrapText="1"/>
    </xf>
    <xf numFmtId="0" fontId="57" fillId="6" borderId="98" xfId="4" applyFont="1" applyBorder="1" applyAlignment="1" applyProtection="1">
      <alignment horizontal="center"/>
    </xf>
    <xf numFmtId="164" fontId="0" fillId="3" borderId="25" xfId="5" applyNumberFormat="1" applyFont="1" applyFill="1" applyAlignment="1">
      <alignment horizontal="center"/>
    </xf>
    <xf numFmtId="44" fontId="78" fillId="16" borderId="7" xfId="8" applyNumberFormat="1" applyFont="1" applyBorder="1" applyAlignment="1" applyProtection="1">
      <alignment horizontal="center" vertical="center" wrapText="1"/>
    </xf>
    <xf numFmtId="44" fontId="78" fillId="16" borderId="8" xfId="8" applyNumberFormat="1" applyFont="1" applyBorder="1" applyAlignment="1" applyProtection="1">
      <alignment horizontal="center" vertical="center" wrapText="1"/>
    </xf>
    <xf numFmtId="44" fontId="78" fillId="16" borderId="9" xfId="8" applyNumberFormat="1" applyFont="1" applyBorder="1" applyAlignment="1" applyProtection="1">
      <alignment horizontal="center" vertical="center" wrapText="1"/>
    </xf>
    <xf numFmtId="164" fontId="19" fillId="16" borderId="2" xfId="8" applyNumberFormat="1" applyFont="1" applyBorder="1" applyAlignment="1" applyProtection="1">
      <alignment horizontal="center"/>
    </xf>
    <xf numFmtId="49" fontId="58" fillId="13" borderId="7" xfId="2" applyNumberFormat="1" applyFont="1" applyBorder="1" applyAlignment="1" applyProtection="1">
      <alignment horizontal="center" vertical="center"/>
    </xf>
    <xf numFmtId="49" fontId="58" fillId="13" borderId="27" xfId="2" applyNumberFormat="1" applyFont="1" applyBorder="1" applyAlignment="1" applyProtection="1">
      <alignment horizontal="center" vertical="center"/>
    </xf>
    <xf numFmtId="0" fontId="57" fillId="6" borderId="130" xfId="4" applyFont="1" applyBorder="1" applyAlignment="1" applyProtection="1">
      <alignment horizontal="center"/>
    </xf>
    <xf numFmtId="0" fontId="57" fillId="6" borderId="59" xfId="4" applyFont="1" applyBorder="1" applyAlignment="1" applyProtection="1">
      <alignment horizontal="center"/>
    </xf>
    <xf numFmtId="0" fontId="57" fillId="6" borderId="60" xfId="4" applyFont="1" applyBorder="1" applyAlignment="1" applyProtection="1">
      <alignment horizontal="center"/>
    </xf>
    <xf numFmtId="166" fontId="3" fillId="13" borderId="29" xfId="2" quotePrefix="1" applyNumberFormat="1" applyBorder="1" applyAlignment="1" applyProtection="1">
      <alignment horizontal="center"/>
    </xf>
    <xf numFmtId="166" fontId="3" fillId="13" borderId="29" xfId="2" applyNumberFormat="1" applyBorder="1" applyAlignment="1" applyProtection="1">
      <alignment horizontal="center"/>
    </xf>
    <xf numFmtId="166" fontId="3" fillId="13" borderId="29" xfId="2" applyNumberFormat="1" applyBorder="1" applyAlignment="1" applyProtection="1">
      <alignment horizontal="center" vertical="center"/>
    </xf>
    <xf numFmtId="49" fontId="3" fillId="13" borderId="29" xfId="2" quotePrefix="1" applyNumberFormat="1" applyBorder="1" applyAlignment="1" applyProtection="1">
      <alignment horizontal="center" vertical="center"/>
      <protection locked="0"/>
    </xf>
    <xf numFmtId="49" fontId="3" fillId="13" borderId="29" xfId="2" applyNumberFormat="1" applyBorder="1" applyAlignment="1" applyProtection="1">
      <alignment horizontal="center" vertical="center"/>
      <protection locked="0"/>
    </xf>
    <xf numFmtId="49" fontId="58" fillId="13" borderId="145" xfId="2" applyNumberFormat="1" applyFont="1" applyBorder="1" applyAlignment="1" applyProtection="1">
      <alignment horizontal="center" vertical="center"/>
    </xf>
    <xf numFmtId="49" fontId="58" fillId="13" borderId="154" xfId="2" applyNumberFormat="1" applyFont="1" applyBorder="1" applyAlignment="1" applyProtection="1">
      <alignment horizontal="center" vertical="center"/>
    </xf>
    <xf numFmtId="164" fontId="19" fillId="16" borderId="126" xfId="8" applyNumberFormat="1" applyFont="1" applyBorder="1" applyAlignment="1" applyProtection="1">
      <alignment horizontal="center" vertical="center" wrapText="1"/>
    </xf>
    <xf numFmtId="164" fontId="19" fillId="16" borderId="127" xfId="8" applyNumberFormat="1" applyFont="1" applyBorder="1" applyAlignment="1" applyProtection="1">
      <alignment horizontal="center" vertical="center" wrapText="1"/>
    </xf>
    <xf numFmtId="0" fontId="0" fillId="12" borderId="6" xfId="0" applyFill="1" applyBorder="1" applyAlignment="1" applyProtection="1">
      <alignment horizontal="center" vertical="center"/>
    </xf>
    <xf numFmtId="164" fontId="35" fillId="13" borderId="18" xfId="2" quotePrefix="1" applyNumberFormat="1" applyFont="1" applyBorder="1" applyAlignment="1" applyProtection="1">
      <alignment horizontal="center"/>
      <protection locked="0"/>
    </xf>
    <xf numFmtId="164" fontId="35" fillId="13" borderId="13" xfId="2" applyNumberFormat="1" applyFont="1" applyBorder="1" applyAlignment="1" applyProtection="1">
      <alignment horizontal="center"/>
      <protection locked="0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164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4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164" fontId="19" fillId="16" borderId="10" xfId="8" applyNumberFormat="1" applyFont="1" applyBorder="1" applyAlignment="1" applyProtection="1">
      <alignment horizontal="center" wrapText="1"/>
    </xf>
    <xf numFmtId="164" fontId="35" fillId="13" borderId="100" xfId="2" applyNumberFormat="1" applyFont="1" applyBorder="1" applyAlignment="1" applyProtection="1">
      <alignment horizontal="center" vertical="center"/>
      <protection locked="0"/>
    </xf>
    <xf numFmtId="164" fontId="35" fillId="13" borderId="39" xfId="2" applyNumberFormat="1" applyFont="1" applyBorder="1" applyAlignment="1" applyProtection="1">
      <alignment horizontal="center" vertical="center"/>
      <protection locked="0"/>
    </xf>
    <xf numFmtId="164" fontId="35" fillId="13" borderId="103" xfId="2" applyNumberFormat="1" applyFont="1" applyBorder="1" applyAlignment="1" applyProtection="1">
      <alignment horizontal="center" vertical="center"/>
      <protection locked="0"/>
    </xf>
    <xf numFmtId="164" fontId="35" fillId="13" borderId="99" xfId="2" quotePrefix="1" applyNumberFormat="1" applyFont="1" applyBorder="1" applyAlignment="1" applyProtection="1">
      <alignment horizontal="center" vertical="center"/>
      <protection locked="0"/>
    </xf>
    <xf numFmtId="164" fontId="35" fillId="13" borderId="27" xfId="2" quotePrefix="1" applyNumberFormat="1" applyFont="1" applyBorder="1" applyAlignment="1" applyProtection="1">
      <alignment horizontal="center" vertical="center"/>
      <protection locked="0"/>
    </xf>
    <xf numFmtId="164" fontId="35" fillId="13" borderId="17" xfId="2" quotePrefix="1" applyNumberFormat="1" applyFont="1" applyBorder="1" applyAlignment="1" applyProtection="1">
      <alignment horizontal="center" vertical="center"/>
      <protection locked="0"/>
    </xf>
    <xf numFmtId="164" fontId="35" fillId="13" borderId="45" xfId="2" quotePrefix="1" applyNumberFormat="1" applyFont="1" applyBorder="1" applyAlignment="1" applyProtection="1">
      <alignment horizontal="center" vertical="center"/>
      <protection locked="0"/>
    </xf>
    <xf numFmtId="164" fontId="35" fillId="13" borderId="107" xfId="2" quotePrefix="1" applyNumberFormat="1" applyFont="1" applyBorder="1" applyAlignment="1" applyProtection="1">
      <alignment horizontal="center" vertical="center"/>
      <protection locked="0"/>
    </xf>
    <xf numFmtId="164" fontId="35" fillId="13" borderId="21" xfId="2" applyNumberFormat="1" applyFont="1" applyBorder="1" applyAlignment="1" applyProtection="1">
      <alignment horizontal="center" vertical="center"/>
      <protection locked="0"/>
    </xf>
    <xf numFmtId="164" fontId="35" fillId="13" borderId="29" xfId="2" applyNumberFormat="1" applyFont="1" applyBorder="1" applyAlignment="1" applyProtection="1">
      <alignment horizontal="center" vertical="center"/>
      <protection locked="0"/>
    </xf>
    <xf numFmtId="164" fontId="35" fillId="13" borderId="20" xfId="2" quotePrefix="1" applyNumberFormat="1" applyFont="1" applyBorder="1" applyAlignment="1" applyProtection="1">
      <alignment horizontal="center" vertical="center"/>
      <protection locked="0"/>
    </xf>
    <xf numFmtId="164" fontId="35" fillId="13" borderId="106" xfId="2" quotePrefix="1" applyNumberFormat="1" applyFont="1" applyBorder="1" applyAlignment="1" applyProtection="1">
      <alignment horizontal="center" vertical="center"/>
      <protection locked="0"/>
    </xf>
    <xf numFmtId="164" fontId="35" fillId="13" borderId="100" xfId="2" quotePrefix="1" applyNumberFormat="1" applyFont="1" applyBorder="1" applyAlignment="1" applyProtection="1">
      <alignment horizontal="center" vertical="center"/>
      <protection locked="0"/>
    </xf>
    <xf numFmtId="164" fontId="35" fillId="13" borderId="101" xfId="2" quotePrefix="1" applyNumberFormat="1" applyFont="1" applyBorder="1" applyAlignment="1" applyProtection="1">
      <alignment horizontal="center" vertical="center"/>
      <protection locked="0"/>
    </xf>
    <xf numFmtId="164" fontId="35" fillId="13" borderId="102" xfId="2" quotePrefix="1" applyNumberFormat="1" applyFont="1" applyBorder="1" applyAlignment="1" applyProtection="1">
      <alignment horizontal="center" vertical="center"/>
      <protection locked="0"/>
    </xf>
    <xf numFmtId="164" fontId="35" fillId="13" borderId="104" xfId="2" applyNumberFormat="1" applyFont="1" applyBorder="1" applyAlignment="1" applyProtection="1">
      <alignment horizontal="center" vertical="center"/>
      <protection locked="0"/>
    </xf>
    <xf numFmtId="0" fontId="0" fillId="7" borderId="25" xfId="5" quotePrefix="1" applyFont="1" applyAlignment="1" applyProtection="1">
      <alignment horizontal="center"/>
    </xf>
    <xf numFmtId="164" fontId="35" fillId="13" borderId="1" xfId="2" quotePrefix="1" applyNumberFormat="1" applyFont="1" applyAlignment="1" applyProtection="1">
      <alignment horizontal="center"/>
      <protection locked="0"/>
    </xf>
    <xf numFmtId="0" fontId="0" fillId="7" borderId="2" xfId="5" applyFont="1" applyBorder="1" applyAlignment="1">
      <alignment horizontal="center" vertical="center"/>
    </xf>
    <xf numFmtId="0" fontId="38" fillId="6" borderId="42" xfId="4" applyFont="1" applyBorder="1" applyAlignment="1" applyProtection="1">
      <alignment horizontal="center" vertical="center"/>
    </xf>
    <xf numFmtId="164" fontId="19" fillId="16" borderId="0" xfId="8" applyNumberFormat="1" applyFont="1" applyBorder="1" applyAlignment="1" applyProtection="1">
      <alignment horizontal="center"/>
    </xf>
    <xf numFmtId="164" fontId="35" fillId="13" borderId="2" xfId="2" quotePrefix="1" applyNumberFormat="1" applyFont="1" applyBorder="1" applyAlignment="1" applyProtection="1">
      <alignment horizontal="center" vertical="center"/>
      <protection locked="0"/>
    </xf>
    <xf numFmtId="164" fontId="35" fillId="13" borderId="2" xfId="2" applyNumberFormat="1" applyFont="1" applyBorder="1" applyAlignment="1" applyProtection="1">
      <alignment horizontal="center" vertical="center"/>
      <protection locked="0"/>
    </xf>
    <xf numFmtId="164" fontId="38" fillId="6" borderId="59" xfId="4" applyNumberFormat="1" applyFont="1" applyBorder="1" applyAlignment="1" applyProtection="1">
      <alignment horizontal="center" vertical="center"/>
    </xf>
    <xf numFmtId="164" fontId="38" fillId="6" borderId="60" xfId="4" applyNumberFormat="1" applyFont="1" applyBorder="1" applyAlignment="1" applyProtection="1">
      <alignment horizontal="center" vertical="center"/>
    </xf>
    <xf numFmtId="164" fontId="38" fillId="6" borderId="61" xfId="4" applyNumberFormat="1" applyFont="1" applyBorder="1" applyAlignment="1" applyProtection="1">
      <alignment horizontal="center" vertical="center"/>
    </xf>
    <xf numFmtId="164" fontId="38" fillId="6" borderId="62" xfId="4" applyNumberFormat="1" applyFont="1" applyBorder="1" applyAlignment="1" applyProtection="1">
      <alignment horizontal="center" vertical="center"/>
    </xf>
    <xf numFmtId="164" fontId="37" fillId="5" borderId="22" xfId="3" applyNumberFormat="1" applyFont="1" applyBorder="1" applyAlignment="1" applyProtection="1">
      <alignment horizontal="center"/>
    </xf>
    <xf numFmtId="164" fontId="36" fillId="11" borderId="22" xfId="6" applyNumberFormat="1" applyFont="1" applyBorder="1" applyAlignment="1" applyProtection="1">
      <alignment horizontal="center"/>
    </xf>
    <xf numFmtId="164" fontId="46" fillId="7" borderId="2" xfId="5" applyNumberFormat="1" applyFont="1" applyBorder="1" applyAlignment="1" applyProtection="1">
      <alignment horizontal="center"/>
    </xf>
    <xf numFmtId="164" fontId="51" fillId="11" borderId="2" xfId="6" applyNumberFormat="1" applyFont="1" applyBorder="1" applyAlignment="1" applyProtection="1">
      <alignment horizontal="center"/>
    </xf>
    <xf numFmtId="164" fontId="52" fillId="6" borderId="24" xfId="4" applyNumberFormat="1" applyFont="1" applyAlignment="1" applyProtection="1">
      <alignment horizontal="center"/>
    </xf>
    <xf numFmtId="0" fontId="19" fillId="0" borderId="0" xfId="0" applyFont="1"/>
    <xf numFmtId="164" fontId="33" fillId="2" borderId="2" xfId="1" applyNumberFormat="1" applyFont="1" applyBorder="1" applyAlignment="1" applyProtection="1">
      <alignment horizontal="center" vertical="center"/>
    </xf>
    <xf numFmtId="164" fontId="29" fillId="5" borderId="112" xfId="3" applyNumberFormat="1" applyFont="1" applyBorder="1" applyAlignment="1" applyProtection="1">
      <alignment horizontal="center" vertical="center"/>
    </xf>
    <xf numFmtId="164" fontId="29" fillId="5" borderId="22" xfId="3" applyNumberFormat="1" applyFont="1" applyBorder="1" applyAlignment="1" applyProtection="1">
      <alignment horizontal="center" vertical="center"/>
    </xf>
    <xf numFmtId="164" fontId="29" fillId="5" borderId="63" xfId="3" applyNumberFormat="1" applyFont="1" applyBorder="1" applyAlignment="1" applyProtection="1">
      <alignment horizontal="center" vertical="center"/>
    </xf>
    <xf numFmtId="164" fontId="29" fillId="5" borderId="7" xfId="3" applyNumberFormat="1" applyFont="1" applyBorder="1" applyAlignment="1" applyProtection="1">
      <alignment horizontal="center" vertical="center"/>
    </xf>
    <xf numFmtId="164" fontId="29" fillId="5" borderId="8" xfId="3" applyNumberFormat="1" applyFont="1" applyBorder="1" applyAlignment="1" applyProtection="1">
      <alignment horizontal="center" vertical="center"/>
    </xf>
    <xf numFmtId="164" fontId="29" fillId="5" borderId="47" xfId="3" applyNumberFormat="1" applyFont="1" applyBorder="1" applyAlignment="1" applyProtection="1">
      <alignment horizontal="center" vertical="center"/>
    </xf>
    <xf numFmtId="164" fontId="29" fillId="5" borderId="0" xfId="3" applyNumberFormat="1" applyFont="1" applyBorder="1" applyAlignment="1" applyProtection="1">
      <alignment horizontal="center" vertical="center"/>
    </xf>
    <xf numFmtId="164" fontId="29" fillId="5" borderId="10" xfId="3" applyNumberFormat="1" applyFont="1" applyBorder="1" applyAlignment="1" applyProtection="1">
      <alignment horizontal="center" vertical="center"/>
    </xf>
    <xf numFmtId="164" fontId="29" fillId="5" borderId="11" xfId="3" applyNumberFormat="1" applyFont="1" applyBorder="1" applyAlignment="1" applyProtection="1">
      <alignment horizontal="center" vertical="center"/>
    </xf>
    <xf numFmtId="164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4" fontId="55" fillId="6" borderId="24" xfId="4" applyNumberFormat="1" applyFont="1" applyAlignment="1" applyProtection="1">
      <alignment horizontal="center"/>
    </xf>
    <xf numFmtId="164" fontId="46" fillId="7" borderId="2" xfId="5" quotePrefix="1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164" fontId="19" fillId="9" borderId="120" xfId="0" applyNumberFormat="1" applyFont="1" applyFill="1" applyBorder="1" applyAlignment="1">
      <alignment horizontal="center"/>
    </xf>
    <xf numFmtId="0" fontId="2" fillId="31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4" fontId="59" fillId="2" borderId="7" xfId="1" applyNumberFormat="1" applyFont="1" applyBorder="1" applyAlignment="1" applyProtection="1">
      <alignment horizontal="center" vertical="center"/>
    </xf>
    <xf numFmtId="164" fontId="59" fillId="2" borderId="8" xfId="1" applyNumberFormat="1" applyFont="1" applyBorder="1" applyAlignment="1" applyProtection="1">
      <alignment horizontal="center" vertical="center"/>
    </xf>
    <xf numFmtId="164" fontId="59" fillId="2" borderId="27" xfId="1" applyNumberFormat="1" applyFont="1" applyBorder="1" applyAlignment="1" applyProtection="1">
      <alignment horizontal="center" vertical="center"/>
    </xf>
    <xf numFmtId="164" fontId="57" fillId="6" borderId="98" xfId="4" applyNumberFormat="1" applyFont="1" applyBorder="1" applyAlignment="1" applyProtection="1">
      <alignment horizontal="center" vertical="center"/>
    </xf>
    <xf numFmtId="164" fontId="57" fillId="6" borderId="41" xfId="4" applyNumberFormat="1" applyFont="1" applyBorder="1" applyAlignment="1" applyProtection="1">
      <alignment horizontal="center" vertical="center"/>
    </xf>
    <xf numFmtId="164" fontId="57" fillId="6" borderId="42" xfId="4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4" fontId="33" fillId="2" borderId="5" xfId="1" applyNumberFormat="1" applyFont="1" applyBorder="1" applyAlignment="1" applyProtection="1">
      <alignment horizontal="center" vertical="center"/>
    </xf>
    <xf numFmtId="164" fontId="33" fillId="2" borderId="23" xfId="1" applyNumberFormat="1" applyFont="1" applyBorder="1" applyAlignment="1" applyProtection="1">
      <alignment horizontal="center" vertical="center"/>
    </xf>
    <xf numFmtId="164" fontId="33" fillId="2" borderId="26" xfId="1" applyNumberFormat="1" applyFont="1" applyBorder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4" fontId="59" fillId="2" borderId="37" xfId="1" applyNumberFormat="1" applyFont="1" applyBorder="1" applyAlignment="1" applyProtection="1">
      <alignment horizontal="center" vertical="center"/>
    </xf>
    <xf numFmtId="164" fontId="59" fillId="2" borderId="38" xfId="1" applyNumberFormat="1" applyFont="1" applyBorder="1" applyAlignment="1" applyProtection="1">
      <alignment horizontal="center" vertical="center"/>
    </xf>
    <xf numFmtId="164" fontId="59" fillId="2" borderId="142" xfId="1" applyNumberFormat="1" applyFont="1" applyBorder="1" applyAlignment="1" applyProtection="1">
      <alignment horizontal="center" vertical="center"/>
    </xf>
    <xf numFmtId="164" fontId="16" fillId="5" borderId="2" xfId="3" applyNumberFormat="1" applyFont="1" applyBorder="1" applyAlignment="1" applyProtection="1">
      <alignment horizontal="center" vertic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164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164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0" fontId="2" fillId="0" borderId="0" xfId="0" applyFont="1"/>
    <xf numFmtId="164" fontId="18" fillId="6" borderId="0" xfId="4" applyNumberFormat="1" applyFont="1" applyBorder="1" applyAlignment="1" applyProtection="1">
      <alignment horizontal="center" vertical="center"/>
    </xf>
    <xf numFmtId="164" fontId="18" fillId="6" borderId="71" xfId="4" applyNumberFormat="1" applyFont="1" applyBorder="1" applyAlignment="1" applyProtection="1">
      <alignment horizontal="center" vertical="center"/>
    </xf>
    <xf numFmtId="164" fontId="18" fillId="6" borderId="61" xfId="4" applyNumberFormat="1" applyFont="1" applyBorder="1" applyAlignment="1" applyProtection="1">
      <alignment horizontal="center" vertical="center"/>
    </xf>
    <xf numFmtId="164" fontId="18" fillId="6" borderId="62" xfId="4" applyNumberFormat="1" applyFont="1" applyBorder="1" applyAlignment="1" applyProtection="1">
      <alignment horizontal="center" vertical="center"/>
    </xf>
    <xf numFmtId="164" fontId="18" fillId="6" borderId="59" xfId="4" applyNumberFormat="1" applyFont="1" applyBorder="1" applyAlignment="1" applyProtection="1">
      <alignment horizontal="center" vertical="center"/>
    </xf>
    <xf numFmtId="164" fontId="18" fillId="6" borderId="60" xfId="4" applyNumberFormat="1" applyFont="1" applyBorder="1" applyAlignment="1" applyProtection="1">
      <alignment horizontal="center" vertical="center"/>
    </xf>
    <xf numFmtId="164" fontId="4" fillId="13" borderId="2" xfId="2" quotePrefix="1" applyNumberFormat="1" applyFont="1" applyBorder="1" applyAlignment="1" applyProtection="1">
      <alignment horizontal="center" vertical="center"/>
      <protection locked="0"/>
    </xf>
    <xf numFmtId="164" fontId="5" fillId="2" borderId="22" xfId="1" applyNumberFormat="1" applyFont="1" applyBorder="1" applyAlignment="1" applyProtection="1">
      <alignment horizontal="center" vertical="center"/>
    </xf>
    <xf numFmtId="164" fontId="5" fillId="2" borderId="58" xfId="1" applyNumberFormat="1" applyFont="1" applyBorder="1" applyAlignment="1" applyProtection="1">
      <alignment horizontal="center" vertical="center"/>
    </xf>
    <xf numFmtId="164" fontId="5" fillId="2" borderId="45" xfId="1" applyNumberFormat="1" applyFont="1" applyBorder="1" applyAlignment="1" applyProtection="1">
      <alignment horizontal="center" vertical="center"/>
    </xf>
    <xf numFmtId="164" fontId="5" fillId="2" borderId="18" xfId="1" applyNumberFormat="1" applyFont="1" applyBorder="1" applyAlignment="1" applyProtection="1">
      <alignment horizontal="center" vertical="center"/>
    </xf>
    <xf numFmtId="164" fontId="4" fillId="13" borderId="56" xfId="2" applyNumberFormat="1" applyFont="1" applyBorder="1" applyAlignment="1" applyProtection="1">
      <alignment horizontal="center" vertical="center"/>
      <protection locked="0"/>
    </xf>
    <xf numFmtId="164" fontId="4" fillId="13" borderId="13" xfId="2" applyNumberFormat="1" applyFont="1" applyBorder="1" applyAlignment="1" applyProtection="1">
      <alignment horizontal="center" vertical="center"/>
      <protection locked="0"/>
    </xf>
    <xf numFmtId="164" fontId="4" fillId="13" borderId="57" xfId="2" quotePrefix="1" applyNumberFormat="1" applyFont="1" applyBorder="1" applyAlignment="1" applyProtection="1">
      <alignment horizontal="center" vertical="center"/>
      <protection locked="0"/>
    </xf>
    <xf numFmtId="164" fontId="4" fillId="13" borderId="22" xfId="2" quotePrefix="1" applyNumberFormat="1" applyFont="1" applyBorder="1" applyAlignment="1" applyProtection="1">
      <alignment horizontal="center" vertical="center"/>
      <protection locked="0"/>
    </xf>
    <xf numFmtId="164" fontId="4" fillId="13" borderId="63" xfId="2" quotePrefix="1" applyNumberFormat="1" applyFont="1" applyBorder="1" applyAlignment="1" applyProtection="1">
      <alignment horizontal="center" vertical="center"/>
      <protection locked="0"/>
    </xf>
    <xf numFmtId="164" fontId="4" fillId="13" borderId="17" xfId="2" quotePrefix="1" applyNumberFormat="1" applyFont="1" applyBorder="1" applyAlignment="1" applyProtection="1">
      <alignment horizontal="center" vertical="center"/>
      <protection locked="0"/>
    </xf>
    <xf numFmtId="164" fontId="4" fillId="13" borderId="45" xfId="2" quotePrefix="1" applyNumberFormat="1" applyFont="1" applyBorder="1" applyAlignment="1" applyProtection="1">
      <alignment horizontal="center" vertical="center"/>
      <protection locked="0"/>
    </xf>
    <xf numFmtId="164" fontId="4" fillId="13" borderId="64" xfId="2" quotePrefix="1" applyNumberFormat="1" applyFont="1" applyBorder="1" applyAlignment="1" applyProtection="1">
      <alignment horizontal="center" vertical="center"/>
      <protection locked="0"/>
    </xf>
    <xf numFmtId="164" fontId="2" fillId="7" borderId="25" xfId="5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58" fillId="13" borderId="1" xfId="2" applyFont="1" applyAlignment="1" applyProtection="1">
      <alignment horizontal="center" vertical="center"/>
    </xf>
    <xf numFmtId="164" fontId="33" fillId="2" borderId="1" xfId="1" applyNumberFormat="1" applyFont="1" applyAlignment="1" applyProtection="1">
      <alignment horizontal="center" vertical="center"/>
    </xf>
    <xf numFmtId="0" fontId="5" fillId="7" borderId="134" xfId="5" applyFont="1" applyBorder="1" applyAlignment="1" applyProtection="1">
      <alignment horizontal="center" vertical="center"/>
    </xf>
    <xf numFmtId="0" fontId="5" fillId="7" borderId="136" xfId="5" applyFont="1" applyBorder="1" applyAlignment="1" applyProtection="1">
      <alignment horizontal="center" vertical="center"/>
    </xf>
    <xf numFmtId="164" fontId="4" fillId="13" borderId="29" xfId="2" applyNumberFormat="1" applyFont="1" applyBorder="1" applyAlignment="1" applyProtection="1">
      <alignment horizontal="center" vertical="center"/>
      <protection locked="0"/>
    </xf>
    <xf numFmtId="164" fontId="4" fillId="13" borderId="68" xfId="2" applyNumberFormat="1" applyFont="1" applyBorder="1" applyAlignment="1" applyProtection="1">
      <alignment horizontal="center" vertical="center"/>
      <protection locked="0"/>
    </xf>
    <xf numFmtId="164" fontId="4" fillId="13" borderId="19" xfId="2" quotePrefix="1" applyNumberFormat="1" applyFont="1" applyBorder="1" applyAlignment="1" applyProtection="1">
      <alignment horizontal="center" vertical="center"/>
      <protection locked="0"/>
    </xf>
    <xf numFmtId="164" fontId="4" fillId="13" borderId="20" xfId="2" quotePrefix="1" applyNumberFormat="1" applyFont="1" applyBorder="1" applyAlignment="1" applyProtection="1">
      <alignment horizontal="center" vertical="center"/>
      <protection locked="0"/>
    </xf>
    <xf numFmtId="164" fontId="4" fillId="13" borderId="65" xfId="2" quotePrefix="1" applyNumberFormat="1" applyFont="1" applyBorder="1" applyAlignment="1" applyProtection="1">
      <alignment horizontal="center" vertical="center"/>
      <protection locked="0"/>
    </xf>
    <xf numFmtId="164" fontId="4" fillId="13" borderId="66" xfId="2" quotePrefix="1" applyNumberFormat="1" applyFont="1" applyBorder="1" applyAlignment="1" applyProtection="1">
      <alignment horizontal="center" vertical="center"/>
      <protection locked="0"/>
    </xf>
    <xf numFmtId="164" fontId="4" fillId="13" borderId="67" xfId="2" quotePrefix="1" applyNumberFormat="1" applyFont="1" applyBorder="1" applyAlignment="1" applyProtection="1">
      <alignment horizontal="center" vertical="center"/>
      <protection locked="0"/>
    </xf>
    <xf numFmtId="164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17" fillId="3" borderId="2" xfId="3" applyFont="1" applyFill="1" applyBorder="1" applyAlignment="1">
      <alignment horizontal="center"/>
    </xf>
    <xf numFmtId="164" fontId="18" fillId="6" borderId="2" xfId="4" applyNumberFormat="1" applyFont="1" applyBorder="1" applyAlignment="1" applyProtection="1">
      <alignment horizontal="center" vertical="center"/>
    </xf>
    <xf numFmtId="0" fontId="2" fillId="7" borderId="131" xfId="5" applyFont="1" applyBorder="1" applyAlignment="1" applyProtection="1">
      <alignment horizontal="center" vertical="center" wrapText="1"/>
    </xf>
    <xf numFmtId="0" fontId="2" fillId="7" borderId="133" xfId="5" applyFont="1" applyBorder="1" applyAlignment="1" applyProtection="1">
      <alignment horizontal="center" vertical="center"/>
    </xf>
    <xf numFmtId="0" fontId="2" fillId="7" borderId="135" xfId="5" applyFont="1" applyBorder="1" applyAlignment="1" applyProtection="1">
      <alignment horizontal="center" vertic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15" fillId="0" borderId="30" xfId="0" applyFont="1" applyBorder="1" applyAlignment="1">
      <alignment horizontal="right"/>
    </xf>
    <xf numFmtId="164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4" fontId="17" fillId="5" borderId="2" xfId="3" applyNumberFormat="1" applyFont="1" applyBorder="1" applyAlignment="1" applyProtection="1">
      <alignment horizontal="center"/>
    </xf>
    <xf numFmtId="0" fontId="17" fillId="5" borderId="5" xfId="3" applyFont="1" applyBorder="1" applyAlignment="1">
      <alignment horizontal="center"/>
    </xf>
    <xf numFmtId="164" fontId="5" fillId="7" borderId="132" xfId="5" applyNumberFormat="1" applyFont="1" applyBorder="1" applyAlignment="1" applyProtection="1">
      <alignment horizontal="center" vertical="center"/>
    </xf>
    <xf numFmtId="164" fontId="5" fillId="7" borderId="134" xfId="5" applyNumberFormat="1" applyFont="1" applyBorder="1" applyAlignment="1" applyProtection="1">
      <alignment horizontal="center" vertical="center"/>
    </xf>
    <xf numFmtId="164" fontId="17" fillId="5" borderId="14" xfId="3" applyNumberFormat="1" applyFont="1" applyBorder="1" applyAlignment="1" applyProtection="1">
      <alignment horizontal="center" vertical="center"/>
    </xf>
    <xf numFmtId="164" fontId="17" fillId="5" borderId="15" xfId="3" applyNumberFormat="1" applyFont="1" applyBorder="1" applyAlignment="1" applyProtection="1">
      <alignment horizontal="center" vertical="center"/>
    </xf>
    <xf numFmtId="164" fontId="17" fillId="5" borderId="16" xfId="3" applyNumberFormat="1" applyFont="1" applyBorder="1" applyAlignment="1" applyProtection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4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4" fontId="5" fillId="2" borderId="5" xfId="1" applyNumberFormat="1" applyFont="1" applyBorder="1" applyAlignment="1" applyProtection="1">
      <alignment horizontal="center" vertical="center"/>
    </xf>
    <xf numFmtId="164" fontId="5" fillId="2" borderId="23" xfId="1" applyNumberFormat="1" applyFont="1" applyBorder="1" applyAlignment="1" applyProtection="1">
      <alignment horizontal="center" vertical="center"/>
    </xf>
    <xf numFmtId="164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4" fontId="18" fillId="6" borderId="24" xfId="4" applyNumberFormat="1" applyFont="1" applyAlignment="1" applyProtection="1">
      <alignment horizontal="center" vertical="center"/>
    </xf>
    <xf numFmtId="164" fontId="5" fillId="2" borderId="7" xfId="1" applyNumberFormat="1" applyFont="1" applyBorder="1" applyAlignment="1" applyProtection="1">
      <alignment horizontal="center" vertical="center"/>
    </xf>
    <xf numFmtId="164" fontId="5" fillId="2" borderId="8" xfId="1" applyNumberFormat="1" applyFont="1" applyBorder="1" applyAlignment="1" applyProtection="1">
      <alignment horizontal="center" vertical="center"/>
    </xf>
    <xf numFmtId="164" fontId="5" fillId="2" borderId="27" xfId="1" applyNumberFormat="1" applyFont="1" applyBorder="1" applyAlignment="1" applyProtection="1">
      <alignment horizontal="center" vertical="center"/>
    </xf>
    <xf numFmtId="164" fontId="5" fillId="2" borderId="10" xfId="1" applyNumberFormat="1" applyFont="1" applyBorder="1" applyAlignment="1" applyProtection="1">
      <alignment horizontal="center" vertical="center"/>
    </xf>
    <xf numFmtId="164" fontId="5" fillId="2" borderId="11" xfId="1" applyNumberFormat="1" applyFont="1" applyBorder="1" applyAlignment="1" applyProtection="1">
      <alignment horizontal="center" vertical="center"/>
    </xf>
    <xf numFmtId="164" fontId="5" fillId="2" borderId="28" xfId="1" applyNumberFormat="1" applyFont="1" applyBorder="1" applyAlignment="1" applyProtection="1">
      <alignment horizontal="center" vertical="center"/>
    </xf>
    <xf numFmtId="164" fontId="26" fillId="19" borderId="0" xfId="0" applyNumberFormat="1" applyFont="1" applyFill="1" applyAlignment="1">
      <alignment horizontal="center" vertical="center"/>
    </xf>
    <xf numFmtId="164" fontId="25" fillId="19" borderId="0" xfId="0" applyNumberFormat="1" applyFont="1" applyFill="1" applyAlignment="1">
      <alignment horizontal="center" vertical="center"/>
    </xf>
    <xf numFmtId="164" fontId="5" fillId="2" borderId="20" xfId="1" applyNumberFormat="1" applyFont="1" applyBorder="1" applyAlignment="1" applyProtection="1">
      <alignment horizontal="center" vertical="center"/>
    </xf>
    <xf numFmtId="164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164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4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0" fontId="2" fillId="7" borderId="25" xfId="5" applyFont="1" applyAlignment="1">
      <alignment horizontal="center" vertical="center"/>
    </xf>
    <xf numFmtId="0" fontId="2" fillId="7" borderId="132" xfId="5" applyFont="1" applyBorder="1" applyAlignment="1">
      <alignment vertical="center"/>
    </xf>
    <xf numFmtId="0" fontId="2" fillId="7" borderId="134" xfId="5" applyFont="1" applyBorder="1" applyAlignment="1">
      <alignment vertical="center"/>
    </xf>
    <xf numFmtId="0" fontId="2" fillId="7" borderId="136" xfId="5" applyFont="1" applyBorder="1" applyAlignment="1">
      <alignment vertical="center"/>
    </xf>
    <xf numFmtId="164" fontId="5" fillId="2" borderId="72" xfId="1" applyNumberFormat="1" applyFont="1" applyBorder="1" applyAlignment="1" applyProtection="1">
      <alignment horizontal="center" vertical="center"/>
    </xf>
    <xf numFmtId="164" fontId="5" fillId="2" borderId="74" xfId="1" applyNumberFormat="1" applyFont="1" applyBorder="1" applyAlignment="1" applyProtection="1">
      <alignment horizontal="center" vertical="center"/>
    </xf>
    <xf numFmtId="0" fontId="2" fillId="7" borderId="133" xfId="5" applyFont="1" applyBorder="1" applyAlignment="1" applyProtection="1">
      <alignment horizontal="center" vertical="center" wrapText="1"/>
    </xf>
    <xf numFmtId="0" fontId="2" fillId="7" borderId="135" xfId="5" applyFont="1" applyBorder="1" applyAlignment="1" applyProtection="1">
      <alignment horizontal="center" vertical="center" wrapText="1"/>
    </xf>
    <xf numFmtId="0" fontId="61" fillId="5" borderId="2" xfId="3" applyFont="1" applyBorder="1" applyAlignment="1">
      <alignment horizontal="center" vertical="center"/>
    </xf>
    <xf numFmtId="164" fontId="61" fillId="5" borderId="2" xfId="3" applyNumberFormat="1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2" fillId="7" borderId="132" xfId="5" applyFont="1" applyBorder="1" applyAlignment="1">
      <alignment horizontal="center" vertical="center"/>
    </xf>
    <xf numFmtId="0" fontId="2" fillId="7" borderId="134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4" fontId="5" fillId="2" borderId="6" xfId="1" applyNumberFormat="1" applyFont="1" applyBorder="1" applyAlignment="1" applyProtection="1">
      <alignment horizontal="center" vertical="center"/>
    </xf>
    <xf numFmtId="164" fontId="5" fillId="2" borderId="2" xfId="1" applyNumberFormat="1" applyFont="1" applyBorder="1" applyAlignment="1" applyProtection="1">
      <alignment horizontal="center" vertical="center"/>
    </xf>
    <xf numFmtId="0" fontId="2" fillId="7" borderId="138" xfId="5" applyFont="1" applyBorder="1" applyAlignment="1">
      <alignment horizontal="center" vertical="center"/>
    </xf>
    <xf numFmtId="0" fontId="2" fillId="7" borderId="136" xfId="5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0" fontId="22" fillId="11" borderId="2" xfId="6" applyFont="1" applyBorder="1" applyAlignment="1">
      <alignment horizontal="center" vertical="center"/>
    </xf>
    <xf numFmtId="164" fontId="1" fillId="2" borderId="20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10" fillId="5" borderId="2" xfId="3" applyFont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0" fontId="28" fillId="22" borderId="80" xfId="1" applyNumberFormat="1" applyFont="1" applyFill="1" applyBorder="1" applyAlignment="1"/>
    <xf numFmtId="170" fontId="28" fillId="22" borderId="0" xfId="1" applyNumberFormat="1" applyFont="1" applyFill="1" applyBorder="1" applyAlignment="1"/>
    <xf numFmtId="170" fontId="28" fillId="22" borderId="39" xfId="1" applyNumberFormat="1" applyFont="1" applyFill="1" applyBorder="1" applyAlignment="1"/>
    <xf numFmtId="170" fontId="28" fillId="22" borderId="80" xfId="1" applyNumberFormat="1" applyFont="1" applyFill="1" applyBorder="1" applyAlignment="1">
      <alignment horizontal="right"/>
    </xf>
    <xf numFmtId="170" fontId="28" fillId="22" borderId="0" xfId="1" applyNumberFormat="1" applyFont="1" applyFill="1" applyBorder="1" applyAlignment="1">
      <alignment horizontal="right"/>
    </xf>
    <xf numFmtId="170" fontId="28" fillId="22" borderId="39" xfId="1" applyNumberFormat="1" applyFont="1" applyFill="1" applyBorder="1" applyAlignment="1">
      <alignment horizontal="right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0" fontId="57" fillId="6" borderId="61" xfId="4" applyFont="1" applyBorder="1" applyAlignment="1" applyProtection="1">
      <alignment horizontal="center"/>
    </xf>
    <xf numFmtId="0" fontId="57" fillId="6" borderId="62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4" fontId="19" fillId="30" borderId="47" xfId="8" applyNumberFormat="1" applyFont="1" applyFill="1" applyBorder="1" applyAlignment="1" applyProtection="1">
      <alignment horizontal="center" vertical="center"/>
    </xf>
    <xf numFmtId="164" fontId="19" fillId="30" borderId="0" xfId="8" applyNumberFormat="1" applyFont="1" applyFill="1" applyBorder="1" applyAlignment="1" applyProtection="1">
      <alignment horizontal="center" vertical="center"/>
    </xf>
    <xf numFmtId="164" fontId="19" fillId="30" borderId="4" xfId="8" applyNumberFormat="1" applyFont="1" applyFill="1" applyBorder="1" applyAlignment="1" applyProtection="1">
      <alignment horizontal="center" vertical="center"/>
    </xf>
    <xf numFmtId="44" fontId="19" fillId="30" borderId="2" xfId="8" applyNumberFormat="1" applyFont="1" applyFill="1" applyBorder="1" applyAlignment="1" applyProtection="1">
      <alignment horizontal="center" vertical="center" wrapText="1"/>
    </xf>
    <xf numFmtId="44" fontId="78" fillId="30" borderId="2" xfId="8" applyNumberFormat="1" applyFont="1" applyFill="1" applyBorder="1" applyAlignment="1" applyProtection="1">
      <alignment horizontal="center" vertical="center" wrapText="1"/>
    </xf>
    <xf numFmtId="164" fontId="19" fillId="30" borderId="2" xfId="8" applyNumberFormat="1" applyFont="1" applyFill="1" applyBorder="1" applyAlignment="1" applyProtection="1">
      <alignment horizontal="center" vertical="center"/>
    </xf>
    <xf numFmtId="0" fontId="81" fillId="7" borderId="2" xfId="5" applyFont="1" applyBorder="1" applyAlignment="1" applyProtection="1">
      <alignment horizontal="center"/>
    </xf>
    <xf numFmtId="164" fontId="19" fillId="7" borderId="2" xfId="5" applyNumberFormat="1" applyFont="1" applyBorder="1" applyAlignment="1" applyProtection="1">
      <alignment horizontal="center" vertical="center" wrapText="1"/>
    </xf>
    <xf numFmtId="164" fontId="19" fillId="7" borderId="2" xfId="5" applyNumberFormat="1" applyFont="1" applyBorder="1" applyAlignment="1" applyProtection="1">
      <alignment horizontal="center" vertical="center"/>
    </xf>
    <xf numFmtId="49" fontId="7" fillId="7" borderId="2" xfId="5" applyNumberFormat="1" applyFont="1" applyBorder="1" applyAlignment="1">
      <alignment horizontal="center"/>
    </xf>
    <xf numFmtId="0" fontId="7" fillId="7" borderId="2" xfId="5" applyFont="1" applyBorder="1" applyAlignment="1">
      <alignment horizontal="center"/>
    </xf>
    <xf numFmtId="164" fontId="0" fillId="3" borderId="79" xfId="5" applyNumberFormat="1" applyFont="1" applyFill="1" applyBorder="1" applyAlignment="1">
      <alignment horizontal="center"/>
    </xf>
    <xf numFmtId="164" fontId="1" fillId="2" borderId="29" xfId="1" applyNumberFormat="1" applyBorder="1" applyProtection="1"/>
    <xf numFmtId="164" fontId="19" fillId="7" borderId="31" xfId="5" applyNumberFormat="1" applyFont="1" applyBorder="1" applyAlignment="1" applyProtection="1">
      <alignment horizontal="center" vertical="center" wrapText="1"/>
    </xf>
    <xf numFmtId="164" fontId="19" fillId="7" borderId="31" xfId="5" applyNumberFormat="1" applyFont="1" applyBorder="1" applyAlignment="1" applyProtection="1">
      <alignment horizontal="center" vertical="center"/>
    </xf>
    <xf numFmtId="44" fontId="78" fillId="16" borderId="73" xfId="8" applyNumberFormat="1" applyFont="1" applyBorder="1" applyAlignment="1" applyProtection="1">
      <alignment horizontal="center" vertical="center" wrapText="1"/>
    </xf>
    <xf numFmtId="164" fontId="80" fillId="34" borderId="2" xfId="10" applyNumberFormat="1" applyFont="1" applyFill="1" applyBorder="1" applyAlignment="1" applyProtection="1">
      <alignment horizontal="center" vertical="center"/>
    </xf>
    <xf numFmtId="164" fontId="28" fillId="32" borderId="7" xfId="0" applyNumberFormat="1" applyFont="1" applyFill="1" applyBorder="1" applyAlignment="1">
      <alignment horizontal="center" vertical="center"/>
    </xf>
    <xf numFmtId="164" fontId="28" fillId="32" borderId="8" xfId="0" applyNumberFormat="1" applyFont="1" applyFill="1" applyBorder="1" applyAlignment="1">
      <alignment horizontal="center" vertical="center"/>
    </xf>
    <xf numFmtId="164" fontId="28" fillId="32" borderId="9" xfId="0" applyNumberFormat="1" applyFont="1" applyFill="1" applyBorder="1" applyAlignment="1">
      <alignment horizontal="center" vertical="center"/>
    </xf>
    <xf numFmtId="164" fontId="28" fillId="32" borderId="10" xfId="0" applyNumberFormat="1" applyFont="1" applyFill="1" applyBorder="1" applyAlignment="1">
      <alignment horizontal="center" vertical="center"/>
    </xf>
    <xf numFmtId="164" fontId="28" fillId="32" borderId="11" xfId="0" applyNumberFormat="1" applyFont="1" applyFill="1" applyBorder="1" applyAlignment="1">
      <alignment horizontal="center" vertical="center"/>
    </xf>
    <xf numFmtId="164" fontId="28" fillId="32" borderId="12" xfId="0" applyNumberFormat="1" applyFont="1" applyFill="1" applyBorder="1" applyAlignment="1">
      <alignment horizontal="center" vertical="center"/>
    </xf>
    <xf numFmtId="164" fontId="19" fillId="32" borderId="7" xfId="0" applyNumberFormat="1" applyFont="1" applyFill="1" applyBorder="1" applyAlignment="1">
      <alignment horizontal="center" vertical="center"/>
    </xf>
    <xf numFmtId="164" fontId="19" fillId="32" borderId="8" xfId="0" applyNumberFormat="1" applyFont="1" applyFill="1" applyBorder="1" applyAlignment="1">
      <alignment horizontal="center" vertical="center"/>
    </xf>
    <xf numFmtId="164" fontId="19" fillId="32" borderId="9" xfId="0" applyNumberFormat="1" applyFont="1" applyFill="1" applyBorder="1" applyAlignment="1">
      <alignment horizontal="center" vertical="center"/>
    </xf>
    <xf numFmtId="164" fontId="19" fillId="32" borderId="10" xfId="0" applyNumberFormat="1" applyFont="1" applyFill="1" applyBorder="1" applyAlignment="1">
      <alignment horizontal="center" vertical="center"/>
    </xf>
    <xf numFmtId="164" fontId="19" fillId="32" borderId="11" xfId="0" applyNumberFormat="1" applyFont="1" applyFill="1" applyBorder="1" applyAlignment="1">
      <alignment horizontal="center" vertical="center"/>
    </xf>
    <xf numFmtId="164" fontId="19" fillId="32" borderId="12" xfId="0" applyNumberFormat="1" applyFont="1" applyFill="1" applyBorder="1" applyAlignment="1">
      <alignment horizontal="center" vertical="center"/>
    </xf>
  </cellXfs>
  <cellStyles count="13">
    <cellStyle name="20% - Accent5" xfId="11" builtinId="46"/>
    <cellStyle name="60% - Accent5" xfId="8" builtinId="48" customBuiltin="1"/>
    <cellStyle name="Accent1" xfId="10" builtinId="29"/>
    <cellStyle name="Bad" xfId="9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2" builtinId="24"/>
    <cellStyle name="Neutral" xfId="6" builtinId="28"/>
    <cellStyle name="Normal" xfId="0" builtinId="0"/>
    <cellStyle name="Note" xfId="5" builtinId="10"/>
    <cellStyle name="Output" xfId="7" builtinId="21"/>
  </cellStyles>
  <dxfs count="6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C5FFC5"/>
      <color rgb="FF00FF00"/>
      <color rgb="FFF802C3"/>
      <color rgb="FF66FF66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3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sv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194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346B2942-26BF-425D-83AC-BB9A4B956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2968029-4D90-4F68-AA90-B9D538FDAE17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B940AA4E-64FD-4218-87E6-D671AE9BC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FBD81C6-2A34-AF2D-EA96-5A03628FB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14D04F20-2E37-4ED1-9168-22D6E145AEA9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1560D80C-F5E5-49B4-8C0E-A6B4005B7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3CD73CE4-96DD-4BED-8E08-7AE7B31D8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7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7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A160" zoomScaleNormal="100" workbookViewId="0">
      <selection activeCell="D173" sqref="D173:E173"/>
    </sheetView>
  </sheetViews>
  <sheetFormatPr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464" t="s">
        <v>236</v>
      </c>
      <c r="D1" s="464"/>
      <c r="E1" s="464"/>
      <c r="F1" s="464"/>
      <c r="G1" s="455" t="s">
        <v>237</v>
      </c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</row>
    <row r="2" spans="2:66" ht="17.25" customHeight="1">
      <c r="C2" s="464"/>
      <c r="D2" s="464"/>
      <c r="E2" s="464"/>
      <c r="F2" s="464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</row>
    <row r="3" spans="2:66" ht="17.25" customHeight="1">
      <c r="C3" s="464"/>
      <c r="D3" s="464"/>
      <c r="E3" s="464"/>
      <c r="F3" s="464"/>
      <c r="G3" s="460" t="s">
        <v>241</v>
      </c>
      <c r="H3" s="460"/>
      <c r="I3" s="460"/>
      <c r="J3" s="462" t="s">
        <v>240</v>
      </c>
      <c r="K3" s="462"/>
      <c r="L3" s="462"/>
      <c r="N3" s="386" t="s">
        <v>463</v>
      </c>
      <c r="O3" s="386"/>
      <c r="P3" s="386"/>
      <c r="Q3" s="387" t="s">
        <v>363</v>
      </c>
      <c r="R3" s="387"/>
      <c r="S3" s="387"/>
    </row>
    <row r="4" spans="2:66" ht="17.25" customHeight="1">
      <c r="C4" s="464"/>
      <c r="D4" s="464"/>
      <c r="E4" s="464"/>
      <c r="F4" s="464"/>
      <c r="G4" s="461"/>
      <c r="H4" s="461"/>
      <c r="I4" s="461"/>
      <c r="J4" s="463"/>
      <c r="K4" s="463"/>
      <c r="L4" s="463"/>
      <c r="N4" s="386"/>
      <c r="O4" s="386"/>
      <c r="P4" s="386"/>
      <c r="Q4" s="387"/>
      <c r="R4" s="387"/>
      <c r="S4" s="387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2025/6/30 [YYYY/MM/DD]</v>
      </c>
      <c r="F7" s="230"/>
      <c r="G7" s="231"/>
      <c r="H7" s="232"/>
      <c r="I7" s="230" t="str" cm="1">
        <f t="array" ref="I7">heureDecimal2Txt(E11)</f>
        <v>11:58:31.00(11.9752)</v>
      </c>
      <c r="J7" s="230"/>
      <c r="K7" s="230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83"/>
      <c r="AB7" s="146"/>
    </row>
    <row r="8" spans="2:66" ht="17.25" customHeight="1">
      <c r="C8" s="456" t="s">
        <v>1</v>
      </c>
      <c r="D8" s="457"/>
      <c r="E8" s="590" t="s">
        <v>464</v>
      </c>
      <c r="F8" s="591"/>
      <c r="G8" s="591"/>
      <c r="H8" s="143"/>
      <c r="I8" s="388"/>
      <c r="J8" s="388"/>
      <c r="K8" s="388"/>
      <c r="L8" s="388"/>
      <c r="M8" s="388"/>
      <c r="N8" s="388"/>
      <c r="O8" s="388"/>
      <c r="AC8" s="6" t="s">
        <v>328</v>
      </c>
      <c r="AD8" s="6" cm="1">
        <f t="array" ref="AD8">heureConvert2Decimal(I11)</f>
        <v>11.975277777777778</v>
      </c>
    </row>
    <row r="9" spans="2:66" ht="17.25" customHeight="1" thickBot="1">
      <c r="C9" s="434" t="s">
        <v>11</v>
      </c>
      <c r="D9" s="436"/>
      <c r="E9" s="434" t="s">
        <v>2</v>
      </c>
      <c r="F9" s="435"/>
      <c r="G9" s="435"/>
      <c r="H9" s="436"/>
      <c r="I9" s="540" t="s">
        <v>465</v>
      </c>
      <c r="J9" s="540"/>
      <c r="K9" s="540"/>
      <c r="L9" s="540" t="s">
        <v>461</v>
      </c>
      <c r="M9" s="540"/>
      <c r="N9" s="540"/>
      <c r="O9" s="540"/>
      <c r="P9" s="540"/>
      <c r="Q9" s="540" t="s">
        <v>462</v>
      </c>
      <c r="R9" s="540"/>
      <c r="S9" s="540"/>
      <c r="T9" s="540"/>
      <c r="U9" s="540"/>
      <c r="V9" s="571" t="s">
        <v>191</v>
      </c>
      <c r="W9" s="572"/>
      <c r="X9" s="572"/>
      <c r="Y9" s="573"/>
      <c r="AB9" s="147"/>
      <c r="AC9" s="6" t="s">
        <v>329</v>
      </c>
      <c r="AD9" s="151">
        <f>L11</f>
        <v>0</v>
      </c>
    </row>
    <row r="10" spans="2:66" ht="17.25" customHeight="1">
      <c r="C10" s="458"/>
      <c r="D10" s="459"/>
      <c r="E10" s="437"/>
      <c r="F10" s="438"/>
      <c r="G10" s="438"/>
      <c r="H10" s="439"/>
      <c r="I10" s="540"/>
      <c r="J10" s="540"/>
      <c r="K10" s="540"/>
      <c r="L10" s="540"/>
      <c r="M10" s="540"/>
      <c r="N10" s="540"/>
      <c r="O10" s="540"/>
      <c r="P10" s="540"/>
      <c r="Q10" s="540"/>
      <c r="R10" s="540"/>
      <c r="S10" s="540"/>
      <c r="T10" s="540"/>
      <c r="U10" s="540"/>
      <c r="V10" s="574"/>
      <c r="W10" s="575"/>
      <c r="X10" s="575"/>
      <c r="Y10" s="576"/>
      <c r="AC10" s="6" t="s">
        <v>330</v>
      </c>
      <c r="AD10" s="6">
        <f>Q11/3600</f>
        <v>0</v>
      </c>
    </row>
    <row r="11" spans="2:66" ht="17.25" customHeight="1" thickBot="1">
      <c r="C11" s="437"/>
      <c r="D11" s="439"/>
      <c r="E11" s="409">
        <f>AD8+AD9+AD10+AD11</f>
        <v>11.975277777777778</v>
      </c>
      <c r="F11" s="410"/>
      <c r="G11" s="410"/>
      <c r="H11" s="411"/>
      <c r="I11" s="585" t="s">
        <v>577</v>
      </c>
      <c r="J11" s="585"/>
      <c r="K11" s="585"/>
      <c r="L11" s="617">
        <v>0</v>
      </c>
      <c r="M11" s="617"/>
      <c r="N11" s="617"/>
      <c r="O11" s="617"/>
      <c r="P11" s="617"/>
      <c r="Q11" s="617">
        <v>0</v>
      </c>
      <c r="R11" s="617"/>
      <c r="S11" s="617"/>
      <c r="T11" s="617"/>
      <c r="U11" s="618"/>
      <c r="V11" s="616" t="s">
        <v>190</v>
      </c>
      <c r="W11" s="616"/>
      <c r="X11" s="616"/>
      <c r="Y11" s="616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646" t="str" cm="1">
        <f t="array" ref="E12">heureDecimal2Txt(E11)</f>
        <v>11:58:31.00(11.9752)</v>
      </c>
      <c r="F12" s="647"/>
      <c r="G12" s="647"/>
      <c r="H12" s="64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421" t="s">
        <v>331</v>
      </c>
      <c r="D15" s="422"/>
      <c r="E15" s="422"/>
      <c r="F15" s="422"/>
      <c r="G15" s="422"/>
      <c r="H15" s="422"/>
      <c r="I15" s="423"/>
      <c r="J15" s="424" t="s">
        <v>333</v>
      </c>
      <c r="K15" s="424"/>
      <c r="L15" s="424"/>
      <c r="M15" s="424"/>
      <c r="N15" s="424"/>
      <c r="O15" s="424"/>
      <c r="P15"/>
      <c r="Q15"/>
      <c r="R15"/>
      <c r="S15"/>
      <c r="T15"/>
      <c r="U15"/>
      <c r="V15"/>
      <c r="W15"/>
      <c r="X15"/>
      <c r="Y15"/>
      <c r="Z15"/>
      <c r="AA15"/>
      <c r="AC15" s="152" t="s">
        <v>332</v>
      </c>
      <c r="AD15" s="152" t="s">
        <v>333</v>
      </c>
    </row>
    <row r="16" spans="2:66" ht="18" customHeight="1" thickTop="1" thickBot="1">
      <c r="B16" s="96"/>
      <c r="C16" s="421" t="s">
        <v>230</v>
      </c>
      <c r="D16" s="422"/>
      <c r="E16" s="422"/>
      <c r="F16" s="422"/>
      <c r="G16" s="422"/>
      <c r="H16" s="422"/>
      <c r="I16" s="423"/>
      <c r="J16" s="418" cm="1">
        <f t="array" ref="J16">angleConvert2Decimal(M16)</f>
        <v>0.9</v>
      </c>
      <c r="K16" s="419"/>
      <c r="L16" s="420"/>
      <c r="M16" s="415" t="s">
        <v>133</v>
      </c>
      <c r="N16" s="416"/>
      <c r="O16" s="417"/>
      <c r="P16" s="412" t="str" cm="1">
        <f t="array" ref="P16">angleDecimal2Txt(J16)</f>
        <v>+00°54.00 (+00.9000) [+00°54'00.00]</v>
      </c>
      <c r="Q16" s="413"/>
      <c r="R16" s="413"/>
      <c r="S16" s="413"/>
      <c r="T16" s="413"/>
      <c r="U16" s="413"/>
      <c r="V16" s="413"/>
      <c r="W16" s="413"/>
      <c r="X16" s="414"/>
      <c r="Y16" s="96"/>
    </row>
    <row r="17" spans="2:34" ht="18" customHeight="1" thickTop="1" thickBot="1">
      <c r="C17" s="541" t="s">
        <v>229</v>
      </c>
      <c r="D17" s="541"/>
      <c r="E17" s="541"/>
      <c r="F17" s="541"/>
      <c r="G17" s="541"/>
      <c r="H17" s="541"/>
      <c r="I17" s="541"/>
      <c r="J17" s="557" cm="1">
        <f t="array" ref="J17">angleConvert2Decimal(M17)</f>
        <v>33.4</v>
      </c>
      <c r="K17" s="570"/>
      <c r="L17" s="538"/>
      <c r="M17" s="471" t="s">
        <v>393</v>
      </c>
      <c r="N17" s="472"/>
      <c r="O17" s="473"/>
      <c r="P17" s="402" t="str" cm="1">
        <f t="array" ref="P17">angleDecimal2Txt(J17)</f>
        <v>+33°24.00 (+33.3999) [+33°24'00.00]</v>
      </c>
      <c r="Q17" s="402"/>
      <c r="R17" s="402"/>
      <c r="S17" s="402"/>
      <c r="T17" s="402"/>
      <c r="U17" s="402"/>
      <c r="V17" s="402"/>
      <c r="W17" s="402"/>
      <c r="X17" s="402"/>
      <c r="Y17" s="96"/>
    </row>
    <row r="18" spans="2:34" ht="18" customHeight="1" thickTop="1" thickBot="1">
      <c r="C18" s="541" t="s">
        <v>239</v>
      </c>
      <c r="D18" s="541"/>
      <c r="E18" s="541"/>
      <c r="F18" s="541"/>
      <c r="G18" s="541"/>
      <c r="H18" s="541"/>
      <c r="I18" s="541"/>
      <c r="J18" s="557" cm="1">
        <f t="array" ref="J18">angleConvert2Decimal(M18)</f>
        <v>16.25</v>
      </c>
      <c r="K18" s="570"/>
      <c r="L18" s="538"/>
      <c r="M18" s="471">
        <f>(J17-J16)/2</f>
        <v>16.25</v>
      </c>
      <c r="N18" s="472"/>
      <c r="O18" s="473"/>
      <c r="P18" s="402" t="str" cm="1">
        <f t="array" ref="P18">angleDecimal2Txt(J18)</f>
        <v>+16°15.00 (+16.2500) [+16°15'00.00]</v>
      </c>
      <c r="Q18" s="402"/>
      <c r="R18" s="402"/>
      <c r="S18" s="402"/>
      <c r="T18" s="402"/>
      <c r="U18" s="402"/>
      <c r="V18" s="402"/>
      <c r="W18" s="402"/>
      <c r="X18" s="402"/>
      <c r="Y18" s="96"/>
    </row>
    <row r="19" spans="2:34" ht="18" customHeight="1" thickTop="1" thickBot="1">
      <c r="C19" s="649" t="s">
        <v>21</v>
      </c>
      <c r="D19" s="649"/>
      <c r="E19" s="649"/>
      <c r="F19" s="649"/>
      <c r="G19" s="649"/>
      <c r="H19" s="649"/>
      <c r="I19" s="649"/>
      <c r="J19" s="619">
        <f>M19</f>
        <v>9.5</v>
      </c>
      <c r="K19" s="620"/>
      <c r="L19" s="621"/>
      <c r="M19" s="583">
        <v>9.5</v>
      </c>
      <c r="N19" s="583"/>
      <c r="O19" s="583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34" ht="18" customHeight="1" thickTop="1" thickBot="1">
      <c r="B20" s="96"/>
      <c r="C20" s="676" t="s">
        <v>22</v>
      </c>
      <c r="D20" s="677"/>
      <c r="E20" s="677"/>
      <c r="F20" s="677"/>
      <c r="G20" s="677"/>
      <c r="H20" s="677"/>
      <c r="I20" s="678"/>
      <c r="J20" s="390" cm="1">
        <f t="array" ref="J20">angleConvert2Decimal(M20)</f>
        <v>-2.5000000000000001E-2</v>
      </c>
      <c r="K20" s="485"/>
      <c r="L20" s="485"/>
      <c r="M20" s="582" t="s">
        <v>576</v>
      </c>
      <c r="N20" s="583"/>
      <c r="O20" s="583"/>
      <c r="P20" s="402" t="str" cm="1">
        <f t="array" ref="P20">angleDecimal2Txt(J20)</f>
        <v>-00°01.50 (-00.0250) [-00°01'30.00]</v>
      </c>
      <c r="Q20" s="402"/>
      <c r="R20" s="402"/>
      <c r="S20" s="402"/>
      <c r="T20" s="402"/>
      <c r="U20" s="402"/>
      <c r="V20" s="402"/>
      <c r="W20" s="402"/>
      <c r="X20" s="402"/>
      <c r="Y20" s="96"/>
    </row>
    <row r="21" spans="2:34" ht="18" customHeight="1" thickTop="1" thickBot="1">
      <c r="C21" s="683" t="s">
        <v>32</v>
      </c>
      <c r="D21" s="683"/>
      <c r="E21" s="683"/>
      <c r="F21" s="683"/>
      <c r="G21" s="683"/>
      <c r="H21" s="683"/>
      <c r="I21" s="683"/>
      <c r="J21" s="390" cm="1">
        <f t="array" ref="J21">IF(J15=AC15,J18,angleConvert2Decimal(M21))</f>
        <v>72.72</v>
      </c>
      <c r="K21" s="485"/>
      <c r="L21" s="485"/>
      <c r="M21" s="582" t="s">
        <v>578</v>
      </c>
      <c r="N21" s="583"/>
      <c r="O21" s="583"/>
      <c r="P21" s="402" t="str" cm="1">
        <f t="array" ref="P21">angleDecimal2Txt(J21)</f>
        <v>+72°43.20 (+72.7199) [+72°43'12.00]</v>
      </c>
      <c r="Q21" s="402"/>
      <c r="R21" s="402"/>
      <c r="S21" s="402"/>
      <c r="T21" s="402"/>
      <c r="U21" s="402"/>
      <c r="V21" s="402"/>
      <c r="W21" s="402"/>
      <c r="X21" s="402"/>
      <c r="Y21" s="96"/>
    </row>
    <row r="22" spans="2:34" ht="18" customHeight="1" thickTop="1">
      <c r="C22" s="679" t="s">
        <v>37</v>
      </c>
      <c r="D22" s="679"/>
      <c r="E22" s="679"/>
      <c r="F22" s="679"/>
      <c r="G22" s="679"/>
      <c r="H22" s="679"/>
      <c r="I22" s="679"/>
      <c r="J22" s="680" t="str">
        <f>M22</f>
        <v>Soleil</v>
      </c>
      <c r="K22" s="681"/>
      <c r="L22" s="682"/>
      <c r="M22" s="592" t="s">
        <v>38</v>
      </c>
      <c r="N22" s="593"/>
      <c r="O22" s="594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34" ht="18" customHeight="1">
      <c r="C23" s="679" t="s">
        <v>84</v>
      </c>
      <c r="D23" s="679"/>
      <c r="E23" s="679"/>
      <c r="F23" s="679"/>
      <c r="G23" s="679"/>
      <c r="H23" s="679"/>
      <c r="I23" s="679"/>
      <c r="J23" s="398" t="str">
        <f>M23</f>
        <v>BordInf</v>
      </c>
      <c r="K23" s="398"/>
      <c r="L23" s="398"/>
      <c r="M23" s="578" t="s">
        <v>85</v>
      </c>
      <c r="N23" s="578"/>
      <c r="O23" s="578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34" ht="17.25" customHeight="1">
      <c r="C24" s="684" t="s">
        <v>314</v>
      </c>
      <c r="D24" s="685"/>
      <c r="E24" s="109"/>
      <c r="F24" s="109"/>
      <c r="G24" s="109"/>
      <c r="H24" s="109"/>
      <c r="I24" s="110"/>
      <c r="J24" s="603" cm="1">
        <f t="array" ref="J24">angleConvert2Decimal(M24)</f>
        <v>2.8833333333333332E-3</v>
      </c>
      <c r="K24" s="394"/>
      <c r="L24" s="395"/>
      <c r="M24" s="609" t="str">
        <f>P26</f>
        <v>0.173'</v>
      </c>
      <c r="N24" s="610"/>
      <c r="O24" s="610"/>
      <c r="P24" s="615" t="s">
        <v>129</v>
      </c>
      <c r="Q24" s="615"/>
      <c r="R24" s="615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34" ht="17.25" customHeight="1" thickBot="1">
      <c r="C25" s="111"/>
      <c r="D25" s="652" t="s">
        <v>315</v>
      </c>
      <c r="E25" s="652"/>
      <c r="F25" s="652"/>
      <c r="G25" s="652"/>
      <c r="H25" s="652"/>
      <c r="I25" s="653"/>
      <c r="J25" s="604"/>
      <c r="K25" s="461"/>
      <c r="L25" s="605"/>
      <c r="M25" s="611"/>
      <c r="N25" s="612"/>
      <c r="O25" s="612"/>
      <c r="P25" s="615"/>
      <c r="Q25" s="615"/>
      <c r="R25" s="615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136</v>
      </c>
      <c r="AF25" s="155" t="s">
        <v>103</v>
      </c>
      <c r="AG25" s="98"/>
      <c r="AH25" s="98"/>
    </row>
    <row r="26" spans="2:34" ht="17.25" customHeight="1" thickTop="1" thickBot="1">
      <c r="C26" s="111"/>
      <c r="D26" s="652"/>
      <c r="E26" s="652"/>
      <c r="F26" s="652"/>
      <c r="G26" s="652"/>
      <c r="H26" s="652"/>
      <c r="I26" s="653"/>
      <c r="J26" s="604"/>
      <c r="K26" s="461"/>
      <c r="L26" s="605"/>
      <c r="M26" s="611"/>
      <c r="N26" s="612"/>
      <c r="O26" s="612"/>
      <c r="P26" s="584" t="str">
        <f>HLOOKUP(M22,AD23:AF25,2,FALSE)</f>
        <v>0.173'</v>
      </c>
      <c r="Q26" s="584"/>
      <c r="R26" s="584"/>
      <c r="S26" s="479" t="str" cm="1">
        <f t="array" ref="S26">angleDecimal2Txt(angleConvert2Decimal(P26))</f>
        <v>+00°00.17 (+00.0028) [+00°00'10.37]</v>
      </c>
      <c r="T26" s="479"/>
      <c r="U26" s="479"/>
      <c r="V26" s="479"/>
      <c r="W26" s="479"/>
      <c r="X26" s="480"/>
      <c r="Y26" s="96"/>
    </row>
    <row r="27" spans="2:34" ht="17.25" customHeight="1" thickTop="1" thickBot="1">
      <c r="C27" s="112"/>
      <c r="D27" s="654"/>
      <c r="E27" s="654"/>
      <c r="F27" s="654"/>
      <c r="G27" s="654"/>
      <c r="H27" s="654"/>
      <c r="I27" s="655"/>
      <c r="J27" s="606"/>
      <c r="K27" s="607"/>
      <c r="L27" s="608"/>
      <c r="M27" s="613"/>
      <c r="N27" s="614"/>
      <c r="O27" s="614"/>
      <c r="P27" s="581" t="str" cm="1">
        <f t="array" ref="P27">angleDecimal2Txt(J24)</f>
        <v>+00°00.17 (+00.0028) [+00°00'10.37]</v>
      </c>
      <c r="Q27" s="581"/>
      <c r="R27" s="581"/>
      <c r="S27" s="402"/>
      <c r="T27" s="402"/>
      <c r="U27" s="402"/>
      <c r="V27" s="402"/>
      <c r="W27" s="402"/>
      <c r="X27" s="402"/>
      <c r="Y27" s="96"/>
      <c r="AC27" s="153" t="s">
        <v>130</v>
      </c>
      <c r="AD27" s="154" t="s">
        <v>85</v>
      </c>
      <c r="AE27" s="154" t="s">
        <v>355</v>
      </c>
      <c r="AF27" s="154" t="s">
        <v>86</v>
      </c>
    </row>
    <row r="28" spans="2:34" ht="17.25" customHeight="1" thickTop="1">
      <c r="C28" s="595" t="s">
        <v>134</v>
      </c>
      <c r="D28" s="596"/>
      <c r="E28" s="596"/>
      <c r="F28" s="596"/>
      <c r="G28" s="596"/>
      <c r="H28" s="596"/>
      <c r="I28" s="597"/>
      <c r="J28" s="603" cm="1">
        <f t="array" ref="J28">angleConvert2Decimal(M28)</f>
        <v>0.53333333333333333</v>
      </c>
      <c r="K28" s="394"/>
      <c r="L28" s="395"/>
      <c r="M28" s="609" t="str">
        <f>P30</f>
        <v>32'</v>
      </c>
      <c r="N28" s="610"/>
      <c r="O28" s="610"/>
      <c r="P28" s="615" t="s">
        <v>129</v>
      </c>
      <c r="Q28" s="615"/>
      <c r="R28" s="615"/>
      <c r="S28" s="96"/>
      <c r="T28" s="96"/>
      <c r="U28" s="96"/>
      <c r="V28" s="96"/>
      <c r="W28" s="96"/>
      <c r="X28" s="96"/>
      <c r="Y28" s="96"/>
      <c r="AC28" s="153" t="s">
        <v>356</v>
      </c>
      <c r="AD28" s="156">
        <v>0.5</v>
      </c>
      <c r="AE28" s="156">
        <v>-0.5</v>
      </c>
      <c r="AF28" s="156">
        <v>0</v>
      </c>
    </row>
    <row r="29" spans="2:34" ht="17.25" customHeight="1" thickBot="1">
      <c r="C29" s="598"/>
      <c r="D29" s="466"/>
      <c r="E29" s="466"/>
      <c r="F29" s="466"/>
      <c r="G29" s="466"/>
      <c r="H29" s="466"/>
      <c r="I29" s="599"/>
      <c r="J29" s="604"/>
      <c r="K29" s="461"/>
      <c r="L29" s="605"/>
      <c r="M29" s="611"/>
      <c r="N29" s="612"/>
      <c r="O29" s="612"/>
      <c r="P29" s="615"/>
      <c r="Q29" s="615"/>
      <c r="R29" s="615"/>
      <c r="S29" s="96"/>
      <c r="T29" s="96"/>
      <c r="U29" s="96"/>
      <c r="V29" s="96"/>
      <c r="W29" s="96"/>
      <c r="X29" s="96"/>
      <c r="Y29" s="96"/>
    </row>
    <row r="30" spans="2:34" ht="17.25" customHeight="1" thickTop="1" thickBot="1">
      <c r="C30" s="598"/>
      <c r="D30" s="466"/>
      <c r="E30" s="466"/>
      <c r="F30" s="466"/>
      <c r="G30" s="466"/>
      <c r="H30" s="466"/>
      <c r="I30" s="599"/>
      <c r="J30" s="604"/>
      <c r="K30" s="461"/>
      <c r="L30" s="605"/>
      <c r="M30" s="611"/>
      <c r="N30" s="612"/>
      <c r="O30" s="612"/>
      <c r="P30" s="584" t="str">
        <f>HLOOKUP(M22,AD23:AF25,3,FALSE)</f>
        <v>32'</v>
      </c>
      <c r="Q30" s="584"/>
      <c r="R30" s="584"/>
      <c r="S30" s="479" t="str" cm="1">
        <f t="array" ref="S30">angleDecimal2Txt(angleConvert2Decimal(P30))</f>
        <v>+00°32.00 (+00.5333) [+00°32'00.00]</v>
      </c>
      <c r="T30" s="479"/>
      <c r="U30" s="479"/>
      <c r="V30" s="479"/>
      <c r="W30" s="479"/>
      <c r="X30" s="480"/>
      <c r="Y30" s="96"/>
    </row>
    <row r="31" spans="2:34" ht="17.25" customHeight="1" thickTop="1" thickBot="1">
      <c r="C31" s="600"/>
      <c r="D31" s="601"/>
      <c r="E31" s="601"/>
      <c r="F31" s="601"/>
      <c r="G31" s="601"/>
      <c r="H31" s="601"/>
      <c r="I31" s="602"/>
      <c r="J31" s="606"/>
      <c r="K31" s="607"/>
      <c r="L31" s="608"/>
      <c r="M31" s="613"/>
      <c r="N31" s="614"/>
      <c r="O31" s="614"/>
      <c r="P31" s="581" t="str" cm="1">
        <f t="array" ref="P31">angleDecimal2Txt(J28)</f>
        <v>+00°32.00 (+00.5333) [+00°32'00.00]</v>
      </c>
      <c r="Q31" s="581"/>
      <c r="R31" s="581"/>
      <c r="S31" s="402"/>
      <c r="T31" s="402"/>
      <c r="U31" s="402"/>
      <c r="V31" s="402"/>
      <c r="W31" s="402"/>
      <c r="X31" s="402"/>
      <c r="Y31" s="96"/>
    </row>
    <row r="32" spans="2:34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</row>
    <row r="33" spans="1:66" ht="17.25" customHeight="1" thickBot="1">
      <c r="B33" s="107" t="s">
        <v>381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686" t="s">
        <v>7</v>
      </c>
      <c r="F34" s="686"/>
      <c r="G34" s="686"/>
      <c r="H34" s="68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686"/>
      <c r="F35" s="686"/>
      <c r="G35" s="686"/>
      <c r="H35" s="68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72" t="s">
        <v>41</v>
      </c>
      <c r="B36" s="373"/>
      <c r="C36" s="374"/>
      <c r="D36" s="96"/>
      <c r="E36" s="96"/>
      <c r="F36" s="556">
        <f>AD37</f>
        <v>39.85</v>
      </c>
      <c r="G36" s="579"/>
      <c r="H36" s="579"/>
      <c r="I36" s="475" t="s">
        <v>3</v>
      </c>
      <c r="J36" s="477" t="s">
        <v>579</v>
      </c>
      <c r="K36" s="475"/>
      <c r="L36" s="475"/>
      <c r="M36" s="475"/>
      <c r="N36" s="475"/>
      <c r="O36" s="400" t="str" cm="1">
        <f t="array" ref="O36">angleDecimal2Txt(F36)</f>
        <v>+39°51.00 (+39.8500) [+39°51'00.00]</v>
      </c>
      <c r="P36" s="400"/>
      <c r="Q36" s="400"/>
      <c r="R36" s="400"/>
      <c r="S36" s="400"/>
      <c r="T36" s="400"/>
      <c r="U36" s="400"/>
      <c r="V36" s="400"/>
      <c r="W36" s="400"/>
      <c r="X36" s="400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579"/>
      <c r="G37" s="579"/>
      <c r="H37" s="579"/>
      <c r="I37" s="475"/>
      <c r="J37" s="475"/>
      <c r="K37" s="475"/>
      <c r="L37" s="475"/>
      <c r="M37" s="475"/>
      <c r="N37" s="475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96"/>
      <c r="Z37" s="96"/>
      <c r="AC37" s="6" t="s">
        <v>335</v>
      </c>
      <c r="AD37" s="6" cm="1">
        <f t="array" ref="AD37">angleConvert2Decimal(J36)*AD36</f>
        <v>39.85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580" t="s">
        <v>8</v>
      </c>
      <c r="F39" s="580"/>
      <c r="G39" s="580"/>
      <c r="H39" s="580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580"/>
      <c r="F40" s="580"/>
      <c r="G40" s="580"/>
      <c r="H40" s="580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556">
        <f>AD42</f>
        <v>6.0916666666666668</v>
      </c>
      <c r="G41" s="579"/>
      <c r="H41" s="579"/>
      <c r="I41" s="475" t="s">
        <v>5</v>
      </c>
      <c r="J41" s="477" t="s">
        <v>580</v>
      </c>
      <c r="K41" s="475"/>
      <c r="L41" s="475"/>
      <c r="M41" s="475"/>
      <c r="N41" s="475"/>
      <c r="O41" s="400" t="str" cm="1">
        <f t="array" ref="O41">angleDecimal2Txt(F41)</f>
        <v>+06°05.50 (+06.0916) [+06°05'30.00]</v>
      </c>
      <c r="P41" s="400"/>
      <c r="Q41" s="400"/>
      <c r="R41" s="400"/>
      <c r="S41" s="400"/>
      <c r="T41" s="400"/>
      <c r="U41" s="400"/>
      <c r="V41" s="400"/>
      <c r="W41" s="400"/>
      <c r="X41" s="400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579"/>
      <c r="G42" s="579"/>
      <c r="H42" s="579"/>
      <c r="I42" s="475"/>
      <c r="J42" s="475"/>
      <c r="K42" s="475"/>
      <c r="L42" s="475"/>
      <c r="M42" s="475"/>
      <c r="N42" s="475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96"/>
      <c r="Z42" s="96"/>
      <c r="AC42" s="6" t="s">
        <v>337</v>
      </c>
      <c r="AD42" s="6" cm="1">
        <f t="array" ref="AD42">angleConvert2Decimal(J41)*AD41</f>
        <v>6.0916666666666668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468">
        <f>IF(G46=AD46,F50,F58)</f>
        <v>23.13508240740741</v>
      </c>
      <c r="G45" s="468"/>
      <c r="H45" s="468"/>
      <c r="I45" s="108"/>
      <c r="J45" s="108"/>
      <c r="K45" s="108" t="str" cm="1">
        <f t="array" ref="K45">angleDecimal2Txt(F45)</f>
        <v>+23°08.10 (+23.1350) [+23°08'06.29]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466" t="s">
        <v>42</v>
      </c>
      <c r="D46" s="466"/>
      <c r="E46" s="466"/>
      <c r="F46" s="466"/>
      <c r="G46" s="470" t="s">
        <v>10</v>
      </c>
      <c r="H46" s="470"/>
      <c r="I46" s="470"/>
      <c r="AB46" s="149"/>
      <c r="AC46" s="664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664"/>
      <c r="AD47" s="152" t="s">
        <v>16</v>
      </c>
      <c r="AF47" s="98"/>
      <c r="AG47" s="98"/>
    </row>
    <row r="48" spans="1:66" ht="17.25" customHeight="1">
      <c r="F48" s="476" t="s">
        <v>9</v>
      </c>
      <c r="G48" s="476"/>
      <c r="H48" s="476"/>
      <c r="I48" s="476" t="s">
        <v>12</v>
      </c>
      <c r="J48" s="476"/>
      <c r="K48" s="476"/>
      <c r="L48" s="476"/>
      <c r="M48" s="469" t="s">
        <v>13</v>
      </c>
      <c r="N48" s="469"/>
      <c r="O48" s="469"/>
      <c r="P48" s="478" t="s">
        <v>17</v>
      </c>
      <c r="Q48" s="478"/>
      <c r="R48" s="478"/>
      <c r="S48" s="478"/>
      <c r="T48" s="478"/>
      <c r="U48" s="96"/>
      <c r="AD48" s="157" t="s">
        <v>101</v>
      </c>
      <c r="AE48" s="6" t="s">
        <v>347</v>
      </c>
    </row>
    <row r="49" spans="1:35" ht="17.25" customHeight="1" thickBot="1">
      <c r="F49" s="476"/>
      <c r="G49" s="476"/>
      <c r="H49" s="476"/>
      <c r="I49" s="476"/>
      <c r="J49" s="476"/>
      <c r="K49" s="476"/>
      <c r="L49" s="476"/>
      <c r="M49" s="469"/>
      <c r="N49" s="469"/>
      <c r="O49" s="469"/>
      <c r="P49" s="478"/>
      <c r="Q49" s="478"/>
      <c r="R49" s="478"/>
      <c r="S49" s="478"/>
      <c r="T49" s="478"/>
      <c r="U49" s="96"/>
      <c r="AC49" s="6" t="s">
        <v>338</v>
      </c>
      <c r="AD49" s="6">
        <f>VLOOKUP(P50,$A$38:$C$39,3)</f>
        <v>1</v>
      </c>
      <c r="AE49" s="6" cm="1">
        <f t="array" ref="AE49">AD49*angleConvert2Decimal(Q50)</f>
        <v>23.138333333333332</v>
      </c>
    </row>
    <row r="50" spans="1:35" ht="17.25" customHeight="1" thickTop="1" thickBot="1">
      <c r="E50" s="98"/>
      <c r="F50" s="555">
        <f>IF(G46=AD47,"---",AD54)</f>
        <v>23.13508240740741</v>
      </c>
      <c r="G50" s="555"/>
      <c r="H50" s="555"/>
      <c r="I50" s="425">
        <f>E11</f>
        <v>11.975277777777778</v>
      </c>
      <c r="J50" s="425"/>
      <c r="K50" s="425"/>
      <c r="L50" s="425"/>
      <c r="M50" s="658">
        <v>11</v>
      </c>
      <c r="N50" s="474"/>
      <c r="O50" s="474"/>
      <c r="P50" s="474" t="s">
        <v>3</v>
      </c>
      <c r="Q50" s="585" t="s">
        <v>508</v>
      </c>
      <c r="R50" s="656"/>
      <c r="S50" s="656"/>
      <c r="T50" s="656"/>
      <c r="U50" s="400" t="str" cm="1">
        <f t="array" ref="U50">angleDecimal2Txt(AE49)</f>
        <v>+23°08.30 (+23.1383) [+23°08'18.00]</v>
      </c>
      <c r="V50" s="577"/>
      <c r="W50" s="577"/>
      <c r="X50" s="577"/>
      <c r="Y50" s="577"/>
      <c r="AC50" s="6" t="s">
        <v>339</v>
      </c>
      <c r="AD50" s="6">
        <f>VLOOKUP(P52,$A$38:$C$39,3)</f>
        <v>1</v>
      </c>
      <c r="AE50" s="6" cm="1">
        <f t="array" ref="AE50">AD50*angleConvert2Decimal(Q52)</f>
        <v>23.135000000000002</v>
      </c>
    </row>
    <row r="51" spans="1:35" ht="17.25" customHeight="1" thickTop="1" thickBot="1">
      <c r="F51" s="556"/>
      <c r="G51" s="556"/>
      <c r="H51" s="556"/>
      <c r="I51" s="425"/>
      <c r="J51" s="425"/>
      <c r="K51" s="425"/>
      <c r="L51" s="425"/>
      <c r="M51" s="659"/>
      <c r="N51" s="475"/>
      <c r="O51" s="475"/>
      <c r="P51" s="475"/>
      <c r="Q51" s="657"/>
      <c r="R51" s="657"/>
      <c r="S51" s="657"/>
      <c r="T51" s="657"/>
      <c r="U51" s="577"/>
      <c r="V51" s="577"/>
      <c r="W51" s="577"/>
      <c r="X51" s="577"/>
      <c r="Y51" s="577"/>
      <c r="AC51" s="6" t="s">
        <v>45</v>
      </c>
      <c r="AD51" s="8">
        <f>AE50-AE49</f>
        <v>-3.3333333333303017E-3</v>
      </c>
    </row>
    <row r="52" spans="1:35" ht="17.25" customHeight="1" thickTop="1" thickBot="1">
      <c r="F52" s="556"/>
      <c r="G52" s="556"/>
      <c r="H52" s="556"/>
      <c r="I52" s="425"/>
      <c r="J52" s="425"/>
      <c r="K52" s="425"/>
      <c r="L52" s="425"/>
      <c r="M52" s="659">
        <v>12</v>
      </c>
      <c r="N52" s="475"/>
      <c r="O52" s="475"/>
      <c r="P52" s="475" t="s">
        <v>3</v>
      </c>
      <c r="Q52" s="663" t="s">
        <v>507</v>
      </c>
      <c r="R52" s="657"/>
      <c r="S52" s="657"/>
      <c r="T52" s="657"/>
      <c r="U52" s="400" t="str" cm="1">
        <f t="array" ref="U52">angleDecimal2Txt((AE50))</f>
        <v>+23°08.09 (+23.1350) [+23°08'06.00]</v>
      </c>
      <c r="V52" s="577"/>
      <c r="W52" s="577"/>
      <c r="X52" s="577"/>
      <c r="Y52" s="577"/>
      <c r="AC52" s="6" t="s">
        <v>341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556"/>
      <c r="G53" s="556"/>
      <c r="H53" s="556"/>
      <c r="I53" s="425"/>
      <c r="J53" s="425"/>
      <c r="K53" s="425"/>
      <c r="L53" s="425"/>
      <c r="M53" s="659"/>
      <c r="N53" s="475"/>
      <c r="O53" s="475"/>
      <c r="P53" s="475"/>
      <c r="Q53" s="657"/>
      <c r="R53" s="657"/>
      <c r="S53" s="657"/>
      <c r="T53" s="657"/>
      <c r="U53" s="577"/>
      <c r="V53" s="577"/>
      <c r="W53" s="577"/>
      <c r="X53" s="577"/>
      <c r="Y53" s="577"/>
      <c r="AC53" s="6" t="s">
        <v>46</v>
      </c>
      <c r="AD53" s="8">
        <f>I50-M50</f>
        <v>0.97527777777777835</v>
      </c>
      <c r="AI53" s="41"/>
    </row>
    <row r="54" spans="1:35" ht="17.25" customHeight="1" thickTop="1" thickBot="1">
      <c r="F54" s="402" t="str" cm="1">
        <f t="array" ref="F54">angleDecimal2Txt(F50)</f>
        <v>+23°08.10 (+23.1350) [+23°08'06.29]</v>
      </c>
      <c r="G54" s="402"/>
      <c r="H54" s="402"/>
      <c r="I54" s="581"/>
      <c r="J54" s="581"/>
      <c r="K54" s="581"/>
      <c r="AA54" s="96"/>
      <c r="AC54" s="6" t="s">
        <v>44</v>
      </c>
      <c r="AD54" s="6">
        <f>AE49+(AD51/AD52)*AD53</f>
        <v>23.13508240740741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476" t="s">
        <v>9</v>
      </c>
      <c r="G56" s="476"/>
      <c r="H56" s="476"/>
      <c r="I56" s="476" t="s">
        <v>12</v>
      </c>
      <c r="J56" s="476"/>
      <c r="K56" s="476"/>
      <c r="L56" s="476"/>
      <c r="M56" s="469" t="s">
        <v>13</v>
      </c>
      <c r="N56" s="469"/>
      <c r="O56" s="469"/>
      <c r="P56" s="478" t="s">
        <v>18</v>
      </c>
      <c r="Q56" s="478"/>
      <c r="R56" s="478"/>
      <c r="S56" s="478"/>
      <c r="T56" s="478"/>
      <c r="U56" s="478" t="s">
        <v>235</v>
      </c>
      <c r="V56" s="478"/>
      <c r="W56" s="478"/>
      <c r="X56" s="478"/>
      <c r="Y56" s="478"/>
      <c r="AA56" s="96"/>
      <c r="AC56" s="6" t="s">
        <v>342</v>
      </c>
      <c r="AD56" s="6">
        <f>VLOOKUP(P58,$A$38:$C$39,3)</f>
        <v>-1</v>
      </c>
    </row>
    <row r="57" spans="1:35" ht="17.25" customHeight="1">
      <c r="F57" s="476"/>
      <c r="G57" s="476"/>
      <c r="H57" s="476"/>
      <c r="I57" s="476"/>
      <c r="J57" s="476"/>
      <c r="K57" s="476"/>
      <c r="L57" s="476"/>
      <c r="M57" s="469"/>
      <c r="N57" s="469"/>
      <c r="O57" s="469"/>
      <c r="P57" s="478"/>
      <c r="Q57" s="478"/>
      <c r="R57" s="478"/>
      <c r="S57" s="478"/>
      <c r="T57" s="478"/>
      <c r="U57" s="478"/>
      <c r="V57" s="478"/>
      <c r="W57" s="478"/>
      <c r="X57" s="478"/>
      <c r="Y57" s="478"/>
      <c r="Z57" s="96"/>
      <c r="AA57" s="96"/>
      <c r="AC57" s="6" t="s">
        <v>343</v>
      </c>
      <c r="AD57" s="6" cm="1">
        <f t="array" ref="AD57">angleConvert2Decimal(Q58)*AD56</f>
        <v>-12.24</v>
      </c>
    </row>
    <row r="58" spans="1:35" ht="17.25" customHeight="1">
      <c r="E58" s="98"/>
      <c r="F58" s="555" t="str">
        <f>IF(G46=AD47,AD60,"---")</f>
        <v>---</v>
      </c>
      <c r="G58" s="555"/>
      <c r="H58" s="555"/>
      <c r="I58" s="425">
        <f>E11</f>
        <v>11.975277777777778</v>
      </c>
      <c r="J58" s="425"/>
      <c r="K58" s="425"/>
      <c r="L58" s="425"/>
      <c r="M58" s="658">
        <v>0</v>
      </c>
      <c r="N58" s="474"/>
      <c r="O58" s="474"/>
      <c r="P58" s="474" t="s">
        <v>4</v>
      </c>
      <c r="Q58" s="669" t="s">
        <v>227</v>
      </c>
      <c r="R58" s="474"/>
      <c r="S58" s="474"/>
      <c r="T58" s="474"/>
      <c r="U58" s="474" t="s">
        <v>3</v>
      </c>
      <c r="V58" s="669" t="s">
        <v>173</v>
      </c>
      <c r="W58" s="474"/>
      <c r="X58" s="474"/>
      <c r="Y58" s="474"/>
      <c r="Z58" s="96"/>
      <c r="AC58" s="6" t="s">
        <v>344</v>
      </c>
      <c r="AD58" s="6">
        <f>VLOOKUP(U58,$A$38:$C$39,3)</f>
        <v>1</v>
      </c>
    </row>
    <row r="59" spans="1:35" ht="17.25" customHeight="1" collapsed="1" thickBot="1">
      <c r="F59" s="556"/>
      <c r="G59" s="556"/>
      <c r="H59" s="556"/>
      <c r="I59" s="425"/>
      <c r="J59" s="425"/>
      <c r="K59" s="425"/>
      <c r="L59" s="425"/>
      <c r="M59" s="659"/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96"/>
      <c r="AC59" s="6" t="s">
        <v>345</v>
      </c>
      <c r="AD59" s="6" cm="1">
        <f t="array" ref="AD59">angleConvert2Decimal(V58)*AD58</f>
        <v>1.6E-2</v>
      </c>
    </row>
    <row r="60" spans="1:35" ht="17.25" customHeight="1" thickTop="1" thickBot="1">
      <c r="F60" s="402" t="e" cm="1">
        <f t="array" ref="F60">angleDecimal2Txt(F58)</f>
        <v>#VALUE!</v>
      </c>
      <c r="G60" s="402"/>
      <c r="H60" s="402"/>
      <c r="I60" s="581"/>
      <c r="J60" s="581"/>
      <c r="K60" s="581"/>
      <c r="P60" s="402" t="str" cm="1">
        <f t="array" ref="P60">angleDecimal2Txt(AD57)</f>
        <v>-12°14.40 (-12.2400) [-12°14'24.00]</v>
      </c>
      <c r="Q60" s="402"/>
      <c r="R60" s="402"/>
      <c r="S60" s="402"/>
      <c r="T60" s="402"/>
      <c r="U60" s="402" t="str" cm="1">
        <f t="array" ref="U60">angleDecimal2Txt(AD59)</f>
        <v>+00°00.96 (+00.0160) [+00°00'57.60]</v>
      </c>
      <c r="V60" s="588"/>
      <c r="W60" s="588"/>
      <c r="X60" s="588"/>
      <c r="Y60" s="588"/>
      <c r="AC60" s="6" t="s">
        <v>346</v>
      </c>
      <c r="AD60" s="6">
        <f>AD57+AD59*(I58-M58)</f>
        <v>-12.048395555555556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238</v>
      </c>
      <c r="C63" s="108"/>
      <c r="D63" s="108"/>
      <c r="E63" s="108"/>
      <c r="F63" s="468">
        <f>IF(G64=AD64,F68,F76)</f>
        <v>358.6892490740741</v>
      </c>
      <c r="G63" s="468"/>
      <c r="H63" s="468"/>
      <c r="I63" s="108"/>
      <c r="J63" s="108"/>
      <c r="K63" s="108"/>
      <c r="L63" s="465">
        <f>F63-360</f>
        <v>-1.3107509259259018</v>
      </c>
      <c r="M63" s="465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466" t="s">
        <v>42</v>
      </c>
      <c r="D64" s="466"/>
      <c r="E64" s="466"/>
      <c r="F64" s="467"/>
      <c r="G64" s="624" t="s">
        <v>10</v>
      </c>
      <c r="H64" s="625"/>
      <c r="I64" s="626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664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664"/>
      <c r="AD65" s="152" t="s">
        <v>16</v>
      </c>
    </row>
    <row r="66" spans="3:32" ht="17.25" customHeight="1">
      <c r="F66" s="434" t="s">
        <v>9</v>
      </c>
      <c r="G66" s="435"/>
      <c r="H66" s="436"/>
      <c r="I66" s="434" t="s">
        <v>12</v>
      </c>
      <c r="J66" s="435"/>
      <c r="K66" s="435"/>
      <c r="L66" s="436"/>
      <c r="M66" s="440" t="s">
        <v>13</v>
      </c>
      <c r="N66" s="441"/>
      <c r="O66" s="442"/>
      <c r="P66" s="426" t="s">
        <v>17</v>
      </c>
      <c r="Q66" s="427"/>
      <c r="R66" s="427"/>
      <c r="S66" s="427"/>
      <c r="T66" s="428"/>
      <c r="U66" s="96"/>
      <c r="AD66" s="157" t="s">
        <v>101</v>
      </c>
      <c r="AE66" s="6" t="s">
        <v>347</v>
      </c>
    </row>
    <row r="67" spans="3:32" ht="17.25" customHeight="1" thickBot="1">
      <c r="F67" s="437"/>
      <c r="G67" s="438"/>
      <c r="H67" s="439"/>
      <c r="I67" s="437"/>
      <c r="J67" s="438"/>
      <c r="K67" s="438"/>
      <c r="L67" s="439"/>
      <c r="M67" s="443"/>
      <c r="N67" s="444"/>
      <c r="O67" s="445"/>
      <c r="P67" s="429"/>
      <c r="Q67" s="430"/>
      <c r="R67" s="430"/>
      <c r="S67" s="430"/>
      <c r="T67" s="431"/>
      <c r="U67" s="96"/>
      <c r="Z67"/>
      <c r="AC67" s="6" t="s">
        <v>338</v>
      </c>
      <c r="AD67" s="6">
        <f>VLOOKUP(P68,$B$38:$C$39,2)</f>
        <v>1</v>
      </c>
      <c r="AE67" s="6" cm="1">
        <f t="array" ref="AE67">AD67*angleConvert2Decimal(Q68)</f>
        <v>344.06333333333333</v>
      </c>
    </row>
    <row r="68" spans="3:32" ht="17.25" customHeight="1" thickTop="1" thickBot="1">
      <c r="E68" s="98"/>
      <c r="F68" s="555">
        <f>IF(G64=AD65,"---",AF72)</f>
        <v>358.6892490740741</v>
      </c>
      <c r="G68" s="555"/>
      <c r="H68" s="555"/>
      <c r="I68" s="425">
        <f>E11</f>
        <v>11.975277777777778</v>
      </c>
      <c r="J68" s="425"/>
      <c r="K68" s="425"/>
      <c r="L68" s="425"/>
      <c r="M68" s="551">
        <v>11</v>
      </c>
      <c r="N68" s="552"/>
      <c r="O68" s="552"/>
      <c r="P68" s="425" t="s">
        <v>5</v>
      </c>
      <c r="Q68" s="627" t="s">
        <v>509</v>
      </c>
      <c r="R68" s="627"/>
      <c r="S68" s="627"/>
      <c r="T68" s="628"/>
      <c r="U68" s="400" t="str" cm="1">
        <f t="array" ref="U68">angleDecimal2Txt(AE67)</f>
        <v>+344°03.79 (+344.0633) [+344°03'48.00]</v>
      </c>
      <c r="V68" s="577"/>
      <c r="W68" s="577"/>
      <c r="X68" s="577"/>
      <c r="Y68" s="577"/>
      <c r="Z68"/>
      <c r="AC68" s="6" t="s">
        <v>339</v>
      </c>
      <c r="AD68" s="6">
        <f>VLOOKUP(P70,$B$38:$C$39,2)</f>
        <v>1</v>
      </c>
      <c r="AE68" s="6" cm="1">
        <f t="array" ref="AE68">AD68*angleConvert2Decimal(Q70)</f>
        <v>359.06</v>
      </c>
    </row>
    <row r="69" spans="3:32" ht="17.25" customHeight="1" thickTop="1" thickBot="1">
      <c r="F69" s="556"/>
      <c r="G69" s="556"/>
      <c r="H69" s="556"/>
      <c r="I69" s="425"/>
      <c r="J69" s="425"/>
      <c r="K69" s="425"/>
      <c r="L69" s="425"/>
      <c r="M69" s="553"/>
      <c r="N69" s="554"/>
      <c r="O69" s="554"/>
      <c r="P69" s="425"/>
      <c r="Q69" s="629"/>
      <c r="R69" s="629"/>
      <c r="S69" s="629"/>
      <c r="T69" s="630"/>
      <c r="U69" s="577"/>
      <c r="V69" s="577"/>
      <c r="W69" s="577"/>
      <c r="X69" s="577"/>
      <c r="Y69" s="577"/>
      <c r="Z69"/>
      <c r="AC69" s="6" t="s">
        <v>45</v>
      </c>
      <c r="AD69" s="8">
        <f>AE68-AE67</f>
        <v>14.99666666666667</v>
      </c>
    </row>
    <row r="70" spans="3:32" ht="17.25" customHeight="1" thickTop="1" thickBot="1">
      <c r="F70" s="556"/>
      <c r="G70" s="556"/>
      <c r="H70" s="556"/>
      <c r="I70" s="425"/>
      <c r="J70" s="425"/>
      <c r="K70" s="425"/>
      <c r="L70" s="425"/>
      <c r="M70" s="622">
        <v>12</v>
      </c>
      <c r="N70" s="623"/>
      <c r="O70" s="623"/>
      <c r="P70" s="425" t="s">
        <v>5</v>
      </c>
      <c r="Q70" s="631" t="s">
        <v>581</v>
      </c>
      <c r="R70" s="631"/>
      <c r="S70" s="631"/>
      <c r="T70" s="632"/>
      <c r="U70" s="400" t="str" cm="1">
        <f t="array" ref="U70">angleDecimal2Txt((AE68))</f>
        <v>+359°03.60 (+359.0600) [+359°03'36.00]</v>
      </c>
      <c r="V70" s="577"/>
      <c r="W70" s="577"/>
      <c r="X70" s="577"/>
      <c r="Y70" s="577"/>
      <c r="Z70"/>
      <c r="AC70" s="6" t="s">
        <v>341</v>
      </c>
      <c r="AD70" s="8">
        <f>M70-M68</f>
        <v>1</v>
      </c>
      <c r="AE70" s="98"/>
    </row>
    <row r="71" spans="3:32" ht="17.25" customHeight="1" thickTop="1" thickBot="1">
      <c r="F71" s="556"/>
      <c r="G71" s="556"/>
      <c r="H71" s="556"/>
      <c r="I71" s="425"/>
      <c r="J71" s="425"/>
      <c r="K71" s="425"/>
      <c r="L71" s="425"/>
      <c r="M71" s="553"/>
      <c r="N71" s="554"/>
      <c r="O71" s="554"/>
      <c r="P71" s="425"/>
      <c r="Q71" s="629"/>
      <c r="R71" s="629"/>
      <c r="S71" s="629"/>
      <c r="T71" s="630"/>
      <c r="U71" s="577"/>
      <c r="V71" s="577"/>
      <c r="W71" s="577"/>
      <c r="X71" s="577"/>
      <c r="Y71" s="577"/>
      <c r="Z71"/>
      <c r="AC71" s="6" t="s">
        <v>46</v>
      </c>
      <c r="AD71" s="8">
        <f>I68-M68</f>
        <v>0.97527777777777835</v>
      </c>
    </row>
    <row r="72" spans="3:32" ht="17.25" customHeight="1" thickTop="1" thickBot="1">
      <c r="F72" s="412">
        <f>AC73</f>
        <v>0</v>
      </c>
      <c r="G72" s="413"/>
      <c r="H72" s="413"/>
      <c r="I72" s="650"/>
      <c r="J72" s="650"/>
      <c r="K72" s="651"/>
      <c r="Q72" s="190"/>
      <c r="Z72"/>
      <c r="AA72" s="96"/>
      <c r="AC72" s="6" t="s">
        <v>535</v>
      </c>
      <c r="AD72" s="6">
        <f>IF(AF72&gt;360,AF72-360,AF72)</f>
        <v>358.6892490740741</v>
      </c>
      <c r="AE72" s="6" t="s">
        <v>44</v>
      </c>
      <c r="AF72" s="6">
        <f>(AE67+(AD69/AD70)*AD71)</f>
        <v>358.6892490740741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34" t="s">
        <v>9</v>
      </c>
      <c r="G74" s="435"/>
      <c r="H74" s="436"/>
      <c r="I74" s="434" t="s">
        <v>12</v>
      </c>
      <c r="J74" s="435"/>
      <c r="K74" s="435"/>
      <c r="L74" s="436"/>
      <c r="M74" s="440" t="s">
        <v>13</v>
      </c>
      <c r="N74" s="441"/>
      <c r="O74" s="442"/>
      <c r="P74" s="426" t="s">
        <v>18</v>
      </c>
      <c r="Q74" s="427"/>
      <c r="R74" s="427"/>
      <c r="S74" s="427"/>
      <c r="T74" s="428"/>
      <c r="U74" s="426" t="s">
        <v>126</v>
      </c>
      <c r="V74" s="427"/>
      <c r="W74" s="427"/>
      <c r="X74" s="427"/>
      <c r="Y74" s="428"/>
      <c r="AA74" s="96"/>
      <c r="AC74" s="6" t="s">
        <v>342</v>
      </c>
      <c r="AD74" s="6">
        <f>VLOOKUP(P76,$B$38:$C$39,2)</f>
        <v>1</v>
      </c>
    </row>
    <row r="75" spans="3:32" ht="17.25" customHeight="1" collapsed="1">
      <c r="F75" s="437"/>
      <c r="G75" s="438"/>
      <c r="H75" s="439"/>
      <c r="I75" s="437"/>
      <c r="J75" s="438"/>
      <c r="K75" s="438"/>
      <c r="L75" s="439"/>
      <c r="M75" s="443"/>
      <c r="N75" s="444"/>
      <c r="O75" s="445"/>
      <c r="P75" s="429"/>
      <c r="Q75" s="430"/>
      <c r="R75" s="430"/>
      <c r="S75" s="430"/>
      <c r="T75" s="431"/>
      <c r="U75" s="429"/>
      <c r="V75" s="432"/>
      <c r="W75" s="432"/>
      <c r="X75" s="432"/>
      <c r="Y75" s="433"/>
      <c r="Z75" s="96"/>
      <c r="AA75" s="96"/>
      <c r="AC75" s="6" t="s">
        <v>343</v>
      </c>
      <c r="AD75" s="6" cm="1">
        <f t="array" ref="AD75">angleConvert2Decimal(Q76)*AD74</f>
        <v>176.49</v>
      </c>
    </row>
    <row r="76" spans="3:32" ht="17.25" customHeight="1">
      <c r="E76" s="98"/>
      <c r="F76" s="555" t="str">
        <f>IF(G64=AD65,AF78,"---")</f>
        <v>---</v>
      </c>
      <c r="G76" s="555"/>
      <c r="H76" s="555"/>
      <c r="I76" s="546">
        <f>E11</f>
        <v>11.975277777777778</v>
      </c>
      <c r="J76" s="547"/>
      <c r="K76" s="547"/>
      <c r="L76" s="548"/>
      <c r="M76" s="551">
        <v>0</v>
      </c>
      <c r="N76" s="552"/>
      <c r="O76" s="552"/>
      <c r="P76" s="425" t="s">
        <v>5</v>
      </c>
      <c r="Q76" s="667" t="s">
        <v>228</v>
      </c>
      <c r="R76" s="667"/>
      <c r="S76" s="667"/>
      <c r="T76" s="667"/>
      <c r="U76" s="425" t="s">
        <v>5</v>
      </c>
      <c r="V76" s="425" t="s">
        <v>174</v>
      </c>
      <c r="W76" s="425"/>
      <c r="X76" s="425"/>
      <c r="Y76" s="425"/>
      <c r="Z76" s="96"/>
      <c r="AC76" s="6" t="s">
        <v>344</v>
      </c>
      <c r="AD76" s="6">
        <f>VLOOKUP(U76,$B$38:$C$39,2)</f>
        <v>1</v>
      </c>
    </row>
    <row r="77" spans="3:32" ht="17.25" customHeight="1" thickBot="1">
      <c r="F77" s="556"/>
      <c r="G77" s="556"/>
      <c r="H77" s="556"/>
      <c r="I77" s="484"/>
      <c r="J77" s="549"/>
      <c r="K77" s="549"/>
      <c r="L77" s="550"/>
      <c r="M77" s="553"/>
      <c r="N77" s="554"/>
      <c r="O77" s="554"/>
      <c r="P77" s="425"/>
      <c r="Q77" s="668"/>
      <c r="R77" s="668"/>
      <c r="S77" s="668"/>
      <c r="T77" s="668"/>
      <c r="U77" s="425"/>
      <c r="V77" s="425"/>
      <c r="W77" s="425"/>
      <c r="X77" s="425"/>
      <c r="Y77" s="425"/>
      <c r="Z77" s="96"/>
      <c r="AC77" s="6" t="s">
        <v>345</v>
      </c>
      <c r="AD77" s="6" cm="1">
        <f t="array" ref="AD77">angleConvert2Decimal(V76)*AD76</f>
        <v>15.002000000000001</v>
      </c>
    </row>
    <row r="78" spans="3:32" ht="17.25" customHeight="1" thickTop="1" thickBot="1">
      <c r="F78" s="402" t="e" cm="1">
        <f t="array" ref="F78">angleDecimal2Txt(F76)</f>
        <v>#VALUE!</v>
      </c>
      <c r="G78" s="402"/>
      <c r="H78" s="402"/>
      <c r="I78" s="402"/>
      <c r="J78" s="402"/>
      <c r="K78" s="402"/>
      <c r="P78" s="581" t="str" cm="1">
        <f t="array" ref="P78">angleDecimal2Txt(AD75)</f>
        <v>+176°29.39 (+176.4900) [+176°29'24.00]</v>
      </c>
      <c r="Q78" s="402"/>
      <c r="R78" s="402"/>
      <c r="S78" s="402"/>
      <c r="T78" s="402"/>
      <c r="U78" s="581" t="str" cm="1">
        <f t="array" ref="U78">angleDecimal2Txt(AD77)</f>
        <v>+15°00.12 (+15.0020) [+15°00'07.20]</v>
      </c>
      <c r="V78" s="670"/>
      <c r="W78" s="670"/>
      <c r="X78" s="670"/>
      <c r="Y78" s="670"/>
      <c r="AC78" s="6" t="s">
        <v>535</v>
      </c>
      <c r="AD78" s="6">
        <f>IF(AF78&gt;360,AF78-360,AF78)</f>
        <v>356.14311722222226</v>
      </c>
      <c r="AE78" s="6" t="s">
        <v>44</v>
      </c>
      <c r="AF78" s="6">
        <f>MOD(AD75+AD77*(I76-M76),360)</f>
        <v>356.14311722222226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468">
        <f>I83</f>
        <v>4.7809157407407383</v>
      </c>
      <c r="G82" s="468"/>
      <c r="H82" s="468"/>
      <c r="I82" s="108"/>
      <c r="J82" s="586" t="s">
        <v>83</v>
      </c>
      <c r="K82" s="586"/>
      <c r="L82" s="586"/>
      <c r="M82" s="558" t="str">
        <f>J22</f>
        <v>Soleil</v>
      </c>
      <c r="N82" s="558"/>
      <c r="O82" s="55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665" t="s">
        <v>23</v>
      </c>
      <c r="D83" s="665"/>
      <c r="E83" s="665"/>
      <c r="F83" s="665"/>
      <c r="G83" s="665"/>
      <c r="H83" s="666"/>
      <c r="I83" s="660">
        <f>AD84</f>
        <v>4.7809157407407383</v>
      </c>
      <c r="J83" s="661"/>
      <c r="K83" s="661"/>
      <c r="L83" s="662"/>
      <c r="M83" s="118" t="s">
        <v>53</v>
      </c>
      <c r="N83" s="534">
        <f>AD83</f>
        <v>364.78091574074074</v>
      </c>
      <c r="O83" s="534"/>
      <c r="P83" s="534"/>
      <c r="Q83" s="534"/>
      <c r="AC83" s="6" t="s">
        <v>348</v>
      </c>
      <c r="AD83" s="8">
        <f>F63+F41</f>
        <v>364.78091574074074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588">
        <f>AC85</f>
        <v>0</v>
      </c>
      <c r="J84" s="588"/>
      <c r="K84" s="588"/>
      <c r="L84" s="588"/>
      <c r="M84" s="588"/>
      <c r="N84" s="588"/>
      <c r="AB84" s="150"/>
      <c r="AC84" s="6" t="s">
        <v>349</v>
      </c>
      <c r="AD84" s="8">
        <f>IF(AD83&gt;360,AD83-360,AD83)</f>
        <v>4.7809157407407383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633" t="s">
        <v>100</v>
      </c>
      <c r="E86" s="637"/>
      <c r="F86" s="468">
        <f>IF(G87=AD87,O126,O116)</f>
        <v>72.917045988327757</v>
      </c>
      <c r="G86" s="468"/>
      <c r="H86" s="468"/>
      <c r="I86" s="108"/>
      <c r="J86" s="108"/>
      <c r="K86" s="108"/>
      <c r="L86" s="108" t="s">
        <v>88</v>
      </c>
      <c r="M86" s="633">
        <f>O89</f>
        <v>72.72</v>
      </c>
      <c r="N86" s="633"/>
      <c r="O86" s="108"/>
      <c r="P86" s="144"/>
      <c r="Q86" s="108" t="s">
        <v>127</v>
      </c>
      <c r="R86" s="108"/>
      <c r="S86" s="672">
        <f>-O103+O98+O107</f>
        <v>0.26235465347124365</v>
      </c>
      <c r="T86" s="673"/>
      <c r="U86" s="674"/>
      <c r="V86" s="675" t="str" cm="1">
        <f t="array" ref="V86">angleDecimal2Txt(S86)</f>
        <v>+00°15.74 (+00.2623) [+00°15'44.47]</v>
      </c>
      <c r="W86" s="675"/>
      <c r="X86" s="675"/>
      <c r="Y86" s="675"/>
      <c r="Z86" s="675"/>
      <c r="AA86" s="108"/>
      <c r="AB86" s="148"/>
    </row>
    <row r="87" spans="1:66" ht="17.25" customHeight="1">
      <c r="C87" s="466" t="s">
        <v>42</v>
      </c>
      <c r="D87" s="466"/>
      <c r="E87" s="466"/>
      <c r="F87" s="466"/>
      <c r="G87" s="587" t="s">
        <v>59</v>
      </c>
      <c r="H87" s="587"/>
      <c r="I87" s="587"/>
      <c r="P87" s="98" t="s">
        <v>97</v>
      </c>
      <c r="V87" s="96"/>
      <c r="W87" s="96"/>
      <c r="X87" s="96"/>
      <c r="Y87" s="96"/>
      <c r="Z87" s="96"/>
      <c r="AC87" s="664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539" t="s">
        <v>90</v>
      </c>
      <c r="G88" s="539"/>
      <c r="H88" s="589"/>
      <c r="I88" s="589"/>
      <c r="J88" s="671">
        <f>IF(G87=AD87,"---",O116)</f>
        <v>72.917045988327757</v>
      </c>
      <c r="K88" s="671"/>
      <c r="L88" s="671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664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516" t="s">
        <v>55</v>
      </c>
      <c r="I89" s="516"/>
      <c r="J89" s="516"/>
      <c r="K89" s="516"/>
      <c r="L89" s="516"/>
      <c r="M89" s="516"/>
      <c r="N89" s="516"/>
      <c r="O89" s="389">
        <f>J21</f>
        <v>72.72</v>
      </c>
      <c r="P89" s="389"/>
      <c r="Q89" s="389"/>
      <c r="R89" s="389"/>
      <c r="S89" s="98" t="s">
        <v>71</v>
      </c>
      <c r="U89" s="402" t="str" cm="1">
        <f t="array" ref="U89">angleDecimal2Txt(O89)</f>
        <v>+72°43.20 (+72.7199) [+72°43'12.00]</v>
      </c>
      <c r="V89" s="402"/>
      <c r="W89" s="402"/>
      <c r="X89" s="402"/>
      <c r="Y89" s="402"/>
      <c r="Z89" s="402"/>
    </row>
    <row r="90" spans="1:66" ht="17.25" customHeight="1" thickTop="1" thickBot="1">
      <c r="C90" s="98"/>
      <c r="D90" s="98"/>
      <c r="E90" s="98"/>
      <c r="F90" s="98"/>
      <c r="G90" s="98"/>
      <c r="H90" s="516" t="s">
        <v>26</v>
      </c>
      <c r="I90" s="516"/>
      <c r="J90" s="516"/>
      <c r="K90" s="516"/>
      <c r="L90" s="516"/>
      <c r="M90" s="516"/>
      <c r="N90" s="516"/>
      <c r="O90" s="389">
        <f>J20</f>
        <v>-2.5000000000000001E-2</v>
      </c>
      <c r="P90" s="389"/>
      <c r="Q90" s="389"/>
      <c r="R90" s="389"/>
      <c r="S90" s="98" t="s">
        <v>71</v>
      </c>
      <c r="U90" s="402" t="str" cm="1">
        <f t="array" ref="U90">angleDecimal2Txt(O90)</f>
        <v>-00°01.50 (-00.0250) [-00°01'30.00]</v>
      </c>
      <c r="V90" s="402"/>
      <c r="W90" s="402"/>
      <c r="X90" s="402"/>
      <c r="Y90" s="402"/>
      <c r="Z90" s="402"/>
      <c r="AC90" s="6" t="s">
        <v>87</v>
      </c>
      <c r="AD90" s="8">
        <f>O90</f>
        <v>-2.5000000000000001E-2</v>
      </c>
    </row>
    <row r="91" spans="1:66" ht="17.25" customHeight="1" thickTop="1" thickBot="1">
      <c r="G91" s="98"/>
      <c r="H91" s="545" t="s">
        <v>96</v>
      </c>
      <c r="I91" s="545"/>
      <c r="J91" s="545"/>
      <c r="K91" s="545"/>
      <c r="L91" s="545"/>
      <c r="M91" s="545"/>
      <c r="N91" s="545"/>
      <c r="O91" s="398">
        <f>AD92</f>
        <v>9.0308665143495503E-2</v>
      </c>
      <c r="P91" s="398"/>
      <c r="Q91" s="398"/>
      <c r="R91" s="398"/>
      <c r="S91" s="98" t="s">
        <v>71</v>
      </c>
      <c r="U91" s="402" t="str" cm="1">
        <f t="array" ref="U91">angleDecimal2Txt(O91)</f>
        <v>+00°05.41 (+00.0903) [+00°05'25.11]</v>
      </c>
      <c r="V91" s="402"/>
      <c r="W91" s="402"/>
      <c r="X91" s="402"/>
      <c r="Y91" s="402"/>
      <c r="Z91" s="402"/>
      <c r="AC91" s="6" t="s">
        <v>54</v>
      </c>
      <c r="AD91" s="6">
        <f>J19</f>
        <v>9.5</v>
      </c>
    </row>
    <row r="92" spans="1:66" ht="17.25" customHeight="1" thickTop="1" thickBot="1">
      <c r="K92" s="96"/>
      <c r="L92" s="96"/>
      <c r="M92" s="643" t="s">
        <v>178</v>
      </c>
      <c r="N92" s="643"/>
      <c r="O92" s="643"/>
      <c r="P92" s="643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9.0308665143495503E-2</v>
      </c>
    </row>
    <row r="93" spans="1:66" ht="17.25" customHeight="1" thickTop="1" thickBot="1">
      <c r="G93" s="98"/>
      <c r="H93" s="446" t="s">
        <v>56</v>
      </c>
      <c r="I93" s="446"/>
      <c r="J93" s="446"/>
      <c r="K93" s="446"/>
      <c r="L93" s="446"/>
      <c r="M93" s="446"/>
      <c r="N93" s="446"/>
      <c r="O93" s="557">
        <f>O89-O90-O91</f>
        <v>72.654691334856508</v>
      </c>
      <c r="P93" s="538"/>
      <c r="Q93" s="98" t="s">
        <v>71</v>
      </c>
      <c r="R93" s="563">
        <f>O93*Outils!F10</f>
        <v>1.2680635808134402</v>
      </c>
      <c r="S93" s="563"/>
      <c r="T93" s="119" t="s">
        <v>92</v>
      </c>
      <c r="U93" s="402" t="str" cm="1">
        <f t="array" ref="U93">angleDecimal2Txt(O93)</f>
        <v>+72°39.28 (+72.6546) [+72°39'16.88]</v>
      </c>
      <c r="V93" s="402"/>
      <c r="W93" s="402"/>
      <c r="X93" s="402"/>
      <c r="Y93" s="402"/>
      <c r="Z93" s="402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59" t="s">
        <v>89</v>
      </c>
      <c r="N95" s="559"/>
      <c r="O95" s="559"/>
      <c r="P95" s="559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60" t="s">
        <v>243</v>
      </c>
      <c r="N96" s="560"/>
      <c r="O96" s="559"/>
      <c r="P96" s="559"/>
    </row>
    <row r="97" spans="1:31" ht="17.25" customHeight="1" thickTop="1" thickBot="1">
      <c r="A97" s="96"/>
      <c r="B97" s="96"/>
      <c r="C97" s="96"/>
      <c r="D97" s="96"/>
      <c r="E97" s="96"/>
      <c r="F97" s="98"/>
      <c r="G97" s="98"/>
      <c r="H97" s="398" t="s">
        <v>60</v>
      </c>
      <c r="I97" s="398"/>
      <c r="J97" s="398"/>
      <c r="K97" s="398"/>
      <c r="L97" s="398"/>
      <c r="M97" s="398"/>
      <c r="N97" s="398"/>
      <c r="O97" s="561">
        <f>J24</f>
        <v>2.8833333333333332E-3</v>
      </c>
      <c r="P97" s="562"/>
      <c r="Q97" s="562"/>
      <c r="R97" s="562"/>
      <c r="S97" s="98" t="s">
        <v>71</v>
      </c>
      <c r="U97" s="402" t="str" cm="1">
        <f t="array" ref="U97">angleDecimal2Txt(O97)</f>
        <v>+00°00.17 (+00.0028) [+00°00'10.37]</v>
      </c>
      <c r="V97" s="402"/>
      <c r="W97" s="402"/>
      <c r="X97" s="402"/>
      <c r="Y97" s="402"/>
      <c r="Z97" s="402"/>
      <c r="AC97" s="6" t="s">
        <v>350</v>
      </c>
      <c r="AD97" s="6">
        <f>O97*COS(R93)</f>
        <v>8.59607566663632E-4</v>
      </c>
    </row>
    <row r="98" spans="1:31" ht="17.25" customHeight="1" thickTop="1" thickBot="1">
      <c r="A98" s="96"/>
      <c r="B98" s="96"/>
      <c r="C98" s="96"/>
      <c r="D98" s="96"/>
      <c r="E98" s="96"/>
      <c r="F98" s="98"/>
      <c r="G98" s="98"/>
      <c r="H98" s="526" t="s">
        <v>244</v>
      </c>
      <c r="I98" s="527"/>
      <c r="J98" s="527"/>
      <c r="K98" s="527"/>
      <c r="L98" s="527"/>
      <c r="M98" s="527"/>
      <c r="N98" s="528"/>
      <c r="O98" s="390">
        <f>AD97</f>
        <v>8.59607566663632E-4</v>
      </c>
      <c r="P98" s="390"/>
      <c r="Q98" s="390"/>
      <c r="R98" s="390"/>
      <c r="S98" s="98" t="s">
        <v>71</v>
      </c>
      <c r="U98" s="402" t="str" cm="1">
        <f t="array" ref="U98">angleDecimal2Txt(O98)</f>
        <v>+00°00.05 (+00.0008) [+00°00'03.09]</v>
      </c>
      <c r="V98" s="402"/>
      <c r="W98" s="402"/>
      <c r="X98" s="402"/>
      <c r="Y98" s="402"/>
      <c r="Z98" s="402"/>
    </row>
    <row r="99" spans="1:3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1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12" t="s">
        <v>195</v>
      </c>
      <c r="T100" s="513"/>
      <c r="U100" s="514"/>
      <c r="Y100" s="96"/>
      <c r="Z100" s="96"/>
      <c r="AC100" s="6" t="s">
        <v>57</v>
      </c>
      <c r="AD100" s="6" t="s">
        <v>352</v>
      </c>
    </row>
    <row r="101" spans="1:31" ht="17.25" customHeight="1">
      <c r="A101" s="96"/>
      <c r="B101" s="96"/>
      <c r="C101" s="96"/>
      <c r="D101" s="96"/>
      <c r="F101" s="98"/>
      <c r="G101" s="98"/>
      <c r="H101" s="398" t="s">
        <v>93</v>
      </c>
      <c r="I101" s="398"/>
      <c r="J101" s="398"/>
      <c r="K101" s="398"/>
      <c r="L101" s="398"/>
      <c r="M101" s="398"/>
      <c r="N101" s="398"/>
      <c r="O101" s="529">
        <f>S101</f>
        <v>10</v>
      </c>
      <c r="P101" s="530"/>
      <c r="Q101" s="530"/>
      <c r="R101" s="530"/>
      <c r="S101" s="640">
        <v>10</v>
      </c>
      <c r="T101" s="641"/>
      <c r="U101" s="642"/>
      <c r="Y101" s="96"/>
      <c r="Z101" s="96"/>
      <c r="AC101" s="6" t="s">
        <v>353</v>
      </c>
      <c r="AD101" s="6">
        <f>1/TAN((O93 + 7.31 / (O93 + 4.4)) * Outils!F10)</f>
        <v>0.31051669215074595</v>
      </c>
    </row>
    <row r="102" spans="1:31" ht="17.25" customHeight="1" thickBot="1">
      <c r="A102" s="96"/>
      <c r="B102" s="96"/>
      <c r="C102" s="96"/>
      <c r="D102" s="96"/>
      <c r="E102" s="96"/>
      <c r="F102" s="98"/>
      <c r="G102" s="98"/>
      <c r="H102" s="398" t="s">
        <v>94</v>
      </c>
      <c r="I102" s="398"/>
      <c r="J102" s="398"/>
      <c r="K102" s="398"/>
      <c r="L102" s="398"/>
      <c r="M102" s="398"/>
      <c r="N102" s="398"/>
      <c r="O102" s="529">
        <f>S102</f>
        <v>1010</v>
      </c>
      <c r="P102" s="530"/>
      <c r="Q102" s="530"/>
      <c r="R102" s="530"/>
      <c r="S102" s="640">
        <v>1010</v>
      </c>
      <c r="T102" s="641"/>
      <c r="U102" s="642"/>
      <c r="Y102" s="96"/>
      <c r="Z102" s="96"/>
      <c r="AC102" s="6" t="s">
        <v>354</v>
      </c>
      <c r="AD102" s="6">
        <f>AD101/60</f>
        <v>5.1752782025124323E-3</v>
      </c>
    </row>
    <row r="103" spans="1:31" ht="17.25" customHeight="1" thickTop="1" thickBot="1">
      <c r="A103" s="96"/>
      <c r="B103" s="96"/>
      <c r="C103" s="96"/>
      <c r="D103" s="96"/>
      <c r="E103" s="96"/>
      <c r="F103" s="98"/>
      <c r="G103" s="98"/>
      <c r="H103" s="526" t="s">
        <v>245</v>
      </c>
      <c r="I103" s="527"/>
      <c r="J103" s="527"/>
      <c r="K103" s="527"/>
      <c r="L103" s="527"/>
      <c r="M103" s="527"/>
      <c r="N103" s="528"/>
      <c r="O103" s="390">
        <f>AD104</f>
        <v>5.1716207620866291E-3</v>
      </c>
      <c r="P103" s="390"/>
      <c r="Q103" s="390"/>
      <c r="R103" s="390"/>
      <c r="S103" s="98" t="s">
        <v>71</v>
      </c>
      <c r="U103" s="402" t="str" cm="1">
        <f t="array" ref="U103">angleDecimal2Txt(O103)</f>
        <v>+00°00.31 (+00.0051) [+00°00'18.61]</v>
      </c>
      <c r="V103" s="402"/>
      <c r="W103" s="402"/>
      <c r="X103" s="402"/>
      <c r="Y103" s="402"/>
      <c r="Z103" s="402"/>
      <c r="AC103" s="6" t="s">
        <v>128</v>
      </c>
      <c r="AD103" s="6">
        <f xml:space="preserve"> 0.28 * O102 / (273 + O101)</f>
        <v>0.99929328621908131</v>
      </c>
    </row>
    <row r="104" spans="1:3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351</v>
      </c>
      <c r="AD104" s="6">
        <f>AD103*AD102</f>
        <v>5.1716207620866291E-3</v>
      </c>
    </row>
    <row r="105" spans="1:31" ht="17.25" customHeight="1">
      <c r="A105" s="96"/>
      <c r="B105" s="96"/>
      <c r="C105" s="96"/>
      <c r="D105" s="96"/>
      <c r="E105" s="96"/>
      <c r="F105" s="98"/>
      <c r="G105" s="98"/>
      <c r="H105" s="398" t="s">
        <v>134</v>
      </c>
      <c r="I105" s="398"/>
      <c r="J105" s="398"/>
      <c r="K105" s="398"/>
      <c r="L105" s="398"/>
      <c r="M105" s="398"/>
      <c r="N105" s="398"/>
      <c r="O105" s="515">
        <f>J28</f>
        <v>0.53333333333333333</v>
      </c>
      <c r="P105" s="515"/>
      <c r="Q105" s="515"/>
      <c r="R105" s="515"/>
    </row>
    <row r="106" spans="1:31" ht="17.25" customHeight="1" thickBot="1">
      <c r="B106" s="96"/>
      <c r="C106" s="96"/>
      <c r="D106" s="96"/>
      <c r="H106" s="398" t="s">
        <v>98</v>
      </c>
      <c r="I106" s="398"/>
      <c r="J106" s="398"/>
      <c r="K106" s="398"/>
      <c r="L106" s="398"/>
      <c r="M106" s="398"/>
      <c r="N106" s="398"/>
      <c r="O106" s="515" t="str">
        <f>J23</f>
        <v>BordInf</v>
      </c>
      <c r="P106" s="515"/>
      <c r="Q106" s="515"/>
      <c r="R106" s="515"/>
      <c r="AC106" s="6" t="s">
        <v>37</v>
      </c>
      <c r="AD106" s="378" t="str">
        <f>J22</f>
        <v>Soleil</v>
      </c>
      <c r="AE106" s="378"/>
    </row>
    <row r="107" spans="1:31" ht="17.25" customHeight="1" thickTop="1" thickBot="1">
      <c r="H107" s="531" t="s">
        <v>99</v>
      </c>
      <c r="I107" s="532"/>
      <c r="J107" s="532"/>
      <c r="K107" s="532"/>
      <c r="L107" s="532"/>
      <c r="M107" s="532"/>
      <c r="N107" s="533"/>
      <c r="O107" s="534">
        <f>AD110</f>
        <v>0.26666666666666666</v>
      </c>
      <c r="P107" s="534"/>
      <c r="Q107" s="534"/>
      <c r="R107" s="534"/>
      <c r="S107" s="98" t="s">
        <v>71</v>
      </c>
      <c r="U107" s="402" t="str" cm="1">
        <f t="array" ref="U107">angleDecimal2Txt(O107)</f>
        <v>+00°16.00 (+00.2666) [+00°16'00.00]</v>
      </c>
      <c r="V107" s="402"/>
      <c r="W107" s="402"/>
      <c r="X107" s="402"/>
      <c r="Y107" s="402"/>
      <c r="Z107" s="402"/>
      <c r="AC107" s="6" t="s">
        <v>358</v>
      </c>
      <c r="AD107" s="378" t="str">
        <f>O106</f>
        <v>BordInf</v>
      </c>
      <c r="AE107" s="378"/>
    </row>
    <row r="108" spans="1:31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359</v>
      </c>
      <c r="AD108" s="636">
        <f>HLOOKUP(AD107,AD27:AF28,2)</f>
        <v>0.5</v>
      </c>
      <c r="AE108" s="636"/>
    </row>
    <row r="109" spans="1:31" ht="17.25" customHeight="1">
      <c r="G109" s="542" t="s">
        <v>170</v>
      </c>
      <c r="H109" s="543"/>
      <c r="I109" s="543"/>
      <c r="J109" s="543"/>
      <c r="K109" s="543"/>
      <c r="L109" s="543"/>
      <c r="M109" s="543"/>
      <c r="N109" s="543"/>
      <c r="O109" s="543"/>
      <c r="P109" s="543"/>
      <c r="Q109" s="543"/>
      <c r="R109" s="543"/>
      <c r="S109" s="544"/>
      <c r="T109" s="96"/>
      <c r="U109" s="96"/>
      <c r="V109" s="96"/>
      <c r="W109" s="96"/>
      <c r="X109" s="96"/>
      <c r="Y109" s="96"/>
      <c r="Z109" s="96"/>
      <c r="AC109" s="6" t="s">
        <v>134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>
      <c r="G110" s="546" t="s">
        <v>183</v>
      </c>
      <c r="H110" s="548"/>
      <c r="I110" s="564" t="s">
        <v>175</v>
      </c>
      <c r="J110" s="565"/>
      <c r="K110" s="565"/>
      <c r="L110" s="565"/>
      <c r="M110" s="565"/>
      <c r="N110" s="566"/>
      <c r="O110" s="517">
        <f>(O98-O103-O91+O105/2) * 60</f>
        <v>10.322759299664888</v>
      </c>
      <c r="P110" s="518"/>
      <c r="Q110" s="518"/>
      <c r="R110" s="518"/>
      <c r="S110" s="521" t="s">
        <v>171</v>
      </c>
      <c r="T110" s="96"/>
      <c r="U110" s="96"/>
      <c r="V110" s="96"/>
      <c r="W110" s="96"/>
      <c r="X110" s="96"/>
      <c r="Y110" s="96"/>
      <c r="Z110" s="96"/>
      <c r="AC110" s="6" t="s">
        <v>359</v>
      </c>
      <c r="AD110" s="636">
        <f>AE109*AD108</f>
        <v>0.26666666666666666</v>
      </c>
      <c r="AE110" s="636"/>
    </row>
    <row r="111" spans="1:31" ht="17.25" customHeight="1">
      <c r="G111" s="644"/>
      <c r="H111" s="645"/>
      <c r="I111" s="567" t="s">
        <v>179</v>
      </c>
      <c r="J111" s="568"/>
      <c r="K111" s="568"/>
      <c r="L111" s="568"/>
      <c r="M111" s="568"/>
      <c r="N111" s="569"/>
      <c r="O111" s="519"/>
      <c r="P111" s="520"/>
      <c r="Q111" s="520"/>
      <c r="R111" s="520"/>
      <c r="S111" s="522"/>
      <c r="T111" s="96"/>
      <c r="U111" s="96"/>
      <c r="V111" s="96"/>
      <c r="W111" s="96"/>
      <c r="X111" s="96"/>
      <c r="Y111" s="96"/>
      <c r="Z111" s="96"/>
    </row>
    <row r="112" spans="1:31" ht="17.25" customHeight="1">
      <c r="H112" s="96"/>
      <c r="I112" s="564" t="s">
        <v>176</v>
      </c>
      <c r="J112" s="565"/>
      <c r="K112" s="565"/>
      <c r="L112" s="565"/>
      <c r="M112" s="565"/>
      <c r="N112" s="566"/>
      <c r="O112" s="518">
        <f>(O98-O103+O105/2)*60</f>
        <v>15.741279208274619</v>
      </c>
      <c r="P112" s="518"/>
      <c r="Q112" s="518"/>
      <c r="R112" s="518"/>
      <c r="S112" s="521" t="s">
        <v>171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23" t="s">
        <v>177</v>
      </c>
      <c r="J113" s="524"/>
      <c r="K113" s="524"/>
      <c r="L113" s="524"/>
      <c r="M113" s="524"/>
      <c r="N113" s="525"/>
      <c r="O113" s="520"/>
      <c r="P113" s="520"/>
      <c r="Q113" s="520"/>
      <c r="R113" s="520"/>
      <c r="S113" s="522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489" t="s">
        <v>99</v>
      </c>
      <c r="J114" s="489"/>
      <c r="K114" s="489"/>
      <c r="L114" s="489"/>
      <c r="M114" s="489"/>
      <c r="N114" s="489"/>
      <c r="O114" s="490">
        <f>O107*60</f>
        <v>16</v>
      </c>
      <c r="P114" s="491"/>
      <c r="Q114" s="491"/>
      <c r="R114" s="491"/>
      <c r="S114" s="159" t="s">
        <v>171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535" t="s">
        <v>246</v>
      </c>
      <c r="I116" s="536"/>
      <c r="J116" s="536"/>
      <c r="K116" s="536"/>
      <c r="L116" s="536"/>
      <c r="M116" s="536"/>
      <c r="N116" s="537"/>
      <c r="O116" s="538">
        <f>O93-O103+O98+O107</f>
        <v>72.917045988327757</v>
      </c>
      <c r="P116" s="390"/>
      <c r="Q116" s="390"/>
      <c r="R116" s="390"/>
      <c r="S116" s="98" t="s">
        <v>71</v>
      </c>
      <c r="U116" s="402" t="str" cm="1">
        <f t="array" ref="U116">angleDecimal2Txt(O116)</f>
        <v>+72°55.02 (+72.9170) [+72°55'01.36]</v>
      </c>
      <c r="V116" s="402"/>
      <c r="W116" s="402"/>
      <c r="X116" s="402"/>
      <c r="Y116" s="402"/>
      <c r="Z116" s="402"/>
    </row>
    <row r="117" spans="2:28" ht="17.25" customHeight="1" thickTop="1"/>
    <row r="118" spans="2:28" ht="17.25" customHeight="1">
      <c r="F118" s="539" t="s">
        <v>91</v>
      </c>
      <c r="G118" s="539"/>
      <c r="H118" s="539"/>
      <c r="I118" s="539"/>
      <c r="J118" s="390" t="str">
        <f>IF(G87=AD87,O126,"---")</f>
        <v>---</v>
      </c>
      <c r="K118" s="390"/>
      <c r="L118" s="390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510" t="s">
        <v>40</v>
      </c>
      <c r="V120" s="510"/>
    </row>
    <row r="121" spans="2:28" ht="17.25" customHeight="1">
      <c r="T121" s="237" t="s">
        <v>108</v>
      </c>
      <c r="U121" s="510" t="s">
        <v>110</v>
      </c>
      <c r="V121" s="510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408" t="s">
        <v>105</v>
      </c>
      <c r="L122" s="98" t="s">
        <v>87</v>
      </c>
      <c r="N122" s="408" t="s">
        <v>107</v>
      </c>
      <c r="O122" s="122" t="s">
        <v>467</v>
      </c>
      <c r="Q122" s="408" t="s">
        <v>107</v>
      </c>
      <c r="R122" s="98" t="s">
        <v>468</v>
      </c>
      <c r="T122" s="235" t="s">
        <v>109</v>
      </c>
      <c r="U122" s="511" t="s">
        <v>111</v>
      </c>
      <c r="V122" s="511"/>
      <c r="Z122"/>
      <c r="AA122"/>
    </row>
    <row r="123" spans="2:28" ht="17.25" customHeight="1" thickBot="1">
      <c r="I123" s="122"/>
      <c r="J123" s="124">
        <f>O89</f>
        <v>72.72</v>
      </c>
      <c r="K123" s="408"/>
      <c r="L123" s="492">
        <f>O90</f>
        <v>-2.5000000000000001E-2</v>
      </c>
      <c r="M123" s="493"/>
      <c r="N123" s="408"/>
      <c r="O123" s="496" t="s">
        <v>250</v>
      </c>
      <c r="P123" s="497"/>
      <c r="Q123" s="408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466</v>
      </c>
      <c r="L124" s="494" cm="1">
        <f t="array" ref="L124">angleConvert2Decimal(L123)</f>
        <v>-2.5000000000000001E-2</v>
      </c>
      <c r="M124" s="495"/>
      <c r="O124" s="634" cm="1">
        <f t="array" ref="O124">angleConvert2Decimal(O123)</f>
        <v>0.17166666666666669</v>
      </c>
      <c r="P124" s="635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412" t="str" cm="1">
        <f t="array" ref="W124">angleDecimal2Txt(V124)</f>
        <v>-00°21.69 (-00.3616) [-00°21'42.00]</v>
      </c>
      <c r="X124" s="413"/>
      <c r="Y124" s="413"/>
      <c r="Z124" s="413"/>
      <c r="AA124" s="414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535" t="s">
        <v>249</v>
      </c>
      <c r="I126" s="536"/>
      <c r="J126" s="536"/>
      <c r="K126" s="536"/>
      <c r="L126" s="536"/>
      <c r="M126" s="536"/>
      <c r="N126" s="537"/>
      <c r="O126" s="538">
        <f>J123-L124+O124+R124</f>
        <v>72.38333333333334</v>
      </c>
      <c r="P126" s="390"/>
      <c r="Q126" s="390"/>
      <c r="R126" s="390"/>
      <c r="S126" s="98" t="s">
        <v>71</v>
      </c>
      <c r="U126" s="402" t="str" cm="1">
        <f t="array" ref="U126">angleDecimal2Txt(O126)</f>
        <v>+72°23.00 (+72.3833) [+72°23'00.00]</v>
      </c>
      <c r="V126" s="402"/>
      <c r="W126" s="402"/>
      <c r="X126" s="402"/>
      <c r="Y126" s="402"/>
      <c r="Z126" s="402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507" t="s">
        <v>113</v>
      </c>
      <c r="P129" s="507"/>
      <c r="Q129" s="507"/>
      <c r="R129" s="507"/>
      <c r="S129" s="507"/>
      <c r="T129" s="507"/>
      <c r="U129" s="507"/>
      <c r="V129" s="507"/>
      <c r="W129" s="507"/>
      <c r="X129" s="507"/>
      <c r="Y129" s="507"/>
      <c r="Z129" s="507"/>
      <c r="AA129" s="507"/>
    </row>
    <row r="130" spans="1:31" ht="17.25" customHeight="1">
      <c r="C130" s="96"/>
      <c r="D130" s="96"/>
      <c r="E130" s="498" t="s">
        <v>24</v>
      </c>
      <c r="F130" s="499"/>
      <c r="G130" s="499"/>
      <c r="H130" s="499"/>
      <c r="I130" s="401">
        <f>AD132</f>
        <v>72.802505808118198</v>
      </c>
      <c r="J130" s="401"/>
      <c r="K130" s="401"/>
      <c r="L130" s="401"/>
      <c r="M130" s="401"/>
      <c r="O130" s="389" t="s">
        <v>114</v>
      </c>
      <c r="P130" s="389"/>
      <c r="Q130" s="389">
        <f>F45</f>
        <v>23.13508240740741</v>
      </c>
      <c r="R130" s="389"/>
      <c r="S130" s="389"/>
      <c r="T130" s="484" t="s">
        <v>71</v>
      </c>
      <c r="U130" s="403">
        <f>Q130*Outils!$F$10</f>
        <v>0.40378336072947546</v>
      </c>
      <c r="V130" s="404"/>
      <c r="W130" s="482"/>
      <c r="X130" s="484" t="s">
        <v>92</v>
      </c>
      <c r="AC130" s="6" t="s">
        <v>360</v>
      </c>
      <c r="AD130" s="6">
        <f>SIN(U130)*SIN(U131)+COS(U130)*COS(U131)*COS(U132)</f>
        <v>0.95529129388265399</v>
      </c>
      <c r="AE130" s="6"/>
    </row>
    <row r="131" spans="1:31" ht="17.25" customHeight="1" thickBot="1">
      <c r="C131" s="96"/>
      <c r="D131" s="96"/>
      <c r="E131" s="501"/>
      <c r="F131" s="502"/>
      <c r="G131" s="502"/>
      <c r="H131" s="502"/>
      <c r="I131" s="401"/>
      <c r="J131" s="401"/>
      <c r="K131" s="401"/>
      <c r="L131" s="401"/>
      <c r="M131" s="401"/>
      <c r="N131" s="130" t="s">
        <v>184</v>
      </c>
      <c r="O131" s="389" t="s">
        <v>115</v>
      </c>
      <c r="P131" s="389"/>
      <c r="Q131" s="389">
        <f>F36</f>
        <v>39.85</v>
      </c>
      <c r="R131" s="389"/>
      <c r="S131" s="389"/>
      <c r="T131" s="484"/>
      <c r="U131" s="403">
        <f>Q131*Outils!$F$10</f>
        <v>0.69551370691974035</v>
      </c>
      <c r="V131" s="404"/>
      <c r="W131" s="482"/>
      <c r="X131" s="484"/>
      <c r="AC131" s="6" t="s">
        <v>361</v>
      </c>
      <c r="AD131" s="6">
        <f>ASIN(AD130)</f>
        <v>1.2706434300539577</v>
      </c>
      <c r="AE131" s="6" t="s">
        <v>92</v>
      </c>
    </row>
    <row r="132" spans="1:31" ht="17.25" customHeight="1" thickTop="1" thickBot="1">
      <c r="C132" s="96"/>
      <c r="D132" s="96"/>
      <c r="E132" s="504"/>
      <c r="F132" s="505"/>
      <c r="G132" s="505"/>
      <c r="H132" s="505"/>
      <c r="I132" s="402" t="str" cm="1">
        <f t="array" ref="I132">angleDecimal2Txt(I130)</f>
        <v>+72°48.15 (+72.8025) [+72°48'09.02]</v>
      </c>
      <c r="J132" s="402"/>
      <c r="K132" s="402"/>
      <c r="L132" s="402"/>
      <c r="M132" s="402"/>
      <c r="O132" s="389" t="s">
        <v>51</v>
      </c>
      <c r="P132" s="389"/>
      <c r="Q132" s="389">
        <f>F82</f>
        <v>4.7809157407407383</v>
      </c>
      <c r="R132" s="389"/>
      <c r="S132" s="389"/>
      <c r="T132" s="484"/>
      <c r="U132" s="403">
        <f>Q132*Outils!$F$10</f>
        <v>8.3442720936349482E-2</v>
      </c>
      <c r="V132" s="404"/>
      <c r="W132" s="482"/>
      <c r="X132" s="484"/>
      <c r="AC132" s="6"/>
      <c r="AD132" s="6">
        <f>AD131*Outils!F11</f>
        <v>72.802505808118198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498" t="s">
        <v>31</v>
      </c>
      <c r="F134" s="499"/>
      <c r="G134" s="499"/>
      <c r="H134" s="499"/>
      <c r="I134" s="401">
        <f>F86</f>
        <v>72.917045988327757</v>
      </c>
      <c r="J134" s="401"/>
      <c r="K134" s="401"/>
      <c r="L134" s="401"/>
      <c r="M134" s="401"/>
    </row>
    <row r="135" spans="1:31" ht="17.25" customHeight="1" thickBot="1">
      <c r="C135" s="96"/>
      <c r="D135" s="96"/>
      <c r="E135" s="501"/>
      <c r="F135" s="502"/>
      <c r="G135" s="502"/>
      <c r="H135" s="502"/>
      <c r="I135" s="401"/>
      <c r="J135" s="401"/>
      <c r="K135" s="401"/>
      <c r="L135" s="401"/>
      <c r="M135" s="401"/>
      <c r="O135" s="376" t="s">
        <v>33</v>
      </c>
      <c r="P135" s="377"/>
      <c r="Q135" s="377"/>
      <c r="R135" s="377"/>
      <c r="S135" s="483"/>
      <c r="T135" s="131">
        <f>I134-I130</f>
        <v>0.11454018020955914</v>
      </c>
      <c r="U135" s="132" t="s">
        <v>34</v>
      </c>
      <c r="V135" s="133">
        <f>T135*60</f>
        <v>6.8724108125735484</v>
      </c>
      <c r="W135" s="132" t="s">
        <v>149</v>
      </c>
      <c r="X135" s="96"/>
      <c r="Y135" s="485" t="str">
        <f>IF(T135&gt;0,"Vers Pg", "Oppose de Pg")</f>
        <v>Vers Pg</v>
      </c>
      <c r="Z135" s="485"/>
    </row>
    <row r="136" spans="1:31" ht="17.25" customHeight="1" thickTop="1" thickBot="1">
      <c r="C136" s="96"/>
      <c r="D136" s="96"/>
      <c r="E136" s="504"/>
      <c r="F136" s="505"/>
      <c r="G136" s="505"/>
      <c r="H136" s="505"/>
      <c r="I136" s="402" t="str" cm="1">
        <f t="array" ref="I136">angleDecimal2Txt(I134)</f>
        <v>+72°55.02 (+72.9170) [+72°55'01.36]</v>
      </c>
      <c r="J136" s="402"/>
      <c r="K136" s="402"/>
      <c r="L136" s="402"/>
      <c r="M136" s="402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508" t="s">
        <v>116</v>
      </c>
      <c r="P141" s="509"/>
      <c r="Q141" s="509"/>
      <c r="R141" s="509"/>
      <c r="S141" s="509"/>
      <c r="T141" s="509"/>
      <c r="U141" s="509"/>
      <c r="V141" s="509"/>
      <c r="W141" s="509"/>
      <c r="X141" s="509"/>
      <c r="Y141" s="509"/>
      <c r="Z141" s="509"/>
      <c r="AA141" s="509"/>
      <c r="AC141" s="6" t="s">
        <v>117</v>
      </c>
      <c r="AD141" s="6">
        <f>(SIN(U142)-SIN(U143)*SIN(AD131))/(COS(U143)*COS(AD131))</f>
        <v>-0.96581764337100062</v>
      </c>
      <c r="AE141" s="6"/>
    </row>
    <row r="142" spans="1:31" ht="17.25" customHeight="1">
      <c r="A142" s="96"/>
      <c r="B142" s="96"/>
      <c r="C142" s="96"/>
      <c r="D142" s="96"/>
      <c r="E142" s="498" t="s">
        <v>124</v>
      </c>
      <c r="F142" s="499"/>
      <c r="G142" s="499"/>
      <c r="H142" s="500"/>
      <c r="I142" s="394">
        <f>AD143</f>
        <v>164.976069776023</v>
      </c>
      <c r="J142" s="394"/>
      <c r="K142" s="394"/>
      <c r="L142" s="394"/>
      <c r="M142" s="395"/>
      <c r="O142" s="389" t="s">
        <v>114</v>
      </c>
      <c r="P142" s="389"/>
      <c r="Q142" s="389">
        <f>F45</f>
        <v>23.13508240740741</v>
      </c>
      <c r="R142" s="389"/>
      <c r="S142" s="389"/>
      <c r="T142" s="484" t="s">
        <v>71</v>
      </c>
      <c r="U142" s="389">
        <f>Q142*Outils!$F$10</f>
        <v>0.40378336072947546</v>
      </c>
      <c r="V142" s="389"/>
      <c r="W142" s="389"/>
      <c r="X142" s="484" t="s">
        <v>92</v>
      </c>
      <c r="AC142" s="6" t="s">
        <v>362</v>
      </c>
      <c r="AD142" s="6">
        <f>ACOS(AD141)</f>
        <v>2.8793756045915053</v>
      </c>
      <c r="AE142" s="6" t="s">
        <v>92</v>
      </c>
    </row>
    <row r="143" spans="1:31" ht="17.25" customHeight="1" thickBot="1">
      <c r="C143" s="96"/>
      <c r="D143" s="96"/>
      <c r="E143" s="501"/>
      <c r="F143" s="502"/>
      <c r="G143" s="502"/>
      <c r="H143" s="503"/>
      <c r="I143" s="396"/>
      <c r="J143" s="396"/>
      <c r="K143" s="396"/>
      <c r="L143" s="396"/>
      <c r="M143" s="397"/>
      <c r="N143" s="130" t="s">
        <v>184</v>
      </c>
      <c r="O143" s="389" t="s">
        <v>115</v>
      </c>
      <c r="P143" s="389"/>
      <c r="Q143" s="389">
        <f>F36</f>
        <v>39.85</v>
      </c>
      <c r="R143" s="389"/>
      <c r="S143" s="389"/>
      <c r="T143" s="484"/>
      <c r="U143" s="389">
        <f>Q143*Outils!$F$10</f>
        <v>0.69551370691974035</v>
      </c>
      <c r="V143" s="389"/>
      <c r="W143" s="389"/>
      <c r="X143" s="484"/>
      <c r="AC143" s="6"/>
      <c r="AD143" s="6">
        <f>AD142*Outils!$F$11</f>
        <v>164.976069776023</v>
      </c>
      <c r="AE143" s="6" t="s">
        <v>71</v>
      </c>
    </row>
    <row r="144" spans="1:31" ht="17.25" customHeight="1" thickTop="1" thickBot="1">
      <c r="C144" s="96"/>
      <c r="D144" s="96"/>
      <c r="E144" s="504"/>
      <c r="F144" s="505"/>
      <c r="G144" s="505"/>
      <c r="H144" s="506"/>
      <c r="I144" s="399" t="str" cm="1">
        <f t="array" ref="I144">angleDecimal2Txt(I142)</f>
        <v>+164°58.56 (+164.9760) [+164°58'33.85]</v>
      </c>
      <c r="J144" s="400"/>
      <c r="K144" s="400"/>
      <c r="L144" s="400"/>
      <c r="M144" s="400"/>
      <c r="O144" s="389" t="s">
        <v>51</v>
      </c>
      <c r="P144" s="389"/>
      <c r="Q144" s="389">
        <f>F82</f>
        <v>4.7809157407407383</v>
      </c>
      <c r="R144" s="389"/>
      <c r="S144" s="389"/>
      <c r="T144" s="484"/>
      <c r="U144" s="389">
        <f>Q144*Outils!$F$10</f>
        <v>8.3442720936349482E-2</v>
      </c>
      <c r="V144" s="389"/>
      <c r="W144" s="389"/>
      <c r="X144" s="484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391" t="s">
        <v>247</v>
      </c>
      <c r="J146" s="392"/>
      <c r="K146" s="392"/>
      <c r="L146" s="392"/>
      <c r="M146" s="392"/>
      <c r="N146" s="393"/>
      <c r="O146" s="391" t="s">
        <v>248</v>
      </c>
      <c r="P146" s="392"/>
      <c r="Q146" s="392"/>
      <c r="R146" s="392"/>
      <c r="S146" s="392"/>
      <c r="T146" s="393"/>
    </row>
    <row r="147" spans="2:30" ht="17.25" customHeight="1">
      <c r="F147" s="98"/>
      <c r="G147" s="98"/>
      <c r="I147" s="638"/>
      <c r="J147" s="486" t="s">
        <v>185</v>
      </c>
      <c r="K147" s="487"/>
      <c r="L147" s="488"/>
      <c r="M147" s="450" t="s">
        <v>186</v>
      </c>
      <c r="N147" s="451"/>
      <c r="O147" s="638"/>
      <c r="P147" s="486" t="s">
        <v>185</v>
      </c>
      <c r="Q147" s="487"/>
      <c r="R147" s="488"/>
      <c r="S147" s="450" t="s">
        <v>187</v>
      </c>
      <c r="T147" s="451"/>
    </row>
    <row r="148" spans="2:30" ht="17.25" customHeight="1">
      <c r="F148" s="98"/>
      <c r="G148" s="98"/>
      <c r="I148" s="639"/>
      <c r="J148" s="447" t="s">
        <v>118</v>
      </c>
      <c r="K148" s="448"/>
      <c r="L148" s="449"/>
      <c r="M148" s="452" t="s">
        <v>119</v>
      </c>
      <c r="N148" s="453"/>
      <c r="O148" s="639"/>
      <c r="P148" s="447" t="s">
        <v>118</v>
      </c>
      <c r="Q148" s="448"/>
      <c r="R148" s="449"/>
      <c r="S148" s="452" t="s">
        <v>120</v>
      </c>
      <c r="T148" s="453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454"/>
      <c r="U149" s="454"/>
      <c r="V149" s="454"/>
      <c r="W149" s="96"/>
      <c r="X149" s="454"/>
      <c r="Y149" s="454"/>
      <c r="Z149" s="454"/>
    </row>
    <row r="150" spans="2:30" ht="17.25" customHeight="1">
      <c r="F150" s="96"/>
      <c r="N150" s="481"/>
      <c r="O150" s="481"/>
      <c r="Q150" s="454"/>
      <c r="R150" s="454"/>
      <c r="S150" s="454"/>
      <c r="T150" s="454"/>
      <c r="U150" s="454"/>
      <c r="V150" s="454"/>
      <c r="W150" s="96"/>
      <c r="X150" s="454"/>
      <c r="Y150" s="454"/>
      <c r="Z150" s="454"/>
    </row>
    <row r="151" spans="2:30" ht="17.25" customHeight="1">
      <c r="I151" s="389" t="s">
        <v>115</v>
      </c>
      <c r="J151" s="389"/>
      <c r="K151" s="141">
        <f>F36</f>
        <v>39.85</v>
      </c>
      <c r="L151" s="390" t="str">
        <f>CONCATENATE("Sens: ",IF(Q143&gt;0,"Nord","Sud"))</f>
        <v>Sens: Nord</v>
      </c>
      <c r="M151" s="390"/>
    </row>
    <row r="152" spans="2:30" ht="17.25" customHeight="1" thickBot="1">
      <c r="I152" s="389" t="s">
        <v>51</v>
      </c>
      <c r="J152" s="389"/>
      <c r="K152" s="141">
        <f>Q144</f>
        <v>4.7809157407407383</v>
      </c>
      <c r="L152" s="390" t="str">
        <f>CONCATENATE("Is &gt; 180? ", IF(Q144&gt;180,"Y", "N"))</f>
        <v>Is &gt; 180? N</v>
      </c>
      <c r="M152" s="390"/>
      <c r="O152" s="376" t="s">
        <v>125</v>
      </c>
      <c r="P152" s="377"/>
      <c r="Q152" s="377"/>
      <c r="R152" s="377"/>
      <c r="S152" s="377"/>
      <c r="T152" s="406">
        <f>ABS(IF(Q131&gt;0,IF(Q132&gt;180,I142,360-I142),IF(Q132&gt;180,180-I142,180+I142)))</f>
        <v>195.023930223977</v>
      </c>
      <c r="U152" s="407"/>
      <c r="V152" s="132" t="s">
        <v>34</v>
      </c>
      <c r="W152" s="96"/>
    </row>
    <row r="153" spans="2:30" ht="17.25" customHeight="1" thickTop="1" thickBot="1">
      <c r="I153" s="403" t="s">
        <v>188</v>
      </c>
      <c r="J153" s="404"/>
      <c r="K153" s="405"/>
      <c r="L153" s="390" t="str">
        <f>IF(K151&gt;0,IF(K152&gt;180,M147,M148),IF(K152&gt;180,S147,S148))</f>
        <v>Zn = 360 - Z</v>
      </c>
      <c r="M153" s="390"/>
      <c r="T153" s="402" t="str" cm="1">
        <f t="array" ref="T153">angleDecimal2Txt(T152)</f>
        <v>+195°01.43 (+195.0239) [+195°01'26.14]</v>
      </c>
      <c r="U153" s="402"/>
      <c r="V153" s="402"/>
      <c r="W153" s="402"/>
      <c r="X153" s="402"/>
      <c r="Y153" s="402"/>
    </row>
    <row r="154" spans="2:30" ht="17.25" customHeight="1" thickTop="1"/>
    <row r="155" spans="2:30" ht="17.25" customHeight="1" thickBot="1"/>
    <row r="156" spans="2:30" ht="17.25" customHeight="1" thickBot="1">
      <c r="B156" s="107" t="s">
        <v>469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381" t="s">
        <v>470</v>
      </c>
      <c r="D158" s="381"/>
      <c r="E158" s="381"/>
      <c r="F158" s="381"/>
      <c r="G158" s="239"/>
      <c r="H158" s="381" t="s">
        <v>471</v>
      </c>
      <c r="I158" s="381"/>
      <c r="J158" s="381"/>
      <c r="L158" s="382" t="s">
        <v>448</v>
      </c>
      <c r="M158" s="382"/>
      <c r="N158" s="382"/>
      <c r="Q158" s="380" t="s">
        <v>472</v>
      </c>
      <c r="R158" s="380"/>
      <c r="S158" s="380"/>
      <c r="T158" s="380"/>
      <c r="U158" s="189"/>
      <c r="AC158" t="s">
        <v>411</v>
      </c>
      <c r="AD158" s="218">
        <f>I159/60</f>
        <v>0.11454018020955914</v>
      </c>
    </row>
    <row r="159" spans="2:30" ht="17.25" customHeight="1" thickTop="1" thickBot="1">
      <c r="D159" s="243" t="s">
        <v>49</v>
      </c>
      <c r="E159" s="383">
        <f>F36</f>
        <v>39.85</v>
      </c>
      <c r="F159" s="383"/>
      <c r="I159" s="383">
        <f>V135</f>
        <v>6.8724108125735484</v>
      </c>
      <c r="J159" s="383"/>
      <c r="K159" s="98" t="s">
        <v>149</v>
      </c>
      <c r="M159" s="383">
        <f>T152</f>
        <v>195.023930223977</v>
      </c>
      <c r="N159" s="383"/>
      <c r="R159" s="241" t="s">
        <v>49</v>
      </c>
      <c r="S159" s="378">
        <f>AD161</f>
        <v>39.739375073078712</v>
      </c>
      <c r="T159" s="378"/>
      <c r="U159" s="379" t="str" cm="1">
        <f t="array" ref="U159">latitudeDecimal2Txt(S159)</f>
        <v>N 39°44.36 (N 39.7393) [N 39°44'21.75]</v>
      </c>
      <c r="V159" s="379"/>
      <c r="W159" s="379"/>
      <c r="X159" s="379"/>
      <c r="Y159" s="379"/>
      <c r="Z159" s="379"/>
      <c r="AC159" t="s">
        <v>438</v>
      </c>
      <c r="AD159" s="218">
        <f>M159</f>
        <v>195.023930223977</v>
      </c>
    </row>
    <row r="160" spans="2:30" ht="17.25" customHeight="1" thickTop="1" thickBot="1">
      <c r="D160" s="243" t="s">
        <v>50</v>
      </c>
      <c r="E160" s="383">
        <f>F41</f>
        <v>6.0916666666666668</v>
      </c>
      <c r="F160" s="383"/>
      <c r="R160" s="241" t="s">
        <v>50</v>
      </c>
      <c r="S160" s="378">
        <f>AD163</f>
        <v>6.0530232595280822</v>
      </c>
      <c r="T160" s="378"/>
      <c r="U160" s="379" t="str" cm="1">
        <f t="array" ref="U160">longitudeDecimal2Txt(S160)</f>
        <v>E 06°03.18 (E 06.0530) [E 06°03'10.88]</v>
      </c>
      <c r="V160" s="379"/>
      <c r="W160" s="379"/>
      <c r="X160" s="379"/>
      <c r="Y160" s="379"/>
      <c r="Z160" s="379"/>
      <c r="AC160" s="98"/>
      <c r="AD160" s="98"/>
    </row>
    <row r="161" spans="2:33" ht="17.25" customHeight="1" thickTop="1">
      <c r="D161" s="98"/>
      <c r="AC161" t="s">
        <v>474</v>
      </c>
      <c r="AD161">
        <f>E159+AD158*COS(AD159*Outils!$F$10)</f>
        <v>39.739375073078712</v>
      </c>
    </row>
    <row r="162" spans="2:33" ht="17.25" customHeight="1">
      <c r="C162"/>
      <c r="D162"/>
      <c r="E162"/>
      <c r="Q162" s="380" t="s">
        <v>473</v>
      </c>
      <c r="R162" s="380"/>
      <c r="S162" s="380"/>
      <c r="AC162" t="s">
        <v>475</v>
      </c>
      <c r="AD162">
        <f>(E159+AD161)/2</f>
        <v>39.794687536539357</v>
      </c>
    </row>
    <row r="163" spans="2:33" ht="17.25" customHeight="1">
      <c r="R163" s="378">
        <f>M159-90</f>
        <v>105.023930223977</v>
      </c>
      <c r="S163" s="378"/>
      <c r="T163" s="132" t="s">
        <v>34</v>
      </c>
      <c r="AC163" t="s">
        <v>476</v>
      </c>
      <c r="AD163">
        <f>E160+(AD158*SIN(M159*Outils!$F$10)/COS(AD162*Outils!$F$10))</f>
        <v>6.0530232595280822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477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384" t="s">
        <v>472</v>
      </c>
      <c r="D168" s="384"/>
      <c r="E168" s="384"/>
      <c r="F168" s="384"/>
      <c r="G168" s="189"/>
      <c r="H168" s="98"/>
      <c r="I168" s="98"/>
      <c r="J168" s="98"/>
      <c r="K168" s="98"/>
      <c r="L168" s="98"/>
      <c r="Q168" s="240" t="s">
        <v>478</v>
      </c>
      <c r="R168" s="240"/>
      <c r="S168" s="240"/>
      <c r="T168" s="240"/>
      <c r="U168" s="240"/>
      <c r="V168" s="240"/>
      <c r="W168" s="240"/>
      <c r="AC168" t="s">
        <v>539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385">
        <v>46</v>
      </c>
      <c r="F169" s="385"/>
      <c r="G169" s="379" t="str" cm="1">
        <f t="array" ref="G169">latitudeDecimal2Txt(E169)</f>
        <v>N 46°00.00 (N 46.0000) [N 46°00'00.00]</v>
      </c>
      <c r="H169" s="379"/>
      <c r="I169" s="379"/>
      <c r="J169" s="379"/>
      <c r="K169" s="379"/>
      <c r="L169" s="379"/>
      <c r="R169" s="241" t="s">
        <v>49</v>
      </c>
      <c r="S169" s="378">
        <f>AG173</f>
        <v>42.433343893105899</v>
      </c>
      <c r="T169" s="378"/>
      <c r="U169" s="379" t="str" cm="1">
        <f t="array" ref="U169">latitudeDecimal2Txt(S169)</f>
        <v>N 42°26.00 (N 42.4333) [N 42°26'00.03]</v>
      </c>
      <c r="V169" s="379"/>
      <c r="W169" s="379"/>
      <c r="X169" s="379"/>
      <c r="Y169" s="379"/>
      <c r="Z169" s="379"/>
      <c r="AC169" s="271" t="s">
        <v>540</v>
      </c>
      <c r="AD169" s="272">
        <f>R163</f>
        <v>105.023930223977</v>
      </c>
    </row>
    <row r="170" spans="2:33" customFormat="1" ht="17.25" customHeight="1" thickTop="1" thickBot="1">
      <c r="D170" s="242" t="s">
        <v>50</v>
      </c>
      <c r="E170" s="385">
        <v>-7</v>
      </c>
      <c r="F170" s="385"/>
      <c r="G170" s="379" t="str" cm="1">
        <f t="array" ref="G170">longitudeDecimal2Txt(E170)</f>
        <v>W 07°00.00 (W 07.0000) [W 07°00'00.00]</v>
      </c>
      <c r="H170" s="379"/>
      <c r="I170" s="379"/>
      <c r="J170" s="379"/>
      <c r="K170" s="379"/>
      <c r="L170" s="379"/>
      <c r="R170" s="241" t="s">
        <v>50</v>
      </c>
      <c r="S170" s="378">
        <f>AG174</f>
        <v>-7</v>
      </c>
      <c r="T170" s="378"/>
      <c r="U170" s="379" t="str" cm="1">
        <f t="array" ref="U170">longitudeDecimal2Txt(S170)</f>
        <v>W 07°00.00 (W 07.0000) [W 07°00'00.00]</v>
      </c>
      <c r="V170" s="379"/>
      <c r="W170" s="379"/>
      <c r="X170" s="379"/>
      <c r="Y170" s="379"/>
      <c r="Z170" s="379"/>
      <c r="AC170" s="273" t="s">
        <v>542</v>
      </c>
      <c r="AD170" s="272">
        <f>S159</f>
        <v>39.739375073078712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71" t="s">
        <v>543</v>
      </c>
      <c r="AD171" s="272">
        <f>S160</f>
        <v>6.0530232595280822</v>
      </c>
    </row>
    <row r="172" spans="2:33" customFormat="1" ht="17.25" customHeight="1">
      <c r="C172" s="384" t="s">
        <v>473</v>
      </c>
      <c r="D172" s="384"/>
      <c r="E172" s="384"/>
      <c r="F172" s="244"/>
      <c r="G172" s="98"/>
      <c r="H172" s="98"/>
      <c r="I172" s="98"/>
      <c r="J172" s="98"/>
      <c r="K172" s="98"/>
      <c r="L172" s="98"/>
      <c r="AC172" s="271" t="s">
        <v>487</v>
      </c>
      <c r="AD172" s="271">
        <f>TAN(AD169*Outils!F10) * (1 / COS(AD170*Outils!F10))</f>
        <v>-4.845276293656724</v>
      </c>
    </row>
    <row r="173" spans="2:33" customFormat="1" ht="17.25" customHeight="1">
      <c r="D173" s="385">
        <v>180</v>
      </c>
      <c r="E173" s="385"/>
      <c r="F173" s="248" t="s">
        <v>34</v>
      </c>
      <c r="G173" s="98"/>
      <c r="H173" s="98"/>
      <c r="I173" s="98"/>
      <c r="J173" s="98"/>
      <c r="K173" s="98"/>
      <c r="L173" s="98"/>
      <c r="AC173" s="271" t="s">
        <v>488</v>
      </c>
      <c r="AD173" s="271">
        <f>AD171-AD170*AD172</f>
        <v>198.60127522584932</v>
      </c>
      <c r="AE173" s="375" t="s">
        <v>547</v>
      </c>
      <c r="AF173" s="375"/>
      <c r="AG173" s="274">
        <f>(AD178-AD173)/(AD172-AD177)</f>
        <v>42.433343893105899</v>
      </c>
    </row>
    <row r="174" spans="2:33" customFormat="1" ht="15">
      <c r="AC174" s="268" t="s">
        <v>541</v>
      </c>
      <c r="AD174" s="269">
        <f>D173</f>
        <v>180</v>
      </c>
      <c r="AE174" s="375"/>
      <c r="AF174" s="375"/>
      <c r="AG174" s="274">
        <f>AD172*AG173+AD173</f>
        <v>-7</v>
      </c>
    </row>
    <row r="175" spans="2:33" customFormat="1" ht="18.75">
      <c r="S175" s="98"/>
      <c r="T175" s="98"/>
      <c r="AC175" s="270" t="s">
        <v>542</v>
      </c>
      <c r="AD175" s="269">
        <f>E169</f>
        <v>46</v>
      </c>
    </row>
    <row r="176" spans="2:33" customFormat="1" ht="18">
      <c r="AC176" s="268" t="s">
        <v>543</v>
      </c>
      <c r="AD176" s="269">
        <f>E170</f>
        <v>-7</v>
      </c>
      <c r="AE176" s="375" t="s">
        <v>548</v>
      </c>
      <c r="AF176" s="375"/>
      <c r="AG176" s="275">
        <f>E169</f>
        <v>46</v>
      </c>
    </row>
    <row r="177" spans="11:33" customFormat="1" ht="17.25" customHeight="1">
      <c r="P177" s="98"/>
      <c r="Q177" s="98"/>
      <c r="AC177" s="268" t="s">
        <v>544</v>
      </c>
      <c r="AD177" s="268">
        <f>TAN(AD174*Outils!F10) * (1 / COS(AD175*Outils!F10))</f>
        <v>-1.7636704702760584E-16</v>
      </c>
      <c r="AE177" s="375"/>
      <c r="AF177" s="375"/>
      <c r="AG177" s="274">
        <f>E170+(E169-S159)*TAN(R163*Outils!F10)/COS(Outils!F10*S159)</f>
        <v>-37.334457541888078</v>
      </c>
    </row>
    <row r="178" spans="11:33" customFormat="1" ht="17.25" customHeight="1">
      <c r="AC178" s="268" t="s">
        <v>545</v>
      </c>
      <c r="AD178" s="268">
        <f>AD176-AD175*AD177</f>
        <v>-6.999999999999992</v>
      </c>
    </row>
    <row r="179" spans="11:33" customFormat="1" ht="15">
      <c r="K179" s="98"/>
      <c r="L179" s="98"/>
      <c r="AE179" s="375" t="s">
        <v>546</v>
      </c>
      <c r="AF179" s="375"/>
      <c r="AG179" s="274">
        <f>IF($AE$168,AG176,AG173)</f>
        <v>42.433343893105899</v>
      </c>
    </row>
    <row r="180" spans="11:33" customFormat="1" ht="15">
      <c r="K180" s="98"/>
      <c r="L180" s="98"/>
      <c r="AC180" s="268"/>
      <c r="AE180" s="375"/>
      <c r="AF180" s="375"/>
      <c r="AG180" s="274">
        <f>IF($AE$168,AG177,AG174)</f>
        <v>-7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sheetProtection algorithmName="SHA-512" hashValue="0YogoxAaZFCKTPIEINGF60HQvVguq6hIb10FjeSFFrz6WSr9hvRvoJh8fVld+na/HPPbt1HiSaK/MTVR6SISeA==" saltValue="31H9QQlxSqRIgAYQt5+IxA==" spinCount="100000" sheet="1" objects="1" scenarios="1" selectLockedCells="1"/>
  <protectedRanges>
    <protectedRange sqref="I11:Y11" name="Heure visee" securityDescriptor="O:WDG:WDD:(A;;CC;;;WD)"/>
  </protectedRanges>
  <dataConsolidate link="1"/>
  <mergeCells count="329">
    <mergeCell ref="P27:X27"/>
    <mergeCell ref="C20:I20"/>
    <mergeCell ref="C23:I23"/>
    <mergeCell ref="C22:I22"/>
    <mergeCell ref="J22:L22"/>
    <mergeCell ref="A36:C36"/>
    <mergeCell ref="C21:I21"/>
    <mergeCell ref="C24:D24"/>
    <mergeCell ref="C46:F46"/>
    <mergeCell ref="P20:X20"/>
    <mergeCell ref="E34:H35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U60:Y60"/>
    <mergeCell ref="U78:Y78"/>
    <mergeCell ref="P78:T78"/>
    <mergeCell ref="J88:L88"/>
    <mergeCell ref="S86:U86"/>
    <mergeCell ref="V86:Z86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Q9:U10"/>
    <mergeCell ref="C18:I18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O105:R105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29:AA129"/>
    <mergeCell ref="O141:AA141"/>
    <mergeCell ref="U120:V120"/>
    <mergeCell ref="U121:V121"/>
    <mergeCell ref="U122:V122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H93:N93"/>
    <mergeCell ref="J118:L118"/>
    <mergeCell ref="H106:N106"/>
    <mergeCell ref="I114:N114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L153:M153"/>
    <mergeCell ref="I153:K153"/>
    <mergeCell ref="T152:U152"/>
    <mergeCell ref="H158:J158"/>
    <mergeCell ref="L158:N158"/>
    <mergeCell ref="U159:Z159"/>
    <mergeCell ref="U160:Z160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AE173:AF174"/>
    <mergeCell ref="AE176:AF177"/>
    <mergeCell ref="AE179:AF180"/>
    <mergeCell ref="O152:S152"/>
    <mergeCell ref="S170:T170"/>
    <mergeCell ref="U170:Z170"/>
    <mergeCell ref="S159:T159"/>
    <mergeCell ref="S160:T160"/>
    <mergeCell ref="R163:S163"/>
    <mergeCell ref="Q158:T158"/>
    <mergeCell ref="Q162:S162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202" zoomScaleNormal="100" workbookViewId="0">
      <selection activeCell="F11" sqref="F11:H12"/>
    </sheetView>
  </sheetViews>
  <sheetFormatPr defaultColWidth="6" defaultRowHeight="15"/>
  <cols>
    <col min="1" max="8" width="6" style="277"/>
    <col min="9" max="9" width="8.5703125" style="277" bestFit="1" customWidth="1"/>
    <col min="10" max="13" width="6" style="277"/>
    <col min="14" max="14" width="8.5703125" style="277" bestFit="1" customWidth="1"/>
    <col min="15" max="21" width="6" style="277"/>
    <col min="22" max="22" width="6.28515625" style="277" customWidth="1"/>
    <col min="23" max="23" width="7.140625" style="277" bestFit="1" customWidth="1"/>
    <col min="24" max="27" width="6" style="277"/>
    <col min="28" max="28" width="1.28515625" style="280" customWidth="1"/>
    <col min="29" max="30" width="16.140625" style="277" customWidth="1"/>
    <col min="31" max="32" width="6" style="277"/>
    <col min="33" max="33" width="9.5703125" style="277" bestFit="1" customWidth="1"/>
    <col min="34" max="16384" width="6" style="277"/>
  </cols>
  <sheetData>
    <row r="1" spans="1:66" s="276" customFormat="1" ht="17.25" customHeight="1">
      <c r="C1" s="757" t="s">
        <v>236</v>
      </c>
      <c r="D1" s="757"/>
      <c r="E1" s="757"/>
      <c r="F1" s="757"/>
      <c r="G1" s="758" t="s">
        <v>237</v>
      </c>
      <c r="H1" s="758"/>
      <c r="I1" s="758"/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8"/>
      <c r="Y1" s="758"/>
      <c r="AB1" s="265"/>
      <c r="AC1" s="277"/>
      <c r="AD1" s="277"/>
      <c r="AE1" s="277"/>
      <c r="AF1" s="277"/>
      <c r="AG1" s="277"/>
      <c r="AH1" s="277"/>
      <c r="AI1" s="277"/>
      <c r="AJ1" s="277"/>
      <c r="AK1" s="277"/>
      <c r="AL1" s="277"/>
      <c r="AM1" s="277"/>
      <c r="AN1" s="277"/>
      <c r="AO1" s="277"/>
      <c r="AP1" s="277"/>
      <c r="AQ1" s="277"/>
      <c r="AR1" s="277"/>
      <c r="AS1" s="277"/>
      <c r="AT1" s="277"/>
      <c r="AU1" s="277"/>
      <c r="AV1" s="277"/>
      <c r="AW1" s="277"/>
      <c r="AX1" s="277"/>
      <c r="AY1" s="277"/>
      <c r="AZ1" s="277"/>
      <c r="BA1" s="277"/>
      <c r="BB1" s="277"/>
      <c r="BC1" s="277"/>
      <c r="BD1" s="277"/>
      <c r="BE1" s="277"/>
      <c r="BF1" s="277"/>
      <c r="BG1" s="277"/>
      <c r="BH1" s="277"/>
      <c r="BI1" s="277"/>
      <c r="BJ1" s="277"/>
      <c r="BK1" s="277"/>
      <c r="BL1" s="277"/>
      <c r="BM1" s="277"/>
      <c r="BN1" s="278"/>
    </row>
    <row r="2" spans="1:66" s="276" customFormat="1" ht="17.25" customHeight="1">
      <c r="C2" s="757"/>
      <c r="D2" s="757"/>
      <c r="E2" s="757"/>
      <c r="F2" s="757"/>
      <c r="G2" s="758"/>
      <c r="H2" s="758"/>
      <c r="I2" s="758"/>
      <c r="J2" s="758"/>
      <c r="K2" s="758"/>
      <c r="L2" s="758"/>
      <c r="M2" s="758"/>
      <c r="N2" s="758"/>
      <c r="O2" s="758"/>
      <c r="P2" s="758"/>
      <c r="Q2" s="758"/>
      <c r="R2" s="758"/>
      <c r="S2" s="758"/>
      <c r="T2" s="758"/>
      <c r="U2" s="758"/>
      <c r="V2" s="758"/>
      <c r="W2" s="758"/>
      <c r="X2" s="758"/>
      <c r="Y2" s="758"/>
      <c r="AB2" s="265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277"/>
      <c r="BD2" s="277"/>
      <c r="BE2" s="277"/>
      <c r="BF2" s="277"/>
      <c r="BG2" s="277"/>
      <c r="BH2" s="277"/>
      <c r="BI2" s="277"/>
      <c r="BJ2" s="277"/>
      <c r="BK2" s="277"/>
      <c r="BL2" s="277"/>
      <c r="BM2" s="277"/>
      <c r="BN2" s="278"/>
    </row>
    <row r="3" spans="1:66" s="276" customFormat="1" ht="17.25" customHeight="1">
      <c r="C3" s="757"/>
      <c r="D3" s="757"/>
      <c r="E3" s="757"/>
      <c r="F3" s="757"/>
      <c r="G3" s="460" t="s">
        <v>241</v>
      </c>
      <c r="H3" s="460"/>
      <c r="I3" s="460"/>
      <c r="J3" s="462" t="s">
        <v>240</v>
      </c>
      <c r="K3" s="462"/>
      <c r="L3" s="462"/>
      <c r="N3" s="759" t="s">
        <v>463</v>
      </c>
      <c r="O3" s="759"/>
      <c r="P3" s="759"/>
      <c r="Q3" s="760" t="s">
        <v>363</v>
      </c>
      <c r="R3" s="760"/>
      <c r="S3" s="760"/>
      <c r="AB3" s="265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277"/>
      <c r="BD3" s="277"/>
      <c r="BE3" s="277"/>
      <c r="BF3" s="277"/>
      <c r="BG3" s="277"/>
      <c r="BH3" s="277"/>
      <c r="BI3" s="277"/>
      <c r="BJ3" s="277"/>
      <c r="BK3" s="277"/>
      <c r="BL3" s="277"/>
      <c r="BM3" s="277"/>
      <c r="BN3" s="278"/>
    </row>
    <row r="4" spans="1:66" s="276" customFormat="1" ht="17.25" customHeight="1">
      <c r="C4" s="757"/>
      <c r="D4" s="757"/>
      <c r="E4" s="757"/>
      <c r="F4" s="757"/>
      <c r="G4" s="461"/>
      <c r="H4" s="461"/>
      <c r="I4" s="461"/>
      <c r="J4" s="463"/>
      <c r="K4" s="463"/>
      <c r="L4" s="463"/>
      <c r="N4" s="759"/>
      <c r="O4" s="759"/>
      <c r="P4" s="759"/>
      <c r="Q4" s="760"/>
      <c r="R4" s="760"/>
      <c r="S4" s="760"/>
      <c r="AB4" s="265"/>
      <c r="AC4" s="277"/>
      <c r="AD4" s="277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  <c r="AW4" s="277"/>
      <c r="AX4" s="277"/>
      <c r="AY4" s="277"/>
      <c r="AZ4" s="277"/>
      <c r="BA4" s="277"/>
      <c r="BB4" s="277"/>
      <c r="BC4" s="277"/>
      <c r="BD4" s="277"/>
      <c r="BE4" s="277"/>
      <c r="BF4" s="277"/>
      <c r="BG4" s="277"/>
      <c r="BH4" s="277"/>
      <c r="BI4" s="277"/>
      <c r="BJ4" s="277"/>
      <c r="BK4" s="277"/>
      <c r="BL4" s="277"/>
      <c r="BM4" s="277"/>
      <c r="BN4" s="278"/>
    </row>
    <row r="5" spans="1:66" s="276" customFormat="1" ht="17.25" customHeight="1">
      <c r="C5" s="279"/>
      <c r="D5" s="279"/>
      <c r="E5" s="279"/>
      <c r="F5" s="279"/>
      <c r="G5" s="279"/>
      <c r="AB5" s="265"/>
      <c r="AC5" s="277"/>
      <c r="AD5" s="277"/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7"/>
      <c r="BA5" s="277"/>
      <c r="BB5" s="277"/>
      <c r="BC5" s="277"/>
      <c r="BD5" s="277"/>
      <c r="BE5" s="277"/>
      <c r="BF5" s="277"/>
      <c r="BG5" s="277"/>
      <c r="BH5" s="277"/>
      <c r="BI5" s="277"/>
      <c r="BJ5" s="277"/>
      <c r="BK5" s="277"/>
      <c r="BL5" s="277"/>
      <c r="BM5" s="277"/>
      <c r="BN5" s="278"/>
    </row>
    <row r="6" spans="1:66" ht="15.75" thickBot="1"/>
    <row r="7" spans="1:66" s="276" customFormat="1" ht="17.25" customHeight="1" thickBot="1">
      <c r="B7" s="281" t="s">
        <v>518</v>
      </c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30" t="str">
        <f>dateDecimale2txt(dateConvert2Decimal(E8))</f>
        <v>2025/6/30 [YYYY/MM/DD]</v>
      </c>
      <c r="O7" s="230"/>
      <c r="P7" s="283"/>
      <c r="Q7" s="284"/>
      <c r="R7" s="267"/>
      <c r="S7" s="267"/>
      <c r="T7" s="267"/>
      <c r="U7" s="282"/>
      <c r="V7" s="282"/>
      <c r="W7" s="282"/>
      <c r="X7" s="282"/>
      <c r="Y7" s="282"/>
      <c r="Z7" s="282"/>
      <c r="AA7" s="282"/>
      <c r="AB7" s="266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8"/>
    </row>
    <row r="8" spans="1:66" s="276" customFormat="1" ht="17.25" customHeight="1">
      <c r="C8" s="456" t="s">
        <v>1</v>
      </c>
      <c r="D8" s="457"/>
      <c r="E8" s="590" t="s">
        <v>464</v>
      </c>
      <c r="F8" s="591"/>
      <c r="G8" s="591"/>
      <c r="H8" s="277"/>
      <c r="I8" s="277"/>
      <c r="J8" s="277"/>
      <c r="K8" s="277"/>
      <c r="L8" s="277"/>
      <c r="M8" s="277"/>
      <c r="N8" s="277"/>
      <c r="O8" s="277"/>
      <c r="AB8" s="145"/>
      <c r="AC8" s="277"/>
      <c r="AD8" s="277"/>
      <c r="AE8" s="277"/>
      <c r="AF8" s="277"/>
      <c r="AG8" s="277"/>
      <c r="AH8" s="277"/>
      <c r="AI8" s="277"/>
      <c r="AJ8" s="277"/>
      <c r="AK8" s="277"/>
      <c r="AL8" s="277"/>
      <c r="AM8" s="277"/>
      <c r="AN8" s="277"/>
      <c r="AO8" s="277"/>
      <c r="AP8" s="277"/>
      <c r="AQ8" s="277"/>
      <c r="AR8" s="277"/>
      <c r="AS8" s="277"/>
      <c r="AT8" s="277"/>
      <c r="AU8" s="277"/>
      <c r="AV8" s="277"/>
      <c r="AW8" s="277"/>
      <c r="AX8" s="277"/>
      <c r="AY8" s="277"/>
      <c r="AZ8" s="277"/>
      <c r="BA8" s="277"/>
      <c r="BB8" s="277"/>
      <c r="BC8" s="277"/>
      <c r="BD8" s="277"/>
      <c r="BE8" s="277"/>
      <c r="BF8" s="277"/>
      <c r="BG8" s="277"/>
      <c r="BH8" s="277"/>
      <c r="BI8" s="277"/>
      <c r="BJ8" s="277"/>
      <c r="BK8" s="277"/>
      <c r="BL8" s="277"/>
      <c r="BM8" s="277"/>
      <c r="BN8" s="278"/>
    </row>
    <row r="9" spans="1:66" s="276" customFormat="1" ht="12" customHeight="1">
      <c r="C9" s="285"/>
      <c r="D9" s="285"/>
      <c r="E9" s="686" t="s">
        <v>7</v>
      </c>
      <c r="F9" s="686"/>
      <c r="G9" s="686"/>
      <c r="H9" s="686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285"/>
      <c r="AB9" s="265"/>
      <c r="AC9" s="277"/>
      <c r="AD9" s="277"/>
      <c r="AE9" s="277"/>
      <c r="AF9" s="277"/>
      <c r="AG9" s="277"/>
      <c r="AH9" s="277"/>
      <c r="AI9" s="277"/>
      <c r="AJ9" s="277"/>
      <c r="AK9" s="277"/>
      <c r="AL9" s="277"/>
      <c r="AM9" s="277"/>
      <c r="AN9" s="277"/>
      <c r="AO9" s="277"/>
      <c r="AP9" s="277"/>
      <c r="AQ9" s="277"/>
      <c r="AR9" s="277"/>
      <c r="AS9" s="277"/>
      <c r="AT9" s="277"/>
      <c r="AU9" s="277"/>
      <c r="AV9" s="277"/>
      <c r="AW9" s="277"/>
      <c r="AX9" s="277"/>
      <c r="AY9" s="277"/>
      <c r="AZ9" s="277"/>
      <c r="BA9" s="277"/>
      <c r="BB9" s="277"/>
      <c r="BC9" s="277"/>
      <c r="BD9" s="277"/>
      <c r="BE9" s="277"/>
      <c r="BF9" s="277"/>
      <c r="BG9" s="277"/>
      <c r="BH9" s="277"/>
      <c r="BI9" s="277"/>
      <c r="BJ9" s="277"/>
      <c r="BK9" s="277"/>
      <c r="BL9" s="277"/>
      <c r="BM9" s="277"/>
      <c r="BN9" s="278"/>
    </row>
    <row r="10" spans="1:66" s="276" customFormat="1" ht="12" customHeight="1" thickBot="1">
      <c r="C10" s="285"/>
      <c r="D10" s="285"/>
      <c r="E10" s="686"/>
      <c r="F10" s="686"/>
      <c r="G10" s="686"/>
      <c r="H10" s="686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5"/>
      <c r="AB10" s="265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8"/>
    </row>
    <row r="11" spans="1:66" s="276" customFormat="1" ht="12" customHeight="1" thickTop="1" thickBot="1">
      <c r="A11" s="372" t="s">
        <v>41</v>
      </c>
      <c r="B11" s="373"/>
      <c r="C11" s="374"/>
      <c r="D11" s="285"/>
      <c r="E11" s="285"/>
      <c r="F11" s="556">
        <f>AD12</f>
        <v>46.1</v>
      </c>
      <c r="G11" s="579"/>
      <c r="H11" s="579"/>
      <c r="I11" s="475" t="s">
        <v>3</v>
      </c>
      <c r="J11" s="477" t="s">
        <v>536</v>
      </c>
      <c r="K11" s="475"/>
      <c r="L11" s="475"/>
      <c r="M11" s="475"/>
      <c r="N11" s="475"/>
      <c r="O11" s="400" t="str" cm="1">
        <f t="array" ref="O11">angleDecimal2Txt(F11)</f>
        <v>+46°06.00 (+46.1000) [+46°06'00.00]</v>
      </c>
      <c r="P11" s="400"/>
      <c r="Q11" s="400"/>
      <c r="R11" s="400"/>
      <c r="S11" s="400"/>
      <c r="T11" s="400"/>
      <c r="U11" s="400"/>
      <c r="V11" s="400"/>
      <c r="W11" s="400"/>
      <c r="X11" s="400"/>
      <c r="Y11" s="285"/>
      <c r="Z11" s="285"/>
      <c r="AB11" s="265"/>
      <c r="AC11" s="263" t="s">
        <v>334</v>
      </c>
      <c r="AD11" s="6">
        <f>VLOOKUP(I11,$A$13:$C$14,3)</f>
        <v>1</v>
      </c>
      <c r="AE11" s="277"/>
      <c r="AF11" s="277"/>
      <c r="AG11" s="277"/>
      <c r="AH11" s="277"/>
      <c r="AI11" s="277"/>
      <c r="AJ11" s="277"/>
      <c r="AK11" s="277"/>
      <c r="AL11" s="277"/>
      <c r="AM11" s="277"/>
      <c r="AN11" s="277"/>
      <c r="AO11" s="277"/>
      <c r="AP11" s="277"/>
      <c r="AQ11" s="277"/>
      <c r="AR11" s="277"/>
      <c r="AS11" s="277"/>
      <c r="AT11" s="277"/>
      <c r="AU11" s="277"/>
      <c r="AV11" s="277"/>
      <c r="AW11" s="277"/>
      <c r="AX11" s="277"/>
      <c r="AY11" s="277"/>
      <c r="AZ11" s="277"/>
      <c r="BA11" s="277"/>
      <c r="BB11" s="277"/>
      <c r="BC11" s="277"/>
      <c r="BD11" s="277"/>
      <c r="BE11" s="277"/>
      <c r="BF11" s="277"/>
      <c r="BG11" s="277"/>
      <c r="BH11" s="277"/>
      <c r="BI11" s="277"/>
      <c r="BJ11" s="277"/>
      <c r="BK11" s="277"/>
      <c r="BL11" s="277"/>
      <c r="BM11" s="277"/>
      <c r="BN11" s="286"/>
    </row>
    <row r="12" spans="1:66" s="276" customFormat="1" ht="12" customHeight="1" thickTop="1" thickBot="1">
      <c r="A12" s="287" t="s">
        <v>49</v>
      </c>
      <c r="B12" s="288" t="s">
        <v>50</v>
      </c>
      <c r="C12" s="289"/>
      <c r="D12" s="285"/>
      <c r="E12" s="285"/>
      <c r="F12" s="579"/>
      <c r="G12" s="579"/>
      <c r="H12" s="579"/>
      <c r="I12" s="475"/>
      <c r="J12" s="475"/>
      <c r="K12" s="475"/>
      <c r="L12" s="475"/>
      <c r="M12" s="475"/>
      <c r="N12" s="475"/>
      <c r="O12" s="400"/>
      <c r="P12" s="400"/>
      <c r="Q12" s="400"/>
      <c r="R12" s="400"/>
      <c r="S12" s="400"/>
      <c r="T12" s="400"/>
      <c r="U12" s="400"/>
      <c r="V12" s="400"/>
      <c r="W12" s="400"/>
      <c r="X12" s="400"/>
      <c r="Y12" s="285"/>
      <c r="Z12" s="285"/>
      <c r="AB12" s="265"/>
      <c r="AC12" s="263" t="s">
        <v>335</v>
      </c>
      <c r="AD12" s="6" cm="1">
        <f t="array" ref="AD12">angleConvert2Decimal(J11)*AD11</f>
        <v>46.1</v>
      </c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86"/>
    </row>
    <row r="13" spans="1:66" s="276" customFormat="1" ht="12" customHeight="1" thickTop="1">
      <c r="A13" s="287" t="s">
        <v>3</v>
      </c>
      <c r="B13" s="288" t="s">
        <v>5</v>
      </c>
      <c r="C13" s="289">
        <v>1</v>
      </c>
      <c r="D13" s="285"/>
      <c r="E13" s="285"/>
      <c r="F13" s="285"/>
      <c r="G13" s="285"/>
      <c r="H13" s="285"/>
      <c r="AB13" s="265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86"/>
    </row>
    <row r="14" spans="1:66" s="276" customFormat="1" ht="12" customHeight="1" thickBot="1">
      <c r="A14" s="290" t="s">
        <v>4</v>
      </c>
      <c r="B14" s="291" t="s">
        <v>6</v>
      </c>
      <c r="C14" s="292">
        <v>-1</v>
      </c>
      <c r="D14" s="285"/>
      <c r="E14" s="580" t="s">
        <v>8</v>
      </c>
      <c r="F14" s="580"/>
      <c r="G14" s="580"/>
      <c r="H14" s="580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285"/>
      <c r="AB14" s="265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86"/>
    </row>
    <row r="15" spans="1:66" s="276" customFormat="1" ht="12" customHeight="1" thickBot="1">
      <c r="C15" s="285"/>
      <c r="D15" s="285"/>
      <c r="E15" s="580"/>
      <c r="F15" s="580"/>
      <c r="G15" s="580"/>
      <c r="H15" s="580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5"/>
      <c r="V15" s="285"/>
      <c r="AB15" s="265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86"/>
    </row>
    <row r="16" spans="1:66" s="276" customFormat="1" ht="12" customHeight="1" thickTop="1" thickBot="1">
      <c r="B16" s="285"/>
      <c r="C16" s="285"/>
      <c r="D16" s="285"/>
      <c r="E16" s="285"/>
      <c r="F16" s="556">
        <f>AD17</f>
        <v>-7.083333333333333</v>
      </c>
      <c r="G16" s="579"/>
      <c r="H16" s="579"/>
      <c r="I16" s="475" t="s">
        <v>6</v>
      </c>
      <c r="J16" s="477" t="s">
        <v>537</v>
      </c>
      <c r="K16" s="475"/>
      <c r="L16" s="475"/>
      <c r="M16" s="475"/>
      <c r="N16" s="475"/>
      <c r="O16" s="400" t="str" cm="1">
        <f t="array" ref="O16">angleDecimal2Txt(F16)</f>
        <v>-07°05.00 (-07.0833) [-07°05'00.00]</v>
      </c>
      <c r="P16" s="400"/>
      <c r="Q16" s="400"/>
      <c r="R16" s="400"/>
      <c r="S16" s="400"/>
      <c r="T16" s="400"/>
      <c r="U16" s="400"/>
      <c r="V16" s="400"/>
      <c r="W16" s="400"/>
      <c r="X16" s="400"/>
      <c r="Y16" s="285"/>
      <c r="Z16" s="285"/>
      <c r="AB16" s="265"/>
      <c r="AC16" s="263" t="s">
        <v>336</v>
      </c>
      <c r="AD16" s="6">
        <f>VLOOKUP(I16,B13:C14,2)</f>
        <v>-1</v>
      </c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8"/>
    </row>
    <row r="17" spans="2:66" s="276" customFormat="1" ht="12" customHeight="1" thickTop="1" thickBot="1">
      <c r="C17" s="285"/>
      <c r="D17" s="285"/>
      <c r="E17" s="285"/>
      <c r="F17" s="579"/>
      <c r="G17" s="579"/>
      <c r="H17" s="579"/>
      <c r="I17" s="475"/>
      <c r="J17" s="475"/>
      <c r="K17" s="475"/>
      <c r="L17" s="475"/>
      <c r="M17" s="475"/>
      <c r="N17" s="475"/>
      <c r="O17" s="400"/>
      <c r="P17" s="400"/>
      <c r="Q17" s="400"/>
      <c r="R17" s="400"/>
      <c r="S17" s="400"/>
      <c r="T17" s="400"/>
      <c r="U17" s="400"/>
      <c r="V17" s="400"/>
      <c r="W17" s="400"/>
      <c r="X17" s="400"/>
      <c r="Y17" s="285"/>
      <c r="Z17" s="285"/>
      <c r="AB17" s="265"/>
      <c r="AC17" s="263" t="s">
        <v>337</v>
      </c>
      <c r="AD17" s="6" cm="1">
        <f t="array" ref="AD17">angleConvert2Decimal(J16)*AD16</f>
        <v>-7.083333333333333</v>
      </c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8"/>
    </row>
    <row r="18" spans="2:66" ht="12" customHeight="1" thickTop="1"/>
    <row r="19" spans="2:66" ht="12" customHeight="1">
      <c r="E19" s="580" t="s">
        <v>501</v>
      </c>
      <c r="F19" s="580"/>
      <c r="G19" s="580"/>
      <c r="H19" s="580"/>
      <c r="I19" s="285"/>
      <c r="J19" s="285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5"/>
      <c r="V19" s="285"/>
      <c r="W19" s="276"/>
      <c r="X19" s="276"/>
    </row>
    <row r="20" spans="2:66" ht="12" customHeight="1" thickBot="1">
      <c r="E20" s="580"/>
      <c r="F20" s="580"/>
      <c r="G20" s="580"/>
      <c r="H20" s="580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285"/>
      <c r="W20" s="276"/>
      <c r="X20" s="276"/>
    </row>
    <row r="21" spans="2:66" ht="12" customHeight="1" thickTop="1" thickBot="1">
      <c r="E21" s="285"/>
      <c r="F21" s="556">
        <f>heureConvert2Decimal(I21)</f>
        <v>10.340277777777779</v>
      </c>
      <c r="G21" s="579"/>
      <c r="H21" s="579"/>
      <c r="I21" s="826" t="s">
        <v>402</v>
      </c>
      <c r="J21" s="623"/>
      <c r="K21" s="623"/>
      <c r="L21" s="623"/>
      <c r="M21" s="623"/>
      <c r="N21" s="808"/>
      <c r="O21" s="400" t="str">
        <f>heureDecimal2Txt(F21)</f>
        <v>10:20:25.00(10.3402)</v>
      </c>
      <c r="P21" s="400"/>
      <c r="Q21" s="400"/>
      <c r="R21" s="400"/>
      <c r="S21" s="400"/>
      <c r="T21" s="400"/>
      <c r="U21" s="400"/>
      <c r="V21" s="400"/>
      <c r="W21" s="400"/>
      <c r="X21" s="400"/>
    </row>
    <row r="22" spans="2:66" ht="12" customHeight="1" thickTop="1" thickBot="1">
      <c r="E22" s="285"/>
      <c r="F22" s="579"/>
      <c r="G22" s="579"/>
      <c r="H22" s="579"/>
      <c r="I22" s="553"/>
      <c r="J22" s="554"/>
      <c r="K22" s="554"/>
      <c r="L22" s="554"/>
      <c r="M22" s="554"/>
      <c r="N22" s="810"/>
      <c r="O22" s="400"/>
      <c r="P22" s="400"/>
      <c r="Q22" s="400"/>
      <c r="R22" s="400"/>
      <c r="S22" s="400"/>
      <c r="T22" s="400"/>
      <c r="U22" s="400"/>
      <c r="V22" s="400"/>
      <c r="W22" s="400"/>
      <c r="X22" s="400"/>
    </row>
    <row r="23" spans="2:66" ht="15.75" thickTop="1"/>
    <row r="24" spans="2:66" ht="15.75" thickBot="1"/>
    <row r="25" spans="2:66" s="276" customFormat="1" ht="17.25" customHeight="1" thickBot="1">
      <c r="B25" s="293" t="s">
        <v>519</v>
      </c>
      <c r="C25" s="294"/>
      <c r="D25" s="294"/>
      <c r="E25" s="295"/>
      <c r="F25" s="295"/>
      <c r="G25" s="295"/>
      <c r="H25" s="295"/>
      <c r="I25" s="295"/>
      <c r="J25" s="295"/>
      <c r="K25" s="295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66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8"/>
    </row>
    <row r="26" spans="2:66" ht="12.75" customHeight="1">
      <c r="E26" s="795" t="s">
        <v>522</v>
      </c>
      <c r="F26" s="796"/>
      <c r="G26" s="796"/>
      <c r="H26" s="796"/>
      <c r="I26" s="796"/>
      <c r="J26" s="796"/>
      <c r="K26" s="797"/>
    </row>
    <row r="27" spans="2:66" ht="12.75" customHeight="1" thickBot="1">
      <c r="E27" s="798"/>
      <c r="F27" s="799"/>
      <c r="G27" s="799"/>
      <c r="H27" s="799"/>
      <c r="I27" s="799"/>
      <c r="J27" s="799"/>
      <c r="K27" s="800"/>
    </row>
    <row r="28" spans="2:66" ht="12.75" customHeight="1" thickTop="1" thickBot="1">
      <c r="F28" s="555">
        <f>angleConvert2Decimal(I28)</f>
        <v>260</v>
      </c>
      <c r="G28" s="804"/>
      <c r="H28" s="804"/>
      <c r="I28" s="806">
        <v>260</v>
      </c>
      <c r="J28" s="807"/>
      <c r="K28" s="807"/>
      <c r="L28" s="623"/>
      <c r="M28" s="623"/>
      <c r="N28" s="808"/>
      <c r="O28" s="400" t="str" cm="1">
        <f t="array" ref="O28">angleDecimal2Txt(F28)</f>
        <v>+260°00.00 (+260.0000) [+260°00'00.00]</v>
      </c>
      <c r="P28" s="400"/>
      <c r="Q28" s="400"/>
      <c r="R28" s="400"/>
      <c r="S28" s="400"/>
      <c r="T28" s="400"/>
      <c r="U28" s="400"/>
      <c r="V28" s="400"/>
      <c r="W28" s="400"/>
      <c r="X28" s="400"/>
    </row>
    <row r="29" spans="2:66" ht="12.75" customHeight="1" thickTop="1" thickBot="1">
      <c r="F29" s="805"/>
      <c r="G29" s="805"/>
      <c r="H29" s="805"/>
      <c r="I29" s="809"/>
      <c r="J29" s="807"/>
      <c r="K29" s="807"/>
      <c r="L29" s="554"/>
      <c r="M29" s="554"/>
      <c r="N29" s="810"/>
      <c r="O29" s="400"/>
      <c r="P29" s="400"/>
      <c r="Q29" s="400"/>
      <c r="R29" s="400"/>
      <c r="S29" s="400"/>
      <c r="T29" s="400"/>
      <c r="U29" s="400"/>
      <c r="V29" s="400"/>
      <c r="W29" s="400"/>
      <c r="X29" s="400"/>
    </row>
    <row r="30" spans="2:66" ht="12.75" customHeight="1" thickTop="1">
      <c r="E30" s="434" t="s">
        <v>523</v>
      </c>
      <c r="F30" s="435"/>
      <c r="G30" s="435"/>
      <c r="H30" s="435"/>
      <c r="I30" s="435"/>
      <c r="J30" s="435"/>
      <c r="K30" s="436"/>
    </row>
    <row r="31" spans="2:66" ht="12.75" customHeight="1" thickBot="1">
      <c r="E31" s="437"/>
      <c r="F31" s="438"/>
      <c r="G31" s="438"/>
      <c r="H31" s="438"/>
      <c r="I31" s="438"/>
      <c r="J31" s="438"/>
      <c r="K31" s="439"/>
    </row>
    <row r="32" spans="2:66" ht="12.75" customHeight="1" thickTop="1" thickBot="1">
      <c r="F32" s="555">
        <f>I32</f>
        <v>5</v>
      </c>
      <c r="G32" s="804"/>
      <c r="H32" s="804"/>
      <c r="I32" s="806">
        <v>5</v>
      </c>
      <c r="J32" s="807"/>
      <c r="K32" s="807"/>
      <c r="L32" s="623"/>
      <c r="M32" s="623"/>
      <c r="N32" s="808"/>
      <c r="O32" s="400" t="str" cm="1">
        <f t="array" ref="O32">angleDecimal2Txt(F32)</f>
        <v>+05°00.00 (+05.0000) [+05°00'00.00]</v>
      </c>
      <c r="P32" s="400"/>
      <c r="Q32" s="400"/>
      <c r="R32" s="400"/>
      <c r="S32" s="400"/>
      <c r="T32" s="400"/>
      <c r="U32" s="400"/>
      <c r="V32" s="400"/>
      <c r="W32" s="400"/>
      <c r="X32" s="400"/>
    </row>
    <row r="33" spans="2:30" ht="12.75" customHeight="1" thickTop="1" thickBot="1">
      <c r="F33" s="805"/>
      <c r="G33" s="805"/>
      <c r="H33" s="805"/>
      <c r="I33" s="809"/>
      <c r="J33" s="807"/>
      <c r="K33" s="807"/>
      <c r="L33" s="807"/>
      <c r="M33" s="807"/>
      <c r="N33" s="810"/>
      <c r="O33" s="400"/>
      <c r="P33" s="400"/>
      <c r="Q33" s="400"/>
      <c r="R33" s="400"/>
      <c r="S33" s="400"/>
      <c r="T33" s="400"/>
      <c r="U33" s="400"/>
      <c r="V33" s="400"/>
      <c r="W33" s="400"/>
      <c r="X33" s="400"/>
    </row>
    <row r="34" spans="2:30" ht="12.75" customHeight="1" thickTop="1">
      <c r="E34" s="789" t="s">
        <v>521</v>
      </c>
      <c r="F34" s="790"/>
      <c r="G34" s="790"/>
      <c r="H34" s="790"/>
      <c r="I34" s="790"/>
      <c r="J34" s="790"/>
      <c r="K34" s="790"/>
      <c r="L34" s="790"/>
      <c r="M34" s="791"/>
    </row>
    <row r="35" spans="2:30" ht="12.75" customHeight="1" thickBot="1">
      <c r="E35" s="792"/>
      <c r="F35" s="793"/>
      <c r="G35" s="793"/>
      <c r="H35" s="793"/>
      <c r="I35" s="793"/>
      <c r="J35" s="793"/>
      <c r="K35" s="793"/>
      <c r="L35" s="793"/>
      <c r="M35" s="794"/>
    </row>
    <row r="36" spans="2:30" s="296" customFormat="1" ht="12.75" customHeight="1" thickTop="1" thickBot="1">
      <c r="F36" s="839">
        <f>AD37</f>
        <v>46.1</v>
      </c>
      <c r="G36" s="840"/>
      <c r="H36" s="840"/>
      <c r="I36" s="834" t="str">
        <f>I11</f>
        <v>N</v>
      </c>
      <c r="J36" s="836" t="str">
        <f>J11</f>
        <v>46°06</v>
      </c>
      <c r="K36" s="834"/>
      <c r="L36" s="834"/>
      <c r="M36" s="834"/>
      <c r="N36" s="835"/>
      <c r="O36" s="842" t="str" cm="1">
        <f t="array" ref="O36">angleDecimal2Txt(F36)</f>
        <v>+46°06.00 (+46.1000) [+46°06'00.00]</v>
      </c>
      <c r="P36" s="842"/>
      <c r="Q36" s="842"/>
      <c r="R36" s="842"/>
      <c r="S36" s="842"/>
      <c r="T36" s="842"/>
      <c r="U36" s="842"/>
      <c r="V36" s="842"/>
      <c r="W36" s="842"/>
      <c r="X36" s="842"/>
      <c r="AB36" s="297"/>
      <c r="AC36" s="264" t="s">
        <v>334</v>
      </c>
      <c r="AD36" s="256">
        <f>VLOOKUP(I36,$A$13:$C$14,3)</f>
        <v>1</v>
      </c>
    </row>
    <row r="37" spans="2:30" s="296" customFormat="1" ht="12.75" customHeight="1" thickTop="1" thickBot="1">
      <c r="F37" s="841"/>
      <c r="G37" s="841"/>
      <c r="H37" s="841"/>
      <c r="I37" s="835"/>
      <c r="J37" s="835"/>
      <c r="K37" s="835"/>
      <c r="L37" s="835"/>
      <c r="M37" s="835"/>
      <c r="N37" s="835"/>
      <c r="O37" s="842"/>
      <c r="P37" s="842"/>
      <c r="Q37" s="842"/>
      <c r="R37" s="842"/>
      <c r="S37" s="842"/>
      <c r="T37" s="842"/>
      <c r="U37" s="842"/>
      <c r="V37" s="842"/>
      <c r="W37" s="842"/>
      <c r="X37" s="842"/>
      <c r="AB37" s="297"/>
      <c r="AC37" s="264" t="s">
        <v>335</v>
      </c>
      <c r="AD37" s="256" cm="1">
        <f t="array" ref="AD37">angleConvert2Decimal(J36)*AD36</f>
        <v>46.1</v>
      </c>
    </row>
    <row r="38" spans="2:30" s="296" customFormat="1" ht="12.75" customHeight="1" thickTop="1">
      <c r="F38" s="277"/>
      <c r="G38" s="277"/>
      <c r="H38" s="277"/>
      <c r="I38" s="277"/>
      <c r="J38" s="277"/>
      <c r="K38" s="277"/>
      <c r="L38" s="277"/>
      <c r="M38" s="277"/>
      <c r="N38" s="277"/>
      <c r="O38" s="277"/>
      <c r="P38" s="277"/>
      <c r="Q38" s="277"/>
      <c r="R38" s="277"/>
      <c r="S38" s="277"/>
      <c r="T38" s="277"/>
      <c r="U38" s="277"/>
      <c r="V38" s="277"/>
      <c r="W38" s="277"/>
      <c r="X38" s="277"/>
      <c r="Y38" s="277"/>
      <c r="Z38" s="277"/>
      <c r="AA38" s="277"/>
      <c r="AB38" s="280"/>
      <c r="AC38" s="277"/>
      <c r="AD38" s="277"/>
    </row>
    <row r="39" spans="2:30" ht="15.75" thickBot="1"/>
    <row r="40" spans="2:30" ht="15.75" thickBot="1">
      <c r="B40" s="293" t="s">
        <v>520</v>
      </c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66"/>
    </row>
    <row r="41" spans="2:30" ht="12" customHeight="1">
      <c r="E41" s="827" t="s">
        <v>502</v>
      </c>
      <c r="F41" s="828"/>
      <c r="G41" s="828"/>
      <c r="H41" s="828"/>
      <c r="I41" s="828"/>
      <c r="J41" s="828"/>
      <c r="K41" s="828"/>
      <c r="L41" s="285"/>
      <c r="M41" s="285"/>
      <c r="N41" s="285"/>
      <c r="O41" s="285"/>
      <c r="P41" s="285"/>
      <c r="Q41" s="285"/>
      <c r="R41" s="285"/>
      <c r="S41" s="285"/>
      <c r="T41" s="285"/>
      <c r="U41" s="285"/>
      <c r="V41" s="285"/>
      <c r="W41" s="276"/>
      <c r="X41" s="276"/>
    </row>
    <row r="42" spans="2:30" ht="12" customHeight="1" thickBot="1">
      <c r="E42" s="829"/>
      <c r="F42" s="830"/>
      <c r="G42" s="830"/>
      <c r="H42" s="830"/>
      <c r="I42" s="830"/>
      <c r="J42" s="830"/>
      <c r="K42" s="830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76"/>
      <c r="X42" s="276"/>
    </row>
    <row r="43" spans="2:30" ht="12" customHeight="1" thickTop="1" thickBot="1">
      <c r="E43" s="285"/>
      <c r="F43" s="556">
        <f>heureConvert2Decimal(I43)</f>
        <v>12.051666666666668</v>
      </c>
      <c r="G43" s="579"/>
      <c r="H43" s="579"/>
      <c r="I43" s="826" t="s">
        <v>503</v>
      </c>
      <c r="J43" s="623"/>
      <c r="K43" s="623"/>
      <c r="L43" s="623"/>
      <c r="M43" s="623"/>
      <c r="N43" s="808"/>
      <c r="O43" s="400" t="str">
        <f>heureDecimal2Txt(F43)</f>
        <v>12:03:06.00(12.0516)</v>
      </c>
      <c r="P43" s="400"/>
      <c r="Q43" s="400"/>
      <c r="R43" s="400"/>
      <c r="S43" s="400"/>
      <c r="T43" s="400"/>
      <c r="U43" s="400"/>
      <c r="V43" s="400"/>
      <c r="W43" s="400"/>
      <c r="X43" s="400"/>
    </row>
    <row r="44" spans="2:30" ht="12" customHeight="1" thickTop="1" thickBot="1">
      <c r="E44" s="285"/>
      <c r="F44" s="579"/>
      <c r="G44" s="579"/>
      <c r="H44" s="579"/>
      <c r="I44" s="553"/>
      <c r="J44" s="554"/>
      <c r="K44" s="554"/>
      <c r="L44" s="554"/>
      <c r="M44" s="554"/>
      <c r="N44" s="810"/>
      <c r="O44" s="400"/>
      <c r="P44" s="400"/>
      <c r="Q44" s="400"/>
      <c r="R44" s="400"/>
      <c r="S44" s="400"/>
      <c r="T44" s="400"/>
      <c r="U44" s="400"/>
      <c r="V44" s="400"/>
      <c r="W44" s="400"/>
      <c r="X44" s="400"/>
    </row>
    <row r="45" spans="2:30" ht="15.75" thickTop="1"/>
    <row r="46" spans="2:30" ht="15.75" thickBot="1"/>
    <row r="47" spans="2:30" ht="15.75" thickBot="1">
      <c r="B47" s="772" t="s">
        <v>526</v>
      </c>
      <c r="C47" s="773"/>
      <c r="D47" s="773"/>
      <c r="E47" s="773"/>
      <c r="F47" s="773"/>
      <c r="G47" s="773"/>
      <c r="H47" s="773"/>
      <c r="I47" s="773"/>
      <c r="J47" s="773"/>
      <c r="K47" s="773"/>
      <c r="L47" s="773"/>
      <c r="M47" s="773"/>
      <c r="N47" s="773"/>
      <c r="O47" s="773"/>
      <c r="P47" s="773"/>
      <c r="Q47" s="773"/>
      <c r="R47" s="773"/>
      <c r="S47" s="773"/>
      <c r="T47" s="773"/>
      <c r="U47" s="773"/>
      <c r="V47" s="773"/>
      <c r="W47" s="773"/>
      <c r="X47" s="773"/>
      <c r="Y47" s="773"/>
      <c r="Z47" s="773"/>
      <c r="AA47" s="773"/>
      <c r="AB47" s="266"/>
    </row>
    <row r="49" spans="3:27">
      <c r="C49" s="801" t="s">
        <v>524</v>
      </c>
      <c r="D49" s="802"/>
      <c r="E49" s="802"/>
      <c r="F49" s="802"/>
      <c r="G49" s="802"/>
      <c r="H49" s="802"/>
      <c r="I49" s="802"/>
      <c r="J49" s="802"/>
      <c r="K49" s="802"/>
      <c r="L49" s="802"/>
      <c r="M49" s="802"/>
      <c r="N49" s="802"/>
      <c r="O49" s="802"/>
      <c r="P49" s="802"/>
      <c r="Q49" s="802"/>
      <c r="R49" s="803"/>
    </row>
    <row r="50" spans="3:27">
      <c r="C50" s="696" t="s">
        <v>151</v>
      </c>
      <c r="D50" s="696"/>
      <c r="E50" s="696">
        <f>F28</f>
        <v>260</v>
      </c>
      <c r="F50" s="696"/>
      <c r="G50" s="696"/>
      <c r="I50" s="824" t="s">
        <v>525</v>
      </c>
      <c r="J50" s="824"/>
      <c r="K50" s="770" t="b">
        <f>IF(E50&lt;180,TRUE,FALSE)</f>
        <v>0</v>
      </c>
      <c r="L50" s="770"/>
      <c r="N50" s="817" t="s">
        <v>497</v>
      </c>
      <c r="O50" s="817"/>
      <c r="P50" s="818">
        <f>E51*ABS(SIN(Outils!$F$10*Meridienne!E50))*(IF(K50,1,-1))</f>
        <v>-4.9240387650610398</v>
      </c>
      <c r="Q50" s="819"/>
      <c r="R50" s="822" t="s">
        <v>496</v>
      </c>
    </row>
    <row r="51" spans="3:27">
      <c r="C51" s="389" t="s">
        <v>150</v>
      </c>
      <c r="D51" s="389"/>
      <c r="E51" s="389">
        <f>F32</f>
        <v>5</v>
      </c>
      <c r="F51" s="389"/>
      <c r="G51" s="389"/>
      <c r="I51" s="825"/>
      <c r="J51" s="825"/>
      <c r="K51" s="771"/>
      <c r="L51" s="771"/>
      <c r="N51" s="776"/>
      <c r="O51" s="776"/>
      <c r="P51" s="820"/>
      <c r="Q51" s="821"/>
      <c r="R51" s="823"/>
    </row>
    <row r="54" spans="3:27">
      <c r="C54" s="801" t="s">
        <v>499</v>
      </c>
      <c r="D54" s="802"/>
      <c r="E54" s="802"/>
      <c r="F54" s="802"/>
      <c r="G54" s="802"/>
      <c r="H54" s="802"/>
      <c r="I54" s="802"/>
      <c r="J54" s="802"/>
      <c r="K54" s="815"/>
      <c r="L54" s="815"/>
      <c r="M54" s="815"/>
      <c r="N54" s="815"/>
      <c r="O54" s="816"/>
    </row>
    <row r="55" spans="3:27">
      <c r="C55" s="696" t="s">
        <v>475</v>
      </c>
      <c r="D55" s="696"/>
      <c r="E55" s="696">
        <f>F36</f>
        <v>46.1</v>
      </c>
      <c r="F55" s="696"/>
      <c r="G55" s="696"/>
      <c r="I55" s="775" t="s">
        <v>498</v>
      </c>
      <c r="J55" s="775"/>
      <c r="K55" s="831" t="s">
        <v>102</v>
      </c>
      <c r="L55" s="832">
        <f>$P$50/(60 * COS($E$55*Outils!$F$10))</f>
        <v>-0.11835462412189314</v>
      </c>
      <c r="M55" s="832"/>
      <c r="N55" s="832"/>
      <c r="O55" s="833" t="s">
        <v>500</v>
      </c>
      <c r="P55" s="776" t="str">
        <f>IF(K50,"Vers l'Est","Vers l'Ouest")</f>
        <v>Vers l'Ouest</v>
      </c>
      <c r="Q55" s="776"/>
      <c r="R55" s="776"/>
      <c r="U55" s="777" t="s">
        <v>529</v>
      </c>
      <c r="V55" s="778"/>
      <c r="W55" s="779"/>
      <c r="X55" s="783">
        <f>IF(K50,-1*ABS(L55),ABS(L55))</f>
        <v>0.11835462412189314</v>
      </c>
      <c r="Y55" s="784"/>
      <c r="Z55" s="784"/>
      <c r="AA55" s="787" t="s">
        <v>500</v>
      </c>
    </row>
    <row r="56" spans="3:27">
      <c r="C56" s="389" t="str">
        <f>N50</f>
        <v>VLong.</v>
      </c>
      <c r="D56" s="389"/>
      <c r="E56" s="389">
        <f>P50</f>
        <v>-4.9240387650610398</v>
      </c>
      <c r="F56" s="389"/>
      <c r="G56" s="389"/>
      <c r="I56" s="775"/>
      <c r="J56" s="775"/>
      <c r="K56" s="831"/>
      <c r="L56" s="832"/>
      <c r="M56" s="832"/>
      <c r="N56" s="832"/>
      <c r="O56" s="833"/>
      <c r="P56" s="776"/>
      <c r="Q56" s="776"/>
      <c r="R56" s="776"/>
      <c r="U56" s="780"/>
      <c r="V56" s="781"/>
      <c r="W56" s="782"/>
      <c r="X56" s="785"/>
      <c r="Y56" s="786"/>
      <c r="Z56" s="786"/>
      <c r="AA56" s="788"/>
    </row>
    <row r="59" spans="3:27" ht="18.75" customHeight="1">
      <c r="C59" s="812" t="s">
        <v>528</v>
      </c>
      <c r="D59" s="813"/>
      <c r="E59" s="813"/>
      <c r="F59" s="813"/>
      <c r="G59" s="813"/>
      <c r="H59" s="813"/>
      <c r="I59" s="813"/>
      <c r="J59" s="813"/>
      <c r="K59" s="813"/>
      <c r="L59" s="813"/>
      <c r="M59" s="813"/>
      <c r="N59" s="813"/>
      <c r="O59" s="814"/>
    </row>
    <row r="60" spans="3:27" ht="15" customHeight="1">
      <c r="C60" s="696" t="s">
        <v>337</v>
      </c>
      <c r="D60" s="696"/>
      <c r="E60" s="696">
        <f>F16</f>
        <v>-7.083333333333333</v>
      </c>
      <c r="F60" s="696"/>
      <c r="G60" s="696"/>
      <c r="I60" s="837" t="s">
        <v>504</v>
      </c>
      <c r="J60" s="838"/>
      <c r="K60" s="811">
        <f>longitude2LongitudeHoraire(E60)</f>
        <v>7.083333333333333</v>
      </c>
      <c r="L60" s="811"/>
      <c r="M60" s="811"/>
      <c r="N60" s="811"/>
      <c r="O60" s="258" t="s">
        <v>34</v>
      </c>
    </row>
    <row r="63" spans="3:27">
      <c r="C63" s="774" t="s">
        <v>505</v>
      </c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</row>
    <row r="64" spans="3:27" ht="15" customHeight="1" thickBot="1">
      <c r="C64" s="768" t="s">
        <v>527</v>
      </c>
      <c r="D64" s="768"/>
      <c r="E64" s="768"/>
      <c r="F64" s="768"/>
      <c r="G64" s="768"/>
      <c r="H64" s="768"/>
      <c r="I64" s="768"/>
      <c r="J64" s="768"/>
      <c r="K64" s="768"/>
      <c r="L64" s="768"/>
      <c r="M64" s="768"/>
      <c r="N64" s="768"/>
      <c r="O64" s="768"/>
      <c r="P64" s="298" t="s">
        <v>531</v>
      </c>
      <c r="Q64" s="769" t="s">
        <v>530</v>
      </c>
      <c r="R64" s="769"/>
      <c r="S64" s="769"/>
      <c r="T64" s="769"/>
      <c r="U64" s="769"/>
      <c r="V64" s="261">
        <v>15.002000000000001</v>
      </c>
      <c r="W64" s="262" t="s">
        <v>500</v>
      </c>
    </row>
    <row r="65" spans="2:66" ht="15.75" thickTop="1">
      <c r="C65" s="768"/>
      <c r="D65" s="768"/>
      <c r="E65" s="768"/>
      <c r="F65" s="768"/>
      <c r="G65" s="768"/>
      <c r="H65" s="768"/>
      <c r="I65" s="768"/>
      <c r="J65" s="768"/>
      <c r="K65" s="768"/>
      <c r="L65" s="768"/>
      <c r="M65" s="768"/>
      <c r="N65" s="768"/>
      <c r="O65" s="768"/>
    </row>
    <row r="66" spans="2:66">
      <c r="C66" s="768"/>
      <c r="D66" s="768"/>
      <c r="E66" s="768"/>
      <c r="F66" s="768"/>
      <c r="G66" s="768"/>
      <c r="H66" s="768"/>
      <c r="I66" s="768"/>
      <c r="J66" s="768"/>
      <c r="K66" s="768"/>
      <c r="L66" s="768"/>
      <c r="M66" s="768"/>
      <c r="N66" s="768"/>
      <c r="O66" s="768"/>
    </row>
    <row r="70" spans="2:66" ht="15" customHeight="1">
      <c r="H70" s="764" t="s">
        <v>532</v>
      </c>
      <c r="I70" s="764"/>
      <c r="J70" s="764"/>
      <c r="K70" s="764"/>
      <c r="L70" s="764"/>
      <c r="M70" s="764"/>
      <c r="N70" s="764"/>
      <c r="O70" s="764"/>
      <c r="P70" s="764"/>
      <c r="Q70" s="764"/>
      <c r="R70" s="764"/>
      <c r="S70" s="764"/>
      <c r="T70" s="764"/>
      <c r="U70" s="764"/>
      <c r="V70" s="762">
        <f>$K$60/($V$64-$L$55)</f>
        <v>0.46846343947734581</v>
      </c>
      <c r="W70" s="762"/>
      <c r="X70" s="762" t="s">
        <v>517</v>
      </c>
    </row>
    <row r="71" spans="2:66">
      <c r="H71" s="764"/>
      <c r="I71" s="764"/>
      <c r="J71" s="764"/>
      <c r="K71" s="764"/>
      <c r="L71" s="764"/>
      <c r="M71" s="764"/>
      <c r="N71" s="764"/>
      <c r="O71" s="764"/>
      <c r="P71" s="764"/>
      <c r="Q71" s="764"/>
      <c r="R71" s="764"/>
      <c r="S71" s="764"/>
      <c r="T71" s="764"/>
      <c r="U71" s="764"/>
      <c r="V71" s="762"/>
      <c r="W71" s="762"/>
      <c r="X71" s="763"/>
    </row>
    <row r="72" spans="2:66">
      <c r="H72" s="765" t="s">
        <v>533</v>
      </c>
      <c r="I72" s="765"/>
      <c r="J72" s="765"/>
      <c r="K72" s="765"/>
      <c r="L72" s="765"/>
      <c r="M72" s="765"/>
      <c r="N72" s="765"/>
      <c r="O72" s="765"/>
      <c r="P72" s="765"/>
      <c r="Q72" s="765"/>
      <c r="R72" s="765"/>
      <c r="S72" s="765"/>
      <c r="T72" s="765"/>
      <c r="U72" s="765"/>
      <c r="V72" s="753">
        <f>F43+V70</f>
        <v>12.520130106144013</v>
      </c>
      <c r="W72" s="754"/>
      <c r="X72" s="766" t="str">
        <f>heureDecimal2Txt(V72)</f>
        <v>12:31:12.46(12.5201)</v>
      </c>
      <c r="Y72" s="767"/>
      <c r="Z72" s="767"/>
      <c r="AA72" s="767"/>
      <c r="AB72" s="767"/>
      <c r="AC72" s="767"/>
    </row>
    <row r="73" spans="2:66">
      <c r="H73" s="765"/>
      <c r="I73" s="765"/>
      <c r="J73" s="765"/>
      <c r="K73" s="765"/>
      <c r="L73" s="765"/>
      <c r="M73" s="765"/>
      <c r="N73" s="765"/>
      <c r="O73" s="765"/>
      <c r="P73" s="765"/>
      <c r="Q73" s="765"/>
      <c r="R73" s="765"/>
      <c r="S73" s="765"/>
      <c r="T73" s="765"/>
      <c r="U73" s="765"/>
      <c r="V73" s="754"/>
      <c r="W73" s="754"/>
      <c r="X73" s="766"/>
      <c r="Y73" s="767"/>
      <c r="Z73" s="767"/>
      <c r="AA73" s="767"/>
      <c r="AB73" s="767"/>
      <c r="AC73" s="767"/>
    </row>
    <row r="74" spans="2:66">
      <c r="H74" s="764" t="s">
        <v>534</v>
      </c>
      <c r="I74" s="764"/>
      <c r="J74" s="764"/>
      <c r="K74" s="764"/>
      <c r="L74" s="764"/>
      <c r="M74" s="764"/>
      <c r="N74" s="764"/>
      <c r="O74" s="764"/>
      <c r="P74" s="764"/>
      <c r="Q74" s="764"/>
      <c r="R74" s="764"/>
      <c r="S74" s="764"/>
      <c r="T74" s="764"/>
      <c r="U74" s="764"/>
      <c r="V74" s="761">
        <f>V72-F21</f>
        <v>2.1798523283662341</v>
      </c>
      <c r="W74" s="762"/>
      <c r="X74" s="762" t="s">
        <v>517</v>
      </c>
    </row>
    <row r="75" spans="2:66">
      <c r="H75" s="764"/>
      <c r="I75" s="764"/>
      <c r="J75" s="764"/>
      <c r="K75" s="764"/>
      <c r="L75" s="764"/>
      <c r="M75" s="764"/>
      <c r="N75" s="764"/>
      <c r="O75" s="764"/>
      <c r="P75" s="764"/>
      <c r="Q75" s="764"/>
      <c r="R75" s="764"/>
      <c r="S75" s="764"/>
      <c r="T75" s="764"/>
      <c r="U75" s="764"/>
      <c r="V75" s="762"/>
      <c r="W75" s="762"/>
      <c r="X75" s="763"/>
    </row>
    <row r="76" spans="2:66">
      <c r="H76" s="765" t="s">
        <v>538</v>
      </c>
      <c r="I76" s="765"/>
      <c r="J76" s="765"/>
      <c r="K76" s="765"/>
      <c r="L76" s="765"/>
      <c r="M76" s="765"/>
      <c r="N76" s="765"/>
      <c r="O76" s="765"/>
      <c r="P76" s="765"/>
      <c r="Q76" s="765"/>
      <c r="R76" s="765"/>
      <c r="S76" s="765"/>
      <c r="T76" s="765"/>
      <c r="U76" s="765"/>
      <c r="V76" s="753">
        <f>V74*E51</f>
        <v>10.899261641831171</v>
      </c>
      <c r="W76" s="754"/>
      <c r="X76" s="755" t="s">
        <v>149</v>
      </c>
    </row>
    <row r="77" spans="2:66">
      <c r="H77" s="765"/>
      <c r="I77" s="765"/>
      <c r="J77" s="765"/>
      <c r="K77" s="765"/>
      <c r="L77" s="765"/>
      <c r="M77" s="765"/>
      <c r="N77" s="765"/>
      <c r="O77" s="765"/>
      <c r="P77" s="765"/>
      <c r="Q77" s="765"/>
      <c r="R77" s="765"/>
      <c r="S77" s="765"/>
      <c r="T77" s="765"/>
      <c r="U77" s="765"/>
      <c r="V77" s="754"/>
      <c r="W77" s="754"/>
      <c r="X77" s="756"/>
    </row>
    <row r="79" spans="2:66" ht="15.75" thickBot="1"/>
    <row r="80" spans="2:66" s="276" customFormat="1" ht="17.25" customHeight="1" thickBot="1">
      <c r="B80" s="293" t="s">
        <v>0</v>
      </c>
      <c r="C80" s="294"/>
      <c r="D80" s="294"/>
      <c r="E80" s="230" t="str">
        <f>N7</f>
        <v>2025/6/30 [YYYY/MM/DD]</v>
      </c>
      <c r="F80" s="230"/>
      <c r="G80" s="283"/>
      <c r="H80" s="284"/>
      <c r="I80" s="230" t="str">
        <f>heureDecimal2Txt(E84)</f>
        <v>12:31:12.46(12.5201)</v>
      </c>
      <c r="J80" s="230"/>
      <c r="K80" s="230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9"/>
      <c r="AB80" s="146"/>
      <c r="AC80" s="277"/>
      <c r="AD80" s="277"/>
      <c r="AE80" s="277"/>
      <c r="AF80" s="277"/>
      <c r="AG80" s="277"/>
      <c r="AH80" s="277"/>
      <c r="AI80" s="277"/>
      <c r="AJ80" s="277"/>
      <c r="AK80" s="277"/>
      <c r="AL80" s="277"/>
      <c r="AM80" s="277"/>
      <c r="AN80" s="277"/>
      <c r="AO80" s="277"/>
      <c r="AP80" s="277"/>
      <c r="AQ80" s="277"/>
      <c r="AR80" s="277"/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8"/>
    </row>
    <row r="81" spans="2:66" s="276" customFormat="1" ht="17.25" customHeight="1">
      <c r="C81" s="456" t="s">
        <v>1</v>
      </c>
      <c r="D81" s="457"/>
      <c r="E81" s="751" t="s">
        <v>464</v>
      </c>
      <c r="F81" s="752"/>
      <c r="G81" s="752"/>
      <c r="H81" s="300"/>
      <c r="I81" s="301"/>
      <c r="J81" s="301"/>
      <c r="K81" s="301"/>
      <c r="L81" s="301"/>
      <c r="M81" s="301"/>
      <c r="N81" s="301"/>
      <c r="O81" s="301"/>
      <c r="AB81" s="145"/>
      <c r="AC81" s="277"/>
      <c r="AD81" s="277"/>
      <c r="AE81" s="277"/>
      <c r="AF81" s="277"/>
      <c r="AG81" s="277"/>
      <c r="AH81" s="277"/>
      <c r="AI81" s="277"/>
      <c r="AJ81" s="277"/>
      <c r="AK81" s="277"/>
      <c r="AL81" s="277"/>
      <c r="AM81" s="277"/>
      <c r="AN81" s="277"/>
      <c r="AO81" s="277"/>
      <c r="AP81" s="277"/>
      <c r="AQ81" s="277"/>
      <c r="AR81" s="277"/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8"/>
    </row>
    <row r="82" spans="2:66" s="276" customFormat="1" ht="17.25" customHeight="1">
      <c r="C82" s="434" t="s">
        <v>11</v>
      </c>
      <c r="D82" s="436"/>
      <c r="E82" s="434" t="s">
        <v>2</v>
      </c>
      <c r="F82" s="435"/>
      <c r="G82" s="435"/>
      <c r="H82" s="436"/>
      <c r="I82" s="277"/>
      <c r="J82" s="277"/>
      <c r="K82" s="277"/>
      <c r="L82" s="277"/>
      <c r="M82" s="277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AB82" s="147"/>
      <c r="AC82" s="277"/>
      <c r="AD82" s="277"/>
      <c r="AE82" s="277"/>
      <c r="AF82" s="277"/>
      <c r="AG82" s="277"/>
      <c r="AH82" s="277"/>
      <c r="AI82" s="277"/>
      <c r="AJ82" s="277"/>
      <c r="AK82" s="277"/>
      <c r="AL82" s="277"/>
      <c r="AM82" s="277"/>
      <c r="AN82" s="277"/>
      <c r="AO82" s="277"/>
      <c r="AP82" s="277"/>
      <c r="AQ82" s="277"/>
      <c r="AR82" s="277"/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8"/>
    </row>
    <row r="83" spans="2:66" s="276" customFormat="1" ht="17.25" customHeight="1" thickBot="1">
      <c r="C83" s="458"/>
      <c r="D83" s="459"/>
      <c r="E83" s="437"/>
      <c r="F83" s="438"/>
      <c r="G83" s="438"/>
      <c r="H83" s="439"/>
      <c r="I83" s="277"/>
      <c r="J83" s="277"/>
      <c r="K83" s="277"/>
      <c r="L83" s="277"/>
      <c r="M83" s="277"/>
      <c r="N83" s="277"/>
      <c r="O83" s="277"/>
      <c r="P83" s="277"/>
      <c r="Q83" s="277"/>
      <c r="R83" s="277"/>
      <c r="S83" s="277"/>
      <c r="T83" s="277"/>
      <c r="U83" s="277"/>
      <c r="V83" s="277"/>
      <c r="W83" s="277"/>
      <c r="X83" s="277"/>
      <c r="Y83" s="277"/>
      <c r="AB83" s="145"/>
      <c r="AC83" s="277"/>
      <c r="AD83" s="277"/>
      <c r="AE83" s="277"/>
      <c r="AF83" s="277"/>
      <c r="AG83" s="277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8"/>
    </row>
    <row r="84" spans="2:66" s="276" customFormat="1" ht="17.25" customHeight="1" thickTop="1" thickBot="1">
      <c r="C84" s="437"/>
      <c r="D84" s="439"/>
      <c r="E84" s="747">
        <f>V72</f>
        <v>12.520130106144013</v>
      </c>
      <c r="F84" s="747"/>
      <c r="G84" s="747"/>
      <c r="H84" s="747"/>
      <c r="I84" s="646" t="str" cm="1">
        <f t="array" ref="I84">heureDecimal2Txt(E84)</f>
        <v>12:31:12.46(12.5201)</v>
      </c>
      <c r="J84" s="647"/>
      <c r="K84" s="647"/>
      <c r="L84" s="648"/>
      <c r="M84" s="277"/>
      <c r="N84" s="277"/>
      <c r="O84" s="277"/>
      <c r="P84" s="277"/>
      <c r="Q84" s="277"/>
      <c r="R84" s="277"/>
      <c r="S84" s="277"/>
      <c r="T84" s="277"/>
      <c r="U84" s="277"/>
      <c r="V84" s="277"/>
      <c r="W84" s="277"/>
      <c r="X84" s="277"/>
      <c r="Y84" s="277"/>
      <c r="AB84" s="145"/>
      <c r="AC84" s="277"/>
      <c r="AD84" s="277"/>
      <c r="AE84" s="277"/>
      <c r="AF84" s="277"/>
      <c r="AG84" s="277"/>
      <c r="AH84" s="277"/>
      <c r="AI84" s="277"/>
      <c r="AJ84" s="277"/>
      <c r="AK84" s="277"/>
      <c r="AL84" s="277"/>
      <c r="AM84" s="277"/>
      <c r="AN84" s="277"/>
      <c r="AO84" s="277"/>
      <c r="AP84" s="277"/>
      <c r="AQ84" s="277"/>
      <c r="AR84" s="277"/>
      <c r="AS84" s="277"/>
      <c r="AT84" s="277"/>
      <c r="AU84" s="277"/>
      <c r="AV84" s="277"/>
      <c r="AW84" s="277"/>
      <c r="AX84" s="277"/>
      <c r="AY84" s="277"/>
      <c r="AZ84" s="277"/>
      <c r="BA84" s="277"/>
      <c r="BB84" s="277"/>
      <c r="BC84" s="277"/>
      <c r="BD84" s="277"/>
      <c r="BE84" s="277"/>
      <c r="BF84" s="277"/>
      <c r="BG84" s="277"/>
      <c r="BH84" s="277"/>
      <c r="BI84" s="277"/>
      <c r="BJ84" s="277"/>
      <c r="BK84" s="277"/>
      <c r="BL84" s="277"/>
      <c r="BM84" s="277"/>
      <c r="BN84" s="278"/>
    </row>
    <row r="85" spans="2:66" ht="17.25" customHeight="1" thickTop="1">
      <c r="B85" s="276"/>
      <c r="I85" s="302"/>
      <c r="J85" s="302"/>
      <c r="K85" s="302"/>
      <c r="V85" s="302"/>
      <c r="W85" s="302"/>
      <c r="X85" s="302"/>
      <c r="Y85" s="302"/>
      <c r="Z85" s="276"/>
      <c r="AA85" s="276"/>
      <c r="AB85" s="145"/>
      <c r="BN85" s="278"/>
    </row>
    <row r="86" spans="2:66" s="276" customFormat="1" ht="17.25" customHeight="1" thickBot="1">
      <c r="C86" s="303"/>
      <c r="D86" s="303"/>
      <c r="E86" s="285"/>
      <c r="F86" s="285"/>
      <c r="G86" s="285"/>
      <c r="H86" s="285"/>
      <c r="I86" s="285"/>
      <c r="J86" s="285"/>
      <c r="K86" s="285"/>
      <c r="L86" s="285"/>
      <c r="M86" s="285"/>
      <c r="N86" s="285"/>
      <c r="O86" s="285"/>
      <c r="P86" s="285"/>
      <c r="Q86" s="285"/>
      <c r="R86" s="285"/>
      <c r="S86" s="285"/>
      <c r="T86" s="285"/>
      <c r="U86" s="285"/>
      <c r="V86" s="285"/>
      <c r="W86" s="285"/>
      <c r="X86" s="285"/>
      <c r="Y86" s="285"/>
      <c r="AB86" s="145"/>
      <c r="AC86" s="277"/>
      <c r="AD86" s="277"/>
      <c r="AE86" s="277"/>
      <c r="AF86" s="277"/>
      <c r="AG86" s="277"/>
      <c r="AH86" s="277"/>
      <c r="AI86" s="277"/>
      <c r="AJ86" s="277"/>
      <c r="AK86" s="277"/>
      <c r="AL86" s="277"/>
      <c r="AM86" s="277"/>
      <c r="AN86" s="277"/>
      <c r="AO86" s="277"/>
      <c r="AP86" s="277"/>
      <c r="AQ86" s="277"/>
      <c r="AR86" s="277"/>
      <c r="AS86" s="277"/>
      <c r="AT86" s="277"/>
      <c r="AU86" s="277"/>
      <c r="AV86" s="277"/>
      <c r="AW86" s="277"/>
      <c r="AX86" s="277"/>
      <c r="AY86" s="277"/>
      <c r="AZ86" s="277"/>
      <c r="BA86" s="277"/>
      <c r="BB86" s="277"/>
      <c r="BC86" s="277"/>
      <c r="BD86" s="277"/>
      <c r="BE86" s="277"/>
      <c r="BF86" s="277"/>
      <c r="BG86" s="277"/>
      <c r="BH86" s="277"/>
      <c r="BI86" s="277"/>
      <c r="BJ86" s="277"/>
      <c r="BK86" s="277"/>
      <c r="BL86" s="277"/>
      <c r="BM86" s="277"/>
      <c r="BN86" s="278"/>
    </row>
    <row r="87" spans="2:66" s="276" customFormat="1" ht="17.25" customHeight="1" thickBot="1">
      <c r="B87" s="293" t="s">
        <v>20</v>
      </c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146"/>
      <c r="AC87" s="277"/>
      <c r="AD87" s="277"/>
      <c r="AE87" s="277"/>
      <c r="AF87" s="277"/>
      <c r="AG87" s="277"/>
      <c r="AH87" s="277"/>
      <c r="AI87" s="277"/>
      <c r="AJ87" s="277"/>
      <c r="AK87" s="277"/>
      <c r="AL87" s="277"/>
      <c r="AM87" s="277"/>
      <c r="AN87" s="277"/>
      <c r="AO87" s="277"/>
      <c r="AP87" s="277"/>
      <c r="AQ87" s="277"/>
      <c r="AR87" s="277"/>
      <c r="AS87" s="277"/>
      <c r="AT87" s="277"/>
      <c r="AU87" s="277"/>
      <c r="AV87" s="277"/>
      <c r="AW87" s="277"/>
      <c r="AX87" s="277"/>
      <c r="AY87" s="277"/>
      <c r="AZ87" s="277"/>
      <c r="BA87" s="277"/>
      <c r="BB87" s="277"/>
      <c r="BC87" s="277"/>
      <c r="BD87" s="277"/>
      <c r="BE87" s="277"/>
      <c r="BF87" s="277"/>
      <c r="BG87" s="277"/>
      <c r="BH87" s="277"/>
      <c r="BI87" s="277"/>
      <c r="BJ87" s="277"/>
      <c r="BK87" s="277"/>
      <c r="BL87" s="277"/>
      <c r="BM87" s="277"/>
      <c r="BN87" s="278"/>
    </row>
    <row r="88" spans="2:66" s="276" customFormat="1" ht="18" customHeight="1" thickBot="1">
      <c r="B88" s="277"/>
      <c r="C88" s="421" t="s">
        <v>331</v>
      </c>
      <c r="D88" s="422"/>
      <c r="E88" s="422"/>
      <c r="F88" s="422"/>
      <c r="G88" s="422"/>
      <c r="H88" s="422"/>
      <c r="I88" s="423"/>
      <c r="J88" s="748" t="s">
        <v>333</v>
      </c>
      <c r="K88" s="749"/>
      <c r="L88" s="749"/>
      <c r="M88" s="749"/>
      <c r="N88" s="749"/>
      <c r="O88" s="750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145"/>
      <c r="AC88" s="304" t="s">
        <v>332</v>
      </c>
      <c r="AD88" s="304" t="s">
        <v>333</v>
      </c>
      <c r="AE88" s="277"/>
      <c r="AF88" s="277"/>
      <c r="AG88" s="277"/>
      <c r="AH88" s="277"/>
      <c r="AI88" s="277"/>
      <c r="AJ88" s="277"/>
      <c r="AK88" s="277"/>
      <c r="AL88" s="277"/>
      <c r="AM88" s="277"/>
      <c r="AN88" s="277"/>
      <c r="AO88" s="277"/>
      <c r="AP88" s="277"/>
      <c r="AQ88" s="277"/>
      <c r="AR88" s="277"/>
      <c r="AS88" s="277"/>
      <c r="AT88" s="277"/>
      <c r="AU88" s="277"/>
      <c r="AV88" s="277"/>
      <c r="AW88" s="277"/>
      <c r="AX88" s="277"/>
      <c r="AY88" s="277"/>
      <c r="AZ88" s="277"/>
      <c r="BA88" s="277"/>
      <c r="BB88" s="277"/>
      <c r="BC88" s="277"/>
      <c r="BD88" s="277"/>
      <c r="BE88" s="277"/>
      <c r="BF88" s="277"/>
      <c r="BG88" s="277"/>
      <c r="BH88" s="277"/>
      <c r="BI88" s="277"/>
      <c r="BJ88" s="277"/>
      <c r="BK88" s="277"/>
      <c r="BL88" s="277"/>
      <c r="BM88" s="277"/>
      <c r="BN88" s="278"/>
    </row>
    <row r="89" spans="2:66" s="276" customFormat="1" ht="18" customHeight="1" thickTop="1" thickBot="1">
      <c r="B89" s="285"/>
      <c r="C89" s="421" t="s">
        <v>230</v>
      </c>
      <c r="D89" s="422"/>
      <c r="E89" s="422"/>
      <c r="F89" s="422"/>
      <c r="G89" s="422"/>
      <c r="H89" s="422"/>
      <c r="I89" s="423"/>
      <c r="J89" s="418" cm="1">
        <f t="array" ref="J89">angleConvert2Decimal(M89)</f>
        <v>0.9</v>
      </c>
      <c r="K89" s="419"/>
      <c r="L89" s="420"/>
      <c r="M89" s="415" t="s">
        <v>133</v>
      </c>
      <c r="N89" s="416"/>
      <c r="O89" s="417"/>
      <c r="P89" s="412" t="str" cm="1">
        <f t="array" ref="P89">angleDecimal2Txt(J89)</f>
        <v>+00°54.00 (+00.9000) [+00°54'00.00]</v>
      </c>
      <c r="Q89" s="413"/>
      <c r="R89" s="413"/>
      <c r="S89" s="413"/>
      <c r="T89" s="413"/>
      <c r="U89" s="413"/>
      <c r="V89" s="413"/>
      <c r="W89" s="413"/>
      <c r="X89" s="414"/>
      <c r="Y89" s="285"/>
      <c r="AB89" s="145"/>
      <c r="AC89" s="277"/>
      <c r="AD89" s="277"/>
      <c r="AE89" s="277"/>
      <c r="AF89" s="277"/>
      <c r="AG89" s="277"/>
      <c r="AH89" s="277"/>
      <c r="AI89" s="277"/>
      <c r="AJ89" s="277"/>
      <c r="AK89" s="277"/>
      <c r="AL89" s="277"/>
      <c r="AM89" s="277"/>
      <c r="AN89" s="277"/>
      <c r="AO89" s="277"/>
      <c r="AP89" s="277"/>
      <c r="AQ89" s="277"/>
      <c r="AR89" s="277"/>
      <c r="AS89" s="277"/>
      <c r="AT89" s="277"/>
      <c r="AU89" s="277"/>
      <c r="AV89" s="277"/>
      <c r="AW89" s="277"/>
      <c r="AX89" s="277"/>
      <c r="AY89" s="277"/>
      <c r="AZ89" s="277"/>
      <c r="BA89" s="277"/>
      <c r="BB89" s="277"/>
      <c r="BC89" s="277"/>
      <c r="BD89" s="277"/>
      <c r="BE89" s="277"/>
      <c r="BF89" s="277"/>
      <c r="BG89" s="277"/>
      <c r="BH89" s="277"/>
      <c r="BI89" s="277"/>
      <c r="BJ89" s="277"/>
      <c r="BK89" s="277"/>
      <c r="BL89" s="277"/>
      <c r="BM89" s="277"/>
      <c r="BN89" s="278"/>
    </row>
    <row r="90" spans="2:66" s="276" customFormat="1" ht="18" customHeight="1" thickTop="1" thickBot="1">
      <c r="C90" s="541" t="s">
        <v>229</v>
      </c>
      <c r="D90" s="541"/>
      <c r="E90" s="541"/>
      <c r="F90" s="541"/>
      <c r="G90" s="541"/>
      <c r="H90" s="541"/>
      <c r="I90" s="541"/>
      <c r="J90" s="557" cm="1">
        <f t="array" ref="J90">angleConvert2Decimal(M90)</f>
        <v>33.4</v>
      </c>
      <c r="K90" s="570"/>
      <c r="L90" s="538"/>
      <c r="M90" s="471" t="s">
        <v>393</v>
      </c>
      <c r="N90" s="472"/>
      <c r="O90" s="473"/>
      <c r="P90" s="402" t="str" cm="1">
        <f t="array" ref="P90">angleDecimal2Txt(J90)</f>
        <v>+33°24.00 (+33.3999) [+33°24'00.00]</v>
      </c>
      <c r="Q90" s="402"/>
      <c r="R90" s="402"/>
      <c r="S90" s="402"/>
      <c r="T90" s="402"/>
      <c r="U90" s="402"/>
      <c r="V90" s="402"/>
      <c r="W90" s="402"/>
      <c r="X90" s="402"/>
      <c r="Y90" s="285"/>
      <c r="AB90" s="145"/>
      <c r="AC90" s="277"/>
      <c r="AD90" s="277"/>
      <c r="AE90" s="277"/>
      <c r="AF90" s="277"/>
      <c r="AG90" s="277"/>
      <c r="AH90" s="277"/>
      <c r="AI90" s="277"/>
      <c r="AJ90" s="277"/>
      <c r="AK90" s="277"/>
      <c r="AL90" s="277"/>
      <c r="AM90" s="277"/>
      <c r="AN90" s="277"/>
      <c r="AO90" s="277"/>
      <c r="AP90" s="277"/>
      <c r="AQ90" s="277"/>
      <c r="AR90" s="277"/>
      <c r="AS90" s="277"/>
      <c r="AT90" s="277"/>
      <c r="AU90" s="277"/>
      <c r="AV90" s="277"/>
      <c r="AW90" s="277"/>
      <c r="AX90" s="277"/>
      <c r="AY90" s="277"/>
      <c r="AZ90" s="277"/>
      <c r="BA90" s="277"/>
      <c r="BB90" s="277"/>
      <c r="BC90" s="277"/>
      <c r="BD90" s="277"/>
      <c r="BE90" s="277"/>
      <c r="BF90" s="277"/>
      <c r="BG90" s="277"/>
      <c r="BH90" s="277"/>
      <c r="BI90" s="277"/>
      <c r="BJ90" s="277"/>
      <c r="BK90" s="277"/>
      <c r="BL90" s="277"/>
      <c r="BM90" s="277"/>
      <c r="BN90" s="278"/>
    </row>
    <row r="91" spans="2:66" s="276" customFormat="1" ht="18" customHeight="1" thickTop="1" thickBot="1">
      <c r="C91" s="541" t="s">
        <v>239</v>
      </c>
      <c r="D91" s="541"/>
      <c r="E91" s="541"/>
      <c r="F91" s="541"/>
      <c r="G91" s="541"/>
      <c r="H91" s="541"/>
      <c r="I91" s="541"/>
      <c r="J91" s="557" cm="1">
        <f t="array" ref="J91">angleConvert2Decimal(M91)</f>
        <v>16.25</v>
      </c>
      <c r="K91" s="570"/>
      <c r="L91" s="538"/>
      <c r="M91" s="471">
        <f>(J90-J89)/2</f>
        <v>16.25</v>
      </c>
      <c r="N91" s="472"/>
      <c r="O91" s="473"/>
      <c r="P91" s="402" t="str" cm="1">
        <f t="array" ref="P91">angleDecimal2Txt(J91)</f>
        <v>+16°15.00 (+16.2500) [+16°15'00.00]</v>
      </c>
      <c r="Q91" s="402"/>
      <c r="R91" s="402"/>
      <c r="S91" s="402"/>
      <c r="T91" s="402"/>
      <c r="U91" s="402"/>
      <c r="V91" s="402"/>
      <c r="W91" s="402"/>
      <c r="X91" s="402"/>
      <c r="Y91" s="285"/>
      <c r="AB91" s="145"/>
      <c r="AC91" s="277"/>
      <c r="AD91" s="277"/>
      <c r="AE91" s="277"/>
      <c r="AF91" s="277"/>
      <c r="AG91" s="277"/>
      <c r="AH91" s="277"/>
      <c r="AI91" s="277"/>
      <c r="AJ91" s="277"/>
      <c r="AK91" s="277"/>
      <c r="AL91" s="277"/>
      <c r="AM91" s="277"/>
      <c r="AN91" s="277"/>
      <c r="AO91" s="277"/>
      <c r="AP91" s="277"/>
      <c r="AQ91" s="277"/>
      <c r="AR91" s="277"/>
      <c r="AS91" s="277"/>
      <c r="AT91" s="277"/>
      <c r="AU91" s="277"/>
      <c r="AV91" s="277"/>
      <c r="AW91" s="277"/>
      <c r="AX91" s="277"/>
      <c r="AY91" s="277"/>
      <c r="AZ91" s="277"/>
      <c r="BA91" s="277"/>
      <c r="BB91" s="277"/>
      <c r="BC91" s="277"/>
      <c r="BD91" s="277"/>
      <c r="BE91" s="277"/>
      <c r="BF91" s="277"/>
      <c r="BG91" s="277"/>
      <c r="BH91" s="277"/>
      <c r="BI91" s="277"/>
      <c r="BJ91" s="277"/>
      <c r="BK91" s="277"/>
      <c r="BL91" s="277"/>
      <c r="BM91" s="277"/>
      <c r="BN91" s="278"/>
    </row>
    <row r="92" spans="2:66" s="276" customFormat="1" ht="18" customHeight="1" thickTop="1" thickBot="1">
      <c r="C92" s="649" t="s">
        <v>21</v>
      </c>
      <c r="D92" s="649"/>
      <c r="E92" s="649"/>
      <c r="F92" s="649"/>
      <c r="G92" s="649"/>
      <c r="H92" s="649"/>
      <c r="I92" s="649"/>
      <c r="J92" s="619">
        <f>M92</f>
        <v>2</v>
      </c>
      <c r="K92" s="620"/>
      <c r="L92" s="621"/>
      <c r="M92" s="583">
        <v>2</v>
      </c>
      <c r="N92" s="583"/>
      <c r="O92" s="583"/>
      <c r="P92" s="285"/>
      <c r="Q92" s="285"/>
      <c r="R92" s="285"/>
      <c r="S92" s="285"/>
      <c r="T92" s="285"/>
      <c r="U92" s="285"/>
      <c r="V92" s="285"/>
      <c r="W92" s="285"/>
      <c r="X92" s="285"/>
      <c r="Y92" s="285"/>
      <c r="AB92" s="145"/>
      <c r="AC92" s="277"/>
      <c r="AD92" s="277"/>
      <c r="AE92" s="277"/>
      <c r="AF92" s="277"/>
      <c r="AG92" s="277"/>
      <c r="AH92" s="277"/>
      <c r="AI92" s="277"/>
      <c r="AJ92" s="277"/>
      <c r="AK92" s="277"/>
      <c r="AL92" s="277"/>
      <c r="AM92" s="277"/>
      <c r="AN92" s="277"/>
      <c r="AO92" s="277"/>
      <c r="AP92" s="277"/>
      <c r="AQ92" s="277"/>
      <c r="AR92" s="277"/>
      <c r="AS92" s="277"/>
      <c r="AT92" s="277"/>
      <c r="AU92" s="277"/>
      <c r="AV92" s="277"/>
      <c r="AW92" s="277"/>
      <c r="AX92" s="277"/>
      <c r="AY92" s="277"/>
      <c r="AZ92" s="277"/>
      <c r="BA92" s="277"/>
      <c r="BB92" s="277"/>
      <c r="BC92" s="277"/>
      <c r="BD92" s="277"/>
      <c r="BE92" s="277"/>
      <c r="BF92" s="277"/>
      <c r="BG92" s="277"/>
      <c r="BH92" s="277"/>
      <c r="BI92" s="277"/>
      <c r="BJ92" s="277"/>
      <c r="BK92" s="277"/>
      <c r="BL92" s="277"/>
      <c r="BM92" s="277"/>
      <c r="BN92" s="278"/>
    </row>
    <row r="93" spans="2:66" s="276" customFormat="1" ht="18" customHeight="1" thickTop="1" thickBot="1">
      <c r="B93" s="285"/>
      <c r="C93" s="676" t="s">
        <v>22</v>
      </c>
      <c r="D93" s="677"/>
      <c r="E93" s="677"/>
      <c r="F93" s="677"/>
      <c r="G93" s="677"/>
      <c r="H93" s="677"/>
      <c r="I93" s="678"/>
      <c r="J93" s="557" cm="1">
        <f t="array" ref="J93">angleConvert2Decimal(M93)</f>
        <v>2.1666666666666667E-2</v>
      </c>
      <c r="K93" s="570"/>
      <c r="L93" s="538"/>
      <c r="M93" s="582" t="s">
        <v>495</v>
      </c>
      <c r="N93" s="583"/>
      <c r="O93" s="583"/>
      <c r="P93" s="402" t="str" cm="1">
        <f t="array" ref="P93">angleDecimal2Txt(J93)</f>
        <v>+00°01.30 (+00.0216) [+00°01'18.00]</v>
      </c>
      <c r="Q93" s="402"/>
      <c r="R93" s="402"/>
      <c r="S93" s="402"/>
      <c r="T93" s="402"/>
      <c r="U93" s="402"/>
      <c r="V93" s="402"/>
      <c r="W93" s="402"/>
      <c r="X93" s="402"/>
      <c r="Y93" s="285"/>
      <c r="AB93" s="145"/>
      <c r="AC93" s="277"/>
      <c r="AD93" s="277"/>
      <c r="AE93" s="277"/>
      <c r="AF93" s="277"/>
      <c r="AG93" s="277"/>
      <c r="AH93" s="277"/>
      <c r="AI93" s="277"/>
      <c r="AJ93" s="277"/>
      <c r="AK93" s="277"/>
      <c r="AL93" s="277"/>
      <c r="AM93" s="277"/>
      <c r="AN93" s="277"/>
      <c r="AO93" s="277"/>
      <c r="AP93" s="277"/>
      <c r="AQ93" s="277"/>
      <c r="AR93" s="277"/>
      <c r="AS93" s="277"/>
      <c r="AT93" s="277"/>
      <c r="AU93" s="277"/>
      <c r="AV93" s="277"/>
      <c r="AW93" s="277"/>
      <c r="AX93" s="277"/>
      <c r="AY93" s="277"/>
      <c r="AZ93" s="277"/>
      <c r="BA93" s="277"/>
      <c r="BB93" s="277"/>
      <c r="BC93" s="277"/>
      <c r="BD93" s="277"/>
      <c r="BE93" s="277"/>
      <c r="BF93" s="277"/>
      <c r="BG93" s="277"/>
      <c r="BH93" s="277"/>
      <c r="BI93" s="277"/>
      <c r="BJ93" s="277"/>
      <c r="BK93" s="277"/>
      <c r="BL93" s="277"/>
      <c r="BM93" s="277"/>
      <c r="BN93" s="278"/>
    </row>
    <row r="94" spans="2:66" s="276" customFormat="1" ht="18" customHeight="1" thickTop="1" thickBot="1">
      <c r="C94" s="683" t="s">
        <v>32</v>
      </c>
      <c r="D94" s="683"/>
      <c r="E94" s="683"/>
      <c r="F94" s="683"/>
      <c r="G94" s="683"/>
      <c r="H94" s="683"/>
      <c r="I94" s="683"/>
      <c r="J94" s="733" cm="1">
        <f t="array" ref="J94">IF(J88=AC88,J91,angleConvert2Decimal(M94))</f>
        <v>66.95</v>
      </c>
      <c r="K94" s="734"/>
      <c r="L94" s="735"/>
      <c r="M94" s="582" t="s">
        <v>506</v>
      </c>
      <c r="N94" s="583"/>
      <c r="O94" s="583"/>
      <c r="P94" s="402" t="str" cm="1">
        <f t="array" ref="P94">angleDecimal2Txt(J94)</f>
        <v>+66°57.00 (+66.9500) [+66°57'00.00]</v>
      </c>
      <c r="Q94" s="402"/>
      <c r="R94" s="402"/>
      <c r="S94" s="402"/>
      <c r="T94" s="402"/>
      <c r="U94" s="402"/>
      <c r="V94" s="402"/>
      <c r="W94" s="402"/>
      <c r="X94" s="402"/>
      <c r="Y94" s="285"/>
      <c r="AB94" s="145"/>
      <c r="AC94" s="277"/>
      <c r="AD94" s="277"/>
      <c r="AE94" s="277"/>
      <c r="AF94" s="277"/>
      <c r="AG94" s="277"/>
      <c r="AH94" s="277"/>
      <c r="AI94" s="277"/>
      <c r="AJ94" s="277"/>
      <c r="AK94" s="277"/>
      <c r="AL94" s="277"/>
      <c r="AM94" s="277"/>
      <c r="AN94" s="277"/>
      <c r="AO94" s="277"/>
      <c r="AP94" s="277"/>
      <c r="AQ94" s="277"/>
      <c r="AR94" s="277"/>
      <c r="AS94" s="277"/>
      <c r="AT94" s="277"/>
      <c r="AU94" s="277"/>
      <c r="AV94" s="277"/>
      <c r="AW94" s="277"/>
      <c r="AX94" s="277"/>
      <c r="AY94" s="277"/>
      <c r="AZ94" s="277"/>
      <c r="BA94" s="277"/>
      <c r="BB94" s="277"/>
      <c r="BC94" s="277"/>
      <c r="BD94" s="277"/>
      <c r="BE94" s="277"/>
      <c r="BF94" s="277"/>
      <c r="BG94" s="277"/>
      <c r="BH94" s="277"/>
      <c r="BI94" s="277"/>
      <c r="BJ94" s="277"/>
      <c r="BK94" s="277"/>
      <c r="BL94" s="277"/>
      <c r="BM94" s="277"/>
      <c r="BN94" s="278"/>
    </row>
    <row r="95" spans="2:66" s="276" customFormat="1" ht="18" customHeight="1" thickTop="1">
      <c r="C95" s="679" t="s">
        <v>37</v>
      </c>
      <c r="D95" s="679"/>
      <c r="E95" s="679"/>
      <c r="F95" s="679"/>
      <c r="G95" s="679"/>
      <c r="H95" s="679"/>
      <c r="I95" s="679"/>
      <c r="J95" s="680" t="str">
        <f>M95</f>
        <v>Soleil</v>
      </c>
      <c r="K95" s="681"/>
      <c r="L95" s="682"/>
      <c r="M95" s="743" t="s">
        <v>38</v>
      </c>
      <c r="N95" s="744"/>
      <c r="O95" s="745"/>
      <c r="P95" s="285"/>
      <c r="Q95" s="285"/>
      <c r="R95" s="285"/>
      <c r="S95" s="285"/>
      <c r="T95" s="285"/>
      <c r="U95" s="285"/>
      <c r="V95" s="285"/>
      <c r="W95" s="285"/>
      <c r="X95" s="285"/>
      <c r="Y95" s="285"/>
      <c r="AB95" s="145"/>
      <c r="AC95" s="277"/>
      <c r="AD95" s="277"/>
      <c r="AE95" s="277"/>
      <c r="AF95" s="277"/>
      <c r="AI95" s="277"/>
      <c r="AJ95" s="277"/>
      <c r="AK95" s="277"/>
      <c r="AL95" s="277"/>
      <c r="AM95" s="277"/>
      <c r="AN95" s="277"/>
      <c r="AO95" s="277"/>
      <c r="AP95" s="277"/>
      <c r="AQ95" s="277"/>
      <c r="AR95" s="277"/>
      <c r="AS95" s="277"/>
      <c r="AT95" s="277"/>
      <c r="AU95" s="277"/>
      <c r="AV95" s="277"/>
      <c r="AW95" s="277"/>
      <c r="AX95" s="277"/>
      <c r="AY95" s="277"/>
      <c r="AZ95" s="277"/>
      <c r="BA95" s="277"/>
      <c r="BB95" s="277"/>
      <c r="BC95" s="277"/>
      <c r="BD95" s="277"/>
      <c r="BE95" s="277"/>
      <c r="BF95" s="277"/>
      <c r="BG95" s="277"/>
      <c r="BH95" s="277"/>
      <c r="BI95" s="277"/>
      <c r="BJ95" s="277"/>
      <c r="BK95" s="277"/>
      <c r="BL95" s="277"/>
      <c r="BM95" s="277"/>
      <c r="BN95" s="278"/>
    </row>
    <row r="96" spans="2:66" s="276" customFormat="1" ht="18" customHeight="1">
      <c r="C96" s="679" t="s">
        <v>84</v>
      </c>
      <c r="D96" s="679"/>
      <c r="E96" s="679"/>
      <c r="F96" s="679"/>
      <c r="G96" s="679"/>
      <c r="H96" s="679"/>
      <c r="I96" s="679"/>
      <c r="J96" s="680" t="str">
        <f>M96</f>
        <v>BordInf</v>
      </c>
      <c r="K96" s="681"/>
      <c r="L96" s="682"/>
      <c r="M96" s="578" t="s">
        <v>85</v>
      </c>
      <c r="N96" s="578"/>
      <c r="O96" s="578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AB96" s="145"/>
      <c r="AC96" s="305" t="s">
        <v>357</v>
      </c>
      <c r="AD96" s="306" t="s">
        <v>39</v>
      </c>
      <c r="AE96" s="306" t="s">
        <v>40</v>
      </c>
      <c r="AF96" s="306" t="s">
        <v>38</v>
      </c>
      <c r="AI96" s="277"/>
      <c r="AJ96" s="277"/>
      <c r="AK96" s="277"/>
      <c r="AL96" s="277"/>
      <c r="AM96" s="277"/>
      <c r="AN96" s="277"/>
      <c r="AO96" s="277"/>
      <c r="AP96" s="277"/>
      <c r="AQ96" s="277"/>
      <c r="AR96" s="277"/>
      <c r="AS96" s="277"/>
      <c r="AT96" s="277"/>
      <c r="AU96" s="277"/>
      <c r="AV96" s="277"/>
      <c r="AW96" s="277"/>
      <c r="AX96" s="277"/>
      <c r="AY96" s="277"/>
      <c r="AZ96" s="277"/>
      <c r="BA96" s="277"/>
      <c r="BB96" s="277"/>
      <c r="BC96" s="277"/>
      <c r="BD96" s="277"/>
      <c r="BE96" s="277"/>
      <c r="BF96" s="277"/>
      <c r="BG96" s="277"/>
      <c r="BH96" s="277"/>
      <c r="BI96" s="277"/>
      <c r="BJ96" s="277"/>
      <c r="BK96" s="277"/>
      <c r="BL96" s="277"/>
      <c r="BM96" s="277"/>
      <c r="BN96" s="278"/>
    </row>
    <row r="97" spans="1:66" s="276" customFormat="1" ht="17.25" customHeight="1">
      <c r="C97" s="684" t="s">
        <v>314</v>
      </c>
      <c r="D97" s="685"/>
      <c r="E97" s="109"/>
      <c r="F97" s="109"/>
      <c r="G97" s="109"/>
      <c r="H97" s="109"/>
      <c r="I97" s="110"/>
      <c r="J97" s="603" cm="1">
        <f t="array" ref="J97">angleConvert2Decimal(M97)</f>
        <v>2.8833333333333332E-3</v>
      </c>
      <c r="K97" s="394"/>
      <c r="L97" s="395"/>
      <c r="M97" s="609" t="str">
        <f>P99</f>
        <v>0.173'</v>
      </c>
      <c r="N97" s="610"/>
      <c r="O97" s="610"/>
      <c r="P97" s="615" t="s">
        <v>129</v>
      </c>
      <c r="Q97" s="615"/>
      <c r="R97" s="615"/>
      <c r="S97" s="285"/>
      <c r="T97" s="285"/>
      <c r="U97" s="285"/>
      <c r="V97" s="285"/>
      <c r="W97" s="285"/>
      <c r="X97" s="285"/>
      <c r="Y97" s="285"/>
      <c r="AB97" s="145"/>
      <c r="AC97" s="305" t="s">
        <v>131</v>
      </c>
      <c r="AD97" s="307" t="s">
        <v>132</v>
      </c>
      <c r="AE97" s="307" t="s">
        <v>133</v>
      </c>
      <c r="AF97" s="307" t="s">
        <v>104</v>
      </c>
      <c r="AI97" s="277"/>
      <c r="AJ97" s="277"/>
      <c r="AK97" s="277"/>
      <c r="AL97" s="277"/>
      <c r="AM97" s="277"/>
      <c r="AN97" s="277"/>
      <c r="AO97" s="277"/>
      <c r="AP97" s="277"/>
      <c r="AQ97" s="277"/>
      <c r="AR97" s="277"/>
      <c r="AS97" s="277"/>
      <c r="AT97" s="277"/>
      <c r="AU97" s="277"/>
      <c r="AV97" s="277"/>
      <c r="AW97" s="277"/>
      <c r="AX97" s="277"/>
      <c r="AY97" s="277"/>
      <c r="AZ97" s="277"/>
      <c r="BA97" s="277"/>
      <c r="BB97" s="277"/>
      <c r="BC97" s="277"/>
      <c r="BD97" s="277"/>
      <c r="BE97" s="277"/>
      <c r="BF97" s="277"/>
      <c r="BG97" s="277"/>
      <c r="BH97" s="277"/>
      <c r="BI97" s="277"/>
      <c r="BJ97" s="277"/>
      <c r="BK97" s="277"/>
      <c r="BL97" s="277"/>
      <c r="BM97" s="277"/>
      <c r="BN97" s="278"/>
    </row>
    <row r="98" spans="1:66" s="276" customFormat="1" ht="17.25" customHeight="1" thickBot="1">
      <c r="C98" s="111"/>
      <c r="D98" s="652" t="s">
        <v>315</v>
      </c>
      <c r="E98" s="652"/>
      <c r="F98" s="652"/>
      <c r="G98" s="652"/>
      <c r="H98" s="652"/>
      <c r="I98" s="653"/>
      <c r="J98" s="604"/>
      <c r="K98" s="461"/>
      <c r="L98" s="605"/>
      <c r="M98" s="611"/>
      <c r="N98" s="612"/>
      <c r="O98" s="612"/>
      <c r="P98" s="615"/>
      <c r="Q98" s="615"/>
      <c r="R98" s="615"/>
      <c r="S98" s="285"/>
      <c r="T98" s="285"/>
      <c r="U98" s="285"/>
      <c r="V98" s="285"/>
      <c r="W98" s="285"/>
      <c r="X98" s="285"/>
      <c r="Y98" s="285"/>
      <c r="AB98" s="145"/>
      <c r="AC98" s="305" t="s">
        <v>135</v>
      </c>
      <c r="AD98" s="307" t="s">
        <v>132</v>
      </c>
      <c r="AE98" s="307" t="s">
        <v>136</v>
      </c>
      <c r="AF98" s="307" t="s">
        <v>103</v>
      </c>
      <c r="AI98" s="277"/>
      <c r="AJ98" s="277"/>
      <c r="AK98" s="277"/>
      <c r="AL98" s="277"/>
      <c r="AM98" s="277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AZ98" s="277"/>
      <c r="BA98" s="277"/>
      <c r="BB98" s="277"/>
      <c r="BC98" s="277"/>
      <c r="BD98" s="277"/>
      <c r="BE98" s="277"/>
      <c r="BF98" s="277"/>
      <c r="BG98" s="277"/>
      <c r="BH98" s="277"/>
      <c r="BI98" s="277"/>
      <c r="BJ98" s="277"/>
      <c r="BK98" s="277"/>
      <c r="BL98" s="277"/>
      <c r="BM98" s="277"/>
      <c r="BN98" s="278"/>
    </row>
    <row r="99" spans="1:66" s="276" customFormat="1" ht="17.25" customHeight="1" thickTop="1" thickBot="1">
      <c r="C99" s="111"/>
      <c r="D99" s="652"/>
      <c r="E99" s="652"/>
      <c r="F99" s="652"/>
      <c r="G99" s="652"/>
      <c r="H99" s="652"/>
      <c r="I99" s="653"/>
      <c r="J99" s="604"/>
      <c r="K99" s="461"/>
      <c r="L99" s="605"/>
      <c r="M99" s="611"/>
      <c r="N99" s="612"/>
      <c r="O99" s="612"/>
      <c r="P99" s="584" t="str">
        <f>HLOOKUP(M95,AD96:AF98,2,FALSE)</f>
        <v>0.173'</v>
      </c>
      <c r="Q99" s="584"/>
      <c r="R99" s="584"/>
      <c r="S99" s="479" t="str" cm="1">
        <f t="array" ref="S99">angleDecimal2Txt(angleConvert2Decimal(P99))</f>
        <v>+00°00.17 (+00.0028) [+00°00'10.37]</v>
      </c>
      <c r="T99" s="479"/>
      <c r="U99" s="479"/>
      <c r="V99" s="479"/>
      <c r="W99" s="479"/>
      <c r="X99" s="480"/>
      <c r="Y99" s="285"/>
      <c r="AB99" s="145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8"/>
    </row>
    <row r="100" spans="1:66" s="276" customFormat="1" ht="17.25" customHeight="1" thickTop="1" thickBot="1">
      <c r="C100" s="112"/>
      <c r="D100" s="654"/>
      <c r="E100" s="654"/>
      <c r="F100" s="654"/>
      <c r="G100" s="654"/>
      <c r="H100" s="654"/>
      <c r="I100" s="655"/>
      <c r="J100" s="746"/>
      <c r="K100" s="396"/>
      <c r="L100" s="397"/>
      <c r="M100" s="613"/>
      <c r="N100" s="614"/>
      <c r="O100" s="614"/>
      <c r="P100" s="581" t="str" cm="1">
        <f t="array" ref="P100">angleDecimal2Txt(J97)</f>
        <v>+00°00.17 (+00.0028) [+00°00'10.37]</v>
      </c>
      <c r="Q100" s="581"/>
      <c r="R100" s="581"/>
      <c r="S100" s="402"/>
      <c r="T100" s="402"/>
      <c r="U100" s="402"/>
      <c r="V100" s="402"/>
      <c r="W100" s="402"/>
      <c r="X100" s="402"/>
      <c r="Y100" s="285"/>
      <c r="AB100" s="145"/>
      <c r="AC100" s="305" t="s">
        <v>130</v>
      </c>
      <c r="AD100" s="306" t="s">
        <v>85</v>
      </c>
      <c r="AE100" s="306" t="s">
        <v>355</v>
      </c>
      <c r="AF100" s="306" t="s">
        <v>86</v>
      </c>
      <c r="AG100" s="277"/>
      <c r="AH100" s="277"/>
      <c r="AI100" s="277"/>
      <c r="AJ100" s="277"/>
      <c r="AK100" s="277"/>
      <c r="AL100" s="277"/>
      <c r="AM100" s="277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77"/>
      <c r="BJ100" s="277"/>
      <c r="BK100" s="277"/>
      <c r="BL100" s="277"/>
      <c r="BM100" s="277"/>
      <c r="BN100" s="278"/>
    </row>
    <row r="101" spans="1:66" s="276" customFormat="1" ht="17.25" customHeight="1" thickTop="1">
      <c r="C101" s="595" t="s">
        <v>134</v>
      </c>
      <c r="D101" s="596"/>
      <c r="E101" s="596"/>
      <c r="F101" s="596"/>
      <c r="G101" s="596"/>
      <c r="H101" s="596"/>
      <c r="I101" s="597"/>
      <c r="J101" s="603" cm="1">
        <f t="array" ref="J101">angleConvert2Decimal(M101)</f>
        <v>0.53333333333333333</v>
      </c>
      <c r="K101" s="394"/>
      <c r="L101" s="395"/>
      <c r="M101" s="609" t="str">
        <f>P103</f>
        <v>32'</v>
      </c>
      <c r="N101" s="610"/>
      <c r="O101" s="610"/>
      <c r="P101" s="615" t="s">
        <v>129</v>
      </c>
      <c r="Q101" s="615"/>
      <c r="R101" s="615"/>
      <c r="S101" s="285"/>
      <c r="T101" s="285"/>
      <c r="U101" s="285"/>
      <c r="V101" s="285"/>
      <c r="W101" s="285"/>
      <c r="X101" s="285"/>
      <c r="Y101" s="285"/>
      <c r="AB101" s="145"/>
      <c r="AC101" s="305" t="s">
        <v>356</v>
      </c>
      <c r="AD101" s="308">
        <v>0.5</v>
      </c>
      <c r="AE101" s="308">
        <v>-0.5</v>
      </c>
      <c r="AF101" s="308">
        <v>0</v>
      </c>
      <c r="AG101" s="277"/>
      <c r="AH101" s="277"/>
      <c r="AI101" s="277"/>
      <c r="AJ101" s="277"/>
      <c r="AK101" s="277"/>
      <c r="AL101" s="277"/>
      <c r="AM101" s="277"/>
      <c r="AN101" s="277"/>
      <c r="AO101" s="277"/>
      <c r="AP101" s="277"/>
      <c r="AQ101" s="277"/>
      <c r="AR101" s="277"/>
      <c r="AS101" s="277"/>
      <c r="AT101" s="277"/>
      <c r="AU101" s="277"/>
      <c r="AV101" s="277"/>
      <c r="AW101" s="277"/>
      <c r="AX101" s="277"/>
      <c r="AY101" s="277"/>
      <c r="AZ101" s="277"/>
      <c r="BA101" s="277"/>
      <c r="BB101" s="277"/>
      <c r="BC101" s="277"/>
      <c r="BD101" s="277"/>
      <c r="BE101" s="277"/>
      <c r="BF101" s="277"/>
      <c r="BG101" s="277"/>
      <c r="BH101" s="277"/>
      <c r="BI101" s="277"/>
      <c r="BJ101" s="277"/>
      <c r="BK101" s="277"/>
      <c r="BL101" s="277"/>
      <c r="BM101" s="277"/>
      <c r="BN101" s="278"/>
    </row>
    <row r="102" spans="1:66" s="276" customFormat="1" ht="17.25" customHeight="1" thickBot="1">
      <c r="C102" s="598"/>
      <c r="D102" s="466"/>
      <c r="E102" s="466"/>
      <c r="F102" s="466"/>
      <c r="G102" s="466"/>
      <c r="H102" s="466"/>
      <c r="I102" s="599"/>
      <c r="J102" s="604"/>
      <c r="K102" s="461"/>
      <c r="L102" s="605"/>
      <c r="M102" s="611"/>
      <c r="N102" s="612"/>
      <c r="O102" s="612"/>
      <c r="P102" s="615"/>
      <c r="Q102" s="615"/>
      <c r="R102" s="615"/>
      <c r="S102" s="285"/>
      <c r="T102" s="285"/>
      <c r="U102" s="285"/>
      <c r="V102" s="285"/>
      <c r="W102" s="285"/>
      <c r="X102" s="285"/>
      <c r="Y102" s="285"/>
      <c r="AB102" s="145"/>
      <c r="AC102" s="277"/>
      <c r="AD102" s="277"/>
      <c r="AE102" s="277"/>
      <c r="AF102" s="277"/>
      <c r="AG102" s="277"/>
      <c r="AH102" s="277"/>
      <c r="AI102" s="277"/>
      <c r="AJ102" s="277"/>
      <c r="AK102" s="277"/>
      <c r="AL102" s="277"/>
      <c r="AM102" s="277"/>
      <c r="AN102" s="277"/>
      <c r="AO102" s="277"/>
      <c r="AP102" s="277"/>
      <c r="AQ102" s="277"/>
      <c r="AR102" s="277"/>
      <c r="AS102" s="277"/>
      <c r="AT102" s="277"/>
      <c r="AU102" s="277"/>
      <c r="AV102" s="277"/>
      <c r="AW102" s="277"/>
      <c r="AX102" s="277"/>
      <c r="AY102" s="277"/>
      <c r="AZ102" s="277"/>
      <c r="BA102" s="277"/>
      <c r="BB102" s="277"/>
      <c r="BC102" s="277"/>
      <c r="BD102" s="277"/>
      <c r="BE102" s="277"/>
      <c r="BF102" s="277"/>
      <c r="BG102" s="277"/>
      <c r="BH102" s="277"/>
      <c r="BI102" s="277"/>
      <c r="BJ102" s="277"/>
      <c r="BK102" s="277"/>
      <c r="BL102" s="277"/>
      <c r="BM102" s="277"/>
      <c r="BN102" s="278"/>
    </row>
    <row r="103" spans="1:66" s="276" customFormat="1" ht="17.25" customHeight="1" thickTop="1" thickBot="1">
      <c r="C103" s="598"/>
      <c r="D103" s="466"/>
      <c r="E103" s="466"/>
      <c r="F103" s="466"/>
      <c r="G103" s="466"/>
      <c r="H103" s="466"/>
      <c r="I103" s="599"/>
      <c r="J103" s="604"/>
      <c r="K103" s="461"/>
      <c r="L103" s="605"/>
      <c r="M103" s="611"/>
      <c r="N103" s="612"/>
      <c r="O103" s="612"/>
      <c r="P103" s="584" t="str">
        <f>HLOOKUP(M95,AD96:AF98,3,FALSE)</f>
        <v>32'</v>
      </c>
      <c r="Q103" s="584"/>
      <c r="R103" s="584"/>
      <c r="S103" s="479" t="str" cm="1">
        <f t="array" ref="S103">angleDecimal2Txt(angleConvert2Decimal(P103))</f>
        <v>+00°32.00 (+00.5333) [+00°32'00.00]</v>
      </c>
      <c r="T103" s="479"/>
      <c r="U103" s="479"/>
      <c r="V103" s="479"/>
      <c r="W103" s="479"/>
      <c r="X103" s="480"/>
      <c r="Y103" s="285"/>
      <c r="AB103" s="145"/>
      <c r="AC103" s="277"/>
      <c r="AD103" s="277"/>
      <c r="AE103" s="277"/>
      <c r="AF103" s="277"/>
      <c r="AG103" s="277"/>
      <c r="AH103" s="277"/>
      <c r="AI103" s="277"/>
      <c r="AJ103" s="277"/>
      <c r="AK103" s="277"/>
      <c r="AL103" s="277"/>
      <c r="AM103" s="277"/>
      <c r="AN103" s="277"/>
      <c r="AO103" s="277"/>
      <c r="AP103" s="277"/>
      <c r="AQ103" s="277"/>
      <c r="AR103" s="277"/>
      <c r="AS103" s="277"/>
      <c r="AT103" s="277"/>
      <c r="AU103" s="277"/>
      <c r="AV103" s="277"/>
      <c r="AW103" s="277"/>
      <c r="AX103" s="277"/>
      <c r="AY103" s="277"/>
      <c r="AZ103" s="277"/>
      <c r="BA103" s="277"/>
      <c r="BB103" s="277"/>
      <c r="BC103" s="277"/>
      <c r="BD103" s="277"/>
      <c r="BE103" s="277"/>
      <c r="BF103" s="277"/>
      <c r="BG103" s="277"/>
      <c r="BH103" s="277"/>
      <c r="BI103" s="277"/>
      <c r="BJ103" s="277"/>
      <c r="BK103" s="277"/>
      <c r="BL103" s="277"/>
      <c r="BM103" s="277"/>
      <c r="BN103" s="278"/>
    </row>
    <row r="104" spans="1:66" s="276" customFormat="1" ht="17.25" customHeight="1" thickTop="1" thickBot="1">
      <c r="C104" s="600"/>
      <c r="D104" s="601"/>
      <c r="E104" s="601"/>
      <c r="F104" s="601"/>
      <c r="G104" s="601"/>
      <c r="H104" s="601"/>
      <c r="I104" s="602"/>
      <c r="J104" s="606"/>
      <c r="K104" s="607"/>
      <c r="L104" s="608"/>
      <c r="M104" s="613"/>
      <c r="N104" s="614"/>
      <c r="O104" s="614"/>
      <c r="P104" s="581" t="str" cm="1">
        <f t="array" ref="P104">angleDecimal2Txt(J101)</f>
        <v>+00°32.00 (+00.5333) [+00°32'00.00]</v>
      </c>
      <c r="Q104" s="581"/>
      <c r="R104" s="581"/>
      <c r="S104" s="402"/>
      <c r="T104" s="402"/>
      <c r="U104" s="402"/>
      <c r="V104" s="402"/>
      <c r="W104" s="402"/>
      <c r="X104" s="402"/>
      <c r="Y104" s="285"/>
      <c r="AB104" s="145"/>
      <c r="AC104" s="277"/>
      <c r="AD104" s="277"/>
      <c r="AE104" s="277"/>
      <c r="AF104" s="277"/>
      <c r="AG104" s="277"/>
      <c r="AH104" s="277"/>
      <c r="AI104" s="277"/>
      <c r="AJ104" s="277"/>
      <c r="AK104" s="277"/>
      <c r="AL104" s="277"/>
      <c r="AM104" s="277"/>
      <c r="AN104" s="277"/>
      <c r="AO104" s="277"/>
      <c r="AP104" s="277"/>
      <c r="AQ104" s="277"/>
      <c r="AR104" s="277"/>
      <c r="AS104" s="277"/>
      <c r="AT104" s="277"/>
      <c r="AU104" s="277"/>
      <c r="AV104" s="277"/>
      <c r="AW104" s="277"/>
      <c r="AX104" s="277"/>
      <c r="AY104" s="277"/>
      <c r="AZ104" s="277"/>
      <c r="BA104" s="277"/>
      <c r="BB104" s="277"/>
      <c r="BC104" s="277"/>
      <c r="BD104" s="277"/>
      <c r="BE104" s="277"/>
      <c r="BF104" s="277"/>
      <c r="BG104" s="277"/>
      <c r="BH104" s="277"/>
      <c r="BI104" s="277"/>
      <c r="BJ104" s="277"/>
      <c r="BK104" s="277"/>
      <c r="BL104" s="277"/>
      <c r="BM104" s="277"/>
      <c r="BN104" s="278"/>
    </row>
    <row r="105" spans="1:66" s="276" customFormat="1" ht="17.25" customHeight="1" thickTop="1" thickBot="1">
      <c r="C105" s="285"/>
      <c r="D105" s="285"/>
      <c r="E105" s="285"/>
      <c r="F105" s="285"/>
      <c r="G105" s="285"/>
      <c r="H105" s="285"/>
      <c r="I105" s="285"/>
      <c r="J105" s="285"/>
      <c r="K105" s="285"/>
      <c r="L105" s="285"/>
      <c r="M105" s="285"/>
      <c r="N105" s="285"/>
      <c r="O105" s="285"/>
      <c r="P105" s="285"/>
      <c r="Q105" s="285"/>
      <c r="R105" s="285"/>
      <c r="S105" s="285"/>
      <c r="T105" s="285"/>
      <c r="U105" s="285"/>
      <c r="V105" s="285"/>
      <c r="W105" s="285"/>
      <c r="X105" s="285"/>
      <c r="Y105" s="285"/>
      <c r="AB105" s="145"/>
      <c r="AC105" s="277"/>
      <c r="AD105" s="277"/>
      <c r="AE105" s="277"/>
      <c r="AF105" s="277"/>
      <c r="AG105" s="277"/>
      <c r="AH105" s="277"/>
      <c r="AI105" s="277"/>
      <c r="AJ105" s="277"/>
      <c r="AK105" s="277"/>
      <c r="AL105" s="277"/>
      <c r="AM105" s="277"/>
      <c r="AN105" s="277"/>
      <c r="AO105" s="277"/>
      <c r="AP105" s="277"/>
      <c r="AQ105" s="277"/>
      <c r="AR105" s="277"/>
      <c r="AS105" s="277"/>
      <c r="AT105" s="277"/>
      <c r="AU105" s="277"/>
      <c r="AV105" s="277"/>
      <c r="AW105" s="277"/>
      <c r="AX105" s="277"/>
      <c r="AY105" s="277"/>
      <c r="AZ105" s="277"/>
      <c r="BA105" s="277"/>
      <c r="BB105" s="277"/>
      <c r="BC105" s="277"/>
      <c r="BD105" s="277"/>
      <c r="BE105" s="277"/>
      <c r="BF105" s="277"/>
      <c r="BG105" s="277"/>
      <c r="BH105" s="277"/>
      <c r="BI105" s="277"/>
      <c r="BJ105" s="277"/>
      <c r="BK105" s="277"/>
      <c r="BL105" s="277"/>
      <c r="BM105" s="277"/>
      <c r="BN105" s="278"/>
    </row>
    <row r="106" spans="1:66" s="276" customFormat="1" ht="17.25" customHeight="1" thickBot="1">
      <c r="B106" s="293" t="s">
        <v>381</v>
      </c>
      <c r="C106" s="294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146"/>
      <c r="AC106" s="277"/>
      <c r="AD106" s="277"/>
      <c r="AE106" s="277"/>
      <c r="AF106" s="277"/>
      <c r="AG106" s="277"/>
      <c r="AH106" s="277"/>
      <c r="AI106" s="277"/>
      <c r="AJ106" s="277"/>
      <c r="AK106" s="277"/>
      <c r="AL106" s="277"/>
      <c r="AM106" s="277"/>
      <c r="AN106" s="277"/>
      <c r="AO106" s="277"/>
      <c r="AP106" s="277"/>
      <c r="AQ106" s="277"/>
      <c r="AR106" s="277"/>
      <c r="AS106" s="277"/>
      <c r="AT106" s="277"/>
      <c r="AU106" s="277"/>
      <c r="AV106" s="277"/>
      <c r="AW106" s="277"/>
      <c r="AX106" s="277"/>
      <c r="AY106" s="277"/>
      <c r="AZ106" s="277"/>
      <c r="BA106" s="277"/>
      <c r="BB106" s="277"/>
      <c r="BC106" s="277"/>
      <c r="BD106" s="277"/>
      <c r="BE106" s="277"/>
      <c r="BF106" s="277"/>
      <c r="BG106" s="277"/>
      <c r="BH106" s="277"/>
      <c r="BI106" s="277"/>
      <c r="BJ106" s="277"/>
      <c r="BK106" s="277"/>
      <c r="BL106" s="277"/>
      <c r="BM106" s="277"/>
      <c r="BN106" s="278"/>
    </row>
    <row r="107" spans="1:66" s="276" customFormat="1" ht="17.25" customHeight="1">
      <c r="C107" s="285"/>
      <c r="D107" s="285"/>
      <c r="E107" s="686" t="s">
        <v>7</v>
      </c>
      <c r="F107" s="686"/>
      <c r="G107" s="686"/>
      <c r="H107" s="686"/>
      <c r="I107" s="285"/>
      <c r="J107" s="285"/>
      <c r="K107" s="285"/>
      <c r="L107" s="285"/>
      <c r="M107" s="285"/>
      <c r="N107" s="285"/>
      <c r="O107" s="285"/>
      <c r="P107" s="285"/>
      <c r="Q107" s="285"/>
      <c r="R107" s="285"/>
      <c r="S107" s="285"/>
      <c r="T107" s="285"/>
      <c r="U107" s="285"/>
      <c r="V107" s="285"/>
      <c r="AB107" s="145"/>
      <c r="AC107" s="277"/>
      <c r="AD107" s="277"/>
      <c r="AE107" s="277"/>
      <c r="AF107" s="277"/>
      <c r="AG107" s="277"/>
      <c r="AH107" s="277"/>
      <c r="AI107" s="277"/>
      <c r="AJ107" s="277"/>
      <c r="AK107" s="277"/>
      <c r="AL107" s="277"/>
      <c r="AM107" s="277"/>
      <c r="AN107" s="277"/>
      <c r="AO107" s="277"/>
      <c r="AP107" s="277"/>
      <c r="AQ107" s="277"/>
      <c r="AR107" s="277"/>
      <c r="AS107" s="277"/>
      <c r="AT107" s="277"/>
      <c r="AU107" s="277"/>
      <c r="AV107" s="277"/>
      <c r="AW107" s="277"/>
      <c r="AX107" s="277"/>
      <c r="AY107" s="277"/>
      <c r="AZ107" s="277"/>
      <c r="BA107" s="277"/>
      <c r="BB107" s="277"/>
      <c r="BC107" s="277"/>
      <c r="BD107" s="277"/>
      <c r="BE107" s="277"/>
      <c r="BF107" s="277"/>
      <c r="BG107" s="277"/>
      <c r="BH107" s="277"/>
      <c r="BI107" s="277"/>
      <c r="BJ107" s="277"/>
      <c r="BK107" s="277"/>
      <c r="BL107" s="277"/>
      <c r="BM107" s="277"/>
      <c r="BN107" s="278"/>
    </row>
    <row r="108" spans="1:66" s="276" customFormat="1" ht="17.25" customHeight="1">
      <c r="C108" s="285"/>
      <c r="D108" s="285"/>
      <c r="E108" s="686"/>
      <c r="F108" s="686"/>
      <c r="G108" s="686"/>
      <c r="H108" s="686"/>
      <c r="I108" s="277"/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X108" s="277"/>
      <c r="AB108" s="145"/>
      <c r="AC108" s="277"/>
      <c r="AD108" s="277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8"/>
    </row>
    <row r="109" spans="1:66" s="276" customFormat="1" ht="17.25" customHeight="1">
      <c r="A109" s="277"/>
      <c r="B109" s="277"/>
      <c r="C109" s="277"/>
      <c r="D109" s="285"/>
      <c r="E109" s="285"/>
      <c r="F109" s="741">
        <f>F36</f>
        <v>46.1</v>
      </c>
      <c r="G109" s="742"/>
      <c r="H109" s="742"/>
      <c r="I109" s="277"/>
      <c r="J109" s="277"/>
      <c r="K109" s="277"/>
      <c r="L109" s="277"/>
      <c r="M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7"/>
      <c r="X109" s="277"/>
      <c r="Y109" s="285"/>
      <c r="Z109" s="285"/>
      <c r="AB109" s="145"/>
      <c r="AC109" s="277"/>
      <c r="AD109" s="277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7"/>
      <c r="BC109" s="277"/>
      <c r="BD109" s="277"/>
      <c r="BE109" s="277"/>
      <c r="BF109" s="277"/>
      <c r="BG109" s="277"/>
      <c r="BH109" s="277"/>
      <c r="BI109" s="277"/>
      <c r="BJ109" s="277"/>
      <c r="BK109" s="277"/>
      <c r="BL109" s="277"/>
      <c r="BM109" s="277"/>
      <c r="BN109" s="286"/>
    </row>
    <row r="110" spans="1:66" s="276" customFormat="1" ht="17.25" customHeight="1">
      <c r="A110" s="277"/>
      <c r="B110" s="277"/>
      <c r="C110" s="277"/>
      <c r="D110" s="285"/>
      <c r="E110" s="285"/>
      <c r="F110" s="742"/>
      <c r="G110" s="742"/>
      <c r="H110" s="742"/>
      <c r="I110" s="277"/>
      <c r="J110" s="277"/>
      <c r="K110" s="277"/>
      <c r="L110" s="277"/>
      <c r="M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7"/>
      <c r="X110" s="277"/>
      <c r="Y110" s="285"/>
      <c r="Z110" s="285"/>
      <c r="AB110" s="145"/>
      <c r="AC110" s="277"/>
      <c r="AD110" s="277"/>
      <c r="AE110" s="277"/>
      <c r="AF110" s="277"/>
      <c r="AG110" s="277"/>
      <c r="AH110" s="277"/>
      <c r="AI110" s="277"/>
      <c r="AJ110" s="277"/>
      <c r="AK110" s="277"/>
      <c r="AL110" s="277"/>
      <c r="AM110" s="277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AZ110" s="277"/>
      <c r="BA110" s="277"/>
      <c r="BB110" s="277"/>
      <c r="BC110" s="277"/>
      <c r="BD110" s="277"/>
      <c r="BE110" s="277"/>
      <c r="BF110" s="277"/>
      <c r="BG110" s="277"/>
      <c r="BH110" s="277"/>
      <c r="BI110" s="277"/>
      <c r="BJ110" s="277"/>
      <c r="BK110" s="277"/>
      <c r="BL110" s="277"/>
      <c r="BM110" s="277"/>
      <c r="BN110" s="286"/>
    </row>
    <row r="111" spans="1:66" s="276" customFormat="1" ht="17.25" customHeight="1">
      <c r="A111" s="277"/>
      <c r="B111" s="277"/>
      <c r="C111" s="277"/>
      <c r="D111" s="285"/>
      <c r="E111" s="285"/>
      <c r="F111" s="285"/>
      <c r="G111" s="285"/>
      <c r="H111" s="285"/>
      <c r="AB111" s="145"/>
      <c r="AC111" s="277"/>
      <c r="AD111" s="277"/>
      <c r="AE111" s="277"/>
      <c r="AF111" s="277"/>
      <c r="AG111" s="277"/>
      <c r="AH111" s="277"/>
      <c r="AI111" s="277"/>
      <c r="AJ111" s="277"/>
      <c r="AK111" s="277"/>
      <c r="AL111" s="277"/>
      <c r="AM111" s="277"/>
      <c r="AN111" s="277"/>
      <c r="AO111" s="277"/>
      <c r="AP111" s="277"/>
      <c r="AQ111" s="277"/>
      <c r="AR111" s="277"/>
      <c r="AS111" s="277"/>
      <c r="AT111" s="277"/>
      <c r="AU111" s="277"/>
      <c r="AV111" s="277"/>
      <c r="AW111" s="277"/>
      <c r="AX111" s="277"/>
      <c r="AY111" s="277"/>
      <c r="AZ111" s="277"/>
      <c r="BA111" s="277"/>
      <c r="BB111" s="277"/>
      <c r="BC111" s="277"/>
      <c r="BD111" s="277"/>
      <c r="BE111" s="277"/>
      <c r="BF111" s="277"/>
      <c r="BG111" s="277"/>
      <c r="BH111" s="277"/>
      <c r="BI111" s="277"/>
      <c r="BJ111" s="277"/>
      <c r="BK111" s="277"/>
      <c r="BL111" s="277"/>
      <c r="BM111" s="277"/>
      <c r="BN111" s="286"/>
    </row>
    <row r="112" spans="1:66" s="276" customFormat="1" ht="17.25" customHeight="1" thickBot="1">
      <c r="C112" s="279"/>
      <c r="D112" s="279"/>
      <c r="E112" s="279"/>
      <c r="F112" s="279"/>
      <c r="G112" s="279"/>
      <c r="AB112" s="145"/>
      <c r="AC112" s="277"/>
      <c r="AD112" s="277"/>
      <c r="AE112" s="277"/>
      <c r="AF112" s="277"/>
      <c r="AG112" s="277"/>
      <c r="AH112" s="277"/>
      <c r="AI112" s="277"/>
      <c r="AJ112" s="277"/>
      <c r="AK112" s="277"/>
      <c r="AL112" s="277"/>
      <c r="AM112" s="277"/>
      <c r="AN112" s="277"/>
      <c r="AO112" s="277"/>
      <c r="AP112" s="277"/>
      <c r="AQ112" s="277"/>
      <c r="AR112" s="277"/>
      <c r="AS112" s="277"/>
      <c r="AT112" s="277"/>
      <c r="AU112" s="277"/>
      <c r="AV112" s="277"/>
      <c r="AW112" s="277"/>
      <c r="AX112" s="277"/>
      <c r="AY112" s="277"/>
      <c r="AZ112" s="277"/>
      <c r="BA112" s="277"/>
      <c r="BB112" s="277"/>
      <c r="BC112" s="277"/>
      <c r="BD112" s="277"/>
      <c r="BE112" s="277"/>
      <c r="BF112" s="277"/>
      <c r="BG112" s="277"/>
      <c r="BH112" s="277"/>
      <c r="BI112" s="277"/>
      <c r="BJ112" s="277"/>
      <c r="BK112" s="277"/>
      <c r="BL112" s="277"/>
      <c r="BM112" s="277"/>
      <c r="BN112" s="278"/>
    </row>
    <row r="113" spans="2:66" s="276" customFormat="1" ht="17.25" customHeight="1" thickBot="1">
      <c r="B113" s="293" t="s">
        <v>9</v>
      </c>
      <c r="C113" s="294"/>
      <c r="D113" s="294"/>
      <c r="E113" s="294"/>
      <c r="F113" s="468">
        <f>IF(G114=AD114,F118,F126)</f>
        <v>23.13413311648976</v>
      </c>
      <c r="G113" s="468"/>
      <c r="H113" s="468"/>
      <c r="I113" s="294"/>
      <c r="J113" s="294"/>
      <c r="K113" s="294" t="str" cm="1">
        <f t="array" ref="K113">angleDecimal2Txt(F113)</f>
        <v>+23°08.04 (+23.1341) [+23°08'02.87]</v>
      </c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148"/>
      <c r="AC113" s="277"/>
      <c r="AD113" s="277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7"/>
      <c r="BC113" s="277"/>
      <c r="BD113" s="277"/>
      <c r="BE113" s="277"/>
      <c r="BF113" s="277"/>
      <c r="BG113" s="277"/>
      <c r="BH113" s="277"/>
      <c r="BI113" s="277"/>
      <c r="BJ113" s="277"/>
      <c r="BK113" s="277"/>
      <c r="BL113" s="277"/>
      <c r="BM113" s="277"/>
      <c r="BN113" s="278"/>
    </row>
    <row r="114" spans="2:66" s="309" customFormat="1" ht="17.25" customHeight="1">
      <c r="C114" s="466" t="s">
        <v>42</v>
      </c>
      <c r="D114" s="466"/>
      <c r="E114" s="466"/>
      <c r="F114" s="466"/>
      <c r="G114" s="470" t="s">
        <v>10</v>
      </c>
      <c r="H114" s="470"/>
      <c r="I114" s="470"/>
      <c r="AB114" s="149"/>
      <c r="AC114" s="731" t="s">
        <v>43</v>
      </c>
      <c r="AD114" s="304" t="s">
        <v>10</v>
      </c>
      <c r="AE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</row>
    <row r="115" spans="2:66" s="276" customFormat="1" ht="17.25" customHeight="1">
      <c r="C115" s="310" t="s">
        <v>10</v>
      </c>
      <c r="D115" s="310"/>
      <c r="E115" s="311"/>
      <c r="F115" s="311"/>
      <c r="G115" s="285"/>
      <c r="H115" s="285"/>
      <c r="I115" s="285"/>
      <c r="AB115" s="145"/>
      <c r="AC115" s="731"/>
      <c r="AD115" s="304" t="s">
        <v>16</v>
      </c>
      <c r="AE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8"/>
    </row>
    <row r="116" spans="2:66" s="276" customFormat="1" ht="17.25" customHeight="1">
      <c r="C116" s="279"/>
      <c r="D116" s="279"/>
      <c r="E116" s="279"/>
      <c r="F116" s="476" t="s">
        <v>9</v>
      </c>
      <c r="G116" s="476"/>
      <c r="H116" s="476"/>
      <c r="I116" s="434" t="s">
        <v>12</v>
      </c>
      <c r="J116" s="435"/>
      <c r="K116" s="435"/>
      <c r="L116" s="436"/>
      <c r="M116" s="469" t="s">
        <v>13</v>
      </c>
      <c r="N116" s="469"/>
      <c r="O116" s="469"/>
      <c r="P116" s="478" t="s">
        <v>17</v>
      </c>
      <c r="Q116" s="478"/>
      <c r="R116" s="478"/>
      <c r="S116" s="478"/>
      <c r="T116" s="478"/>
      <c r="U116" s="285"/>
      <c r="AB116" s="145"/>
      <c r="AC116" s="277"/>
      <c r="AD116" s="157" t="s">
        <v>101</v>
      </c>
      <c r="AE116" s="6" t="s">
        <v>347</v>
      </c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8"/>
    </row>
    <row r="117" spans="2:66" s="276" customFormat="1" ht="17.25" customHeight="1" thickBot="1">
      <c r="C117" s="279"/>
      <c r="D117" s="279"/>
      <c r="E117" s="279"/>
      <c r="F117" s="476"/>
      <c r="G117" s="476"/>
      <c r="H117" s="476"/>
      <c r="I117" s="437"/>
      <c r="J117" s="438"/>
      <c r="K117" s="438"/>
      <c r="L117" s="439"/>
      <c r="M117" s="469"/>
      <c r="N117" s="469"/>
      <c r="O117" s="469"/>
      <c r="P117" s="478"/>
      <c r="Q117" s="478"/>
      <c r="R117" s="478"/>
      <c r="S117" s="478"/>
      <c r="T117" s="478"/>
      <c r="U117" s="285"/>
      <c r="AB117" s="145"/>
      <c r="AC117" s="6" t="s">
        <v>338</v>
      </c>
      <c r="AD117" s="6">
        <f>VLOOKUP(P118,Outils!C15:E16,3)</f>
        <v>1</v>
      </c>
      <c r="AE117" s="6" cm="1">
        <f t="array" ref="AE117">AD117*angleConvert2Decimal(Q118)</f>
        <v>23.135000000000002</v>
      </c>
      <c r="AF117" s="277"/>
      <c r="AG117" s="277"/>
      <c r="AH117" s="277"/>
      <c r="AI117" s="277"/>
      <c r="AJ117" s="277"/>
      <c r="AK117" s="277"/>
      <c r="AL117" s="277"/>
      <c r="AM117" s="277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277"/>
      <c r="BJ117" s="277"/>
      <c r="BK117" s="277"/>
      <c r="BL117" s="277"/>
      <c r="BM117" s="277"/>
      <c r="BN117" s="278"/>
    </row>
    <row r="118" spans="2:66" s="276" customFormat="1" ht="17.25" customHeight="1" thickTop="1" thickBot="1">
      <c r="C118" s="279"/>
      <c r="D118" s="279"/>
      <c r="F118" s="555">
        <f>IF(G114=AD115,"---",AD122)</f>
        <v>23.13413311648976</v>
      </c>
      <c r="G118" s="555"/>
      <c r="H118" s="555"/>
      <c r="I118" s="546">
        <f>E84</f>
        <v>12.520130106144013</v>
      </c>
      <c r="J118" s="547"/>
      <c r="K118" s="547"/>
      <c r="L118" s="548"/>
      <c r="M118" s="658">
        <v>12</v>
      </c>
      <c r="N118" s="474"/>
      <c r="O118" s="474"/>
      <c r="P118" s="474" t="s">
        <v>3</v>
      </c>
      <c r="Q118" s="585" t="s">
        <v>507</v>
      </c>
      <c r="R118" s="656"/>
      <c r="S118" s="656"/>
      <c r="T118" s="656"/>
      <c r="U118" s="400" t="str" cm="1">
        <f t="array" ref="U118">angleDecimal2Txt(AE117)</f>
        <v>+23°08.09 (+23.1350) [+23°08'06.00]</v>
      </c>
      <c r="V118" s="577"/>
      <c r="W118" s="577"/>
      <c r="X118" s="577"/>
      <c r="Y118" s="577"/>
      <c r="AB118" s="145"/>
      <c r="AC118" s="6" t="s">
        <v>339</v>
      </c>
      <c r="AD118" s="6">
        <f>VLOOKUP(P120,Outils!C15:E16,3)</f>
        <v>1</v>
      </c>
      <c r="AE118" s="6" cm="1">
        <f t="array" ref="AE118">AD118*angleConvert2Decimal(Q120)</f>
        <v>23.133333333333333</v>
      </c>
      <c r="AF118" s="277"/>
      <c r="AG118" s="277"/>
      <c r="AH118" s="277"/>
      <c r="AI118" s="277"/>
      <c r="AJ118" s="277"/>
      <c r="AK118" s="277"/>
      <c r="AL118" s="277"/>
      <c r="AM118" s="277"/>
      <c r="AN118" s="277"/>
      <c r="AO118" s="277"/>
      <c r="AP118" s="277"/>
      <c r="AQ118" s="277"/>
      <c r="AR118" s="277"/>
      <c r="AS118" s="277"/>
      <c r="AT118" s="277"/>
      <c r="AU118" s="277"/>
      <c r="AV118" s="277"/>
      <c r="AW118" s="277"/>
      <c r="AX118" s="277"/>
      <c r="AY118" s="277"/>
      <c r="AZ118" s="277"/>
      <c r="BA118" s="277"/>
      <c r="BB118" s="277"/>
      <c r="BC118" s="277"/>
      <c r="BD118" s="277"/>
      <c r="BE118" s="277"/>
      <c r="BF118" s="277"/>
      <c r="BG118" s="277"/>
      <c r="BH118" s="277"/>
      <c r="BI118" s="277"/>
      <c r="BJ118" s="277"/>
      <c r="BK118" s="277"/>
      <c r="BL118" s="277"/>
      <c r="BM118" s="277"/>
      <c r="BN118" s="278"/>
    </row>
    <row r="119" spans="2:66" s="276" customFormat="1" ht="17.25" customHeight="1" thickTop="1" thickBot="1">
      <c r="C119" s="279"/>
      <c r="D119" s="279"/>
      <c r="E119" s="279"/>
      <c r="F119" s="556"/>
      <c r="G119" s="556"/>
      <c r="H119" s="556"/>
      <c r="I119" s="484"/>
      <c r="J119" s="549"/>
      <c r="K119" s="549"/>
      <c r="L119" s="550"/>
      <c r="M119" s="659"/>
      <c r="N119" s="475"/>
      <c r="O119" s="475"/>
      <c r="P119" s="475"/>
      <c r="Q119" s="657"/>
      <c r="R119" s="657"/>
      <c r="S119" s="657"/>
      <c r="T119" s="657"/>
      <c r="U119" s="577"/>
      <c r="V119" s="577"/>
      <c r="W119" s="577"/>
      <c r="X119" s="577"/>
      <c r="Y119" s="577"/>
      <c r="AB119" s="145"/>
      <c r="AC119" s="6" t="s">
        <v>45</v>
      </c>
      <c r="AD119" s="8">
        <f>AE118-AE117</f>
        <v>-1.6666666666687036E-3</v>
      </c>
      <c r="AE119" s="277"/>
      <c r="AF119" s="277"/>
      <c r="AG119" s="277"/>
      <c r="AH119" s="277"/>
      <c r="AI119" s="277"/>
      <c r="AJ119" s="277"/>
      <c r="AK119" s="277"/>
      <c r="AL119" s="277"/>
      <c r="AM119" s="277"/>
      <c r="AN119" s="277"/>
      <c r="AO119" s="277"/>
      <c r="AP119" s="277"/>
      <c r="AQ119" s="277"/>
      <c r="AR119" s="277"/>
      <c r="AS119" s="277"/>
      <c r="AT119" s="277"/>
      <c r="AU119" s="277"/>
      <c r="AV119" s="277"/>
      <c r="AW119" s="277"/>
      <c r="AX119" s="277"/>
      <c r="AY119" s="277"/>
      <c r="AZ119" s="277"/>
      <c r="BA119" s="277"/>
      <c r="BB119" s="277"/>
      <c r="BC119" s="277"/>
      <c r="BD119" s="277"/>
      <c r="BE119" s="277"/>
      <c r="BF119" s="277"/>
      <c r="BG119" s="277"/>
      <c r="BH119" s="277"/>
      <c r="BI119" s="277"/>
      <c r="BJ119" s="277"/>
      <c r="BK119" s="277"/>
      <c r="BL119" s="277"/>
      <c r="BM119" s="277"/>
      <c r="BN119" s="278"/>
    </row>
    <row r="120" spans="2:66" s="276" customFormat="1" ht="17.25" customHeight="1" thickTop="1" thickBot="1">
      <c r="C120" s="279"/>
      <c r="D120" s="279"/>
      <c r="E120" s="279"/>
      <c r="F120" s="556"/>
      <c r="G120" s="556"/>
      <c r="H120" s="556"/>
      <c r="I120" s="484"/>
      <c r="J120" s="549"/>
      <c r="K120" s="549"/>
      <c r="L120" s="550"/>
      <c r="M120" s="659">
        <v>13</v>
      </c>
      <c r="N120" s="475"/>
      <c r="O120" s="475"/>
      <c r="P120" s="475" t="s">
        <v>3</v>
      </c>
      <c r="Q120" s="663" t="s">
        <v>512</v>
      </c>
      <c r="R120" s="657"/>
      <c r="S120" s="657"/>
      <c r="T120" s="657"/>
      <c r="U120" s="400" t="str" cm="1">
        <f t="array" ref="U120">angleDecimal2Txt((AE118))</f>
        <v>+23°08.00 (+23.1333) [+23°08'00.00]</v>
      </c>
      <c r="V120" s="577"/>
      <c r="W120" s="577"/>
      <c r="X120" s="577"/>
      <c r="Y120" s="577"/>
      <c r="AB120" s="145"/>
      <c r="AC120" s="6" t="s">
        <v>341</v>
      </c>
      <c r="AD120" s="8">
        <f>M120-M118</f>
        <v>1</v>
      </c>
      <c r="AI120" s="277"/>
      <c r="AJ120" s="277"/>
      <c r="AK120" s="277"/>
      <c r="AL120" s="277"/>
      <c r="AM120" s="277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8"/>
    </row>
    <row r="121" spans="2:66" s="276" customFormat="1" ht="17.25" customHeight="1" thickTop="1" thickBot="1">
      <c r="C121" s="279"/>
      <c r="D121" s="279"/>
      <c r="E121" s="279"/>
      <c r="F121" s="556"/>
      <c r="G121" s="556"/>
      <c r="H121" s="556"/>
      <c r="I121" s="644"/>
      <c r="J121" s="730"/>
      <c r="K121" s="730"/>
      <c r="L121" s="645"/>
      <c r="M121" s="659"/>
      <c r="N121" s="475"/>
      <c r="O121" s="475"/>
      <c r="P121" s="475"/>
      <c r="Q121" s="657"/>
      <c r="R121" s="657"/>
      <c r="S121" s="657"/>
      <c r="T121" s="657"/>
      <c r="U121" s="577"/>
      <c r="V121" s="577"/>
      <c r="W121" s="577"/>
      <c r="X121" s="577"/>
      <c r="Y121" s="577"/>
      <c r="AB121" s="145"/>
      <c r="AC121" s="6" t="s">
        <v>46</v>
      </c>
      <c r="AD121" s="8">
        <f>I118-M118</f>
        <v>0.52013010614401267</v>
      </c>
      <c r="AE121" s="277"/>
      <c r="AF121" s="277"/>
      <c r="AG121" s="277"/>
      <c r="AH121" s="277"/>
      <c r="AI121" s="302"/>
      <c r="AJ121" s="277"/>
      <c r="AK121" s="277"/>
      <c r="AL121" s="277"/>
      <c r="AM121" s="277"/>
      <c r="AN121" s="277"/>
      <c r="AO121" s="277"/>
      <c r="AP121" s="277"/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8"/>
    </row>
    <row r="122" spans="2:66" s="276" customFormat="1" ht="17.25" customHeight="1" thickTop="1" thickBot="1">
      <c r="C122" s="279"/>
      <c r="D122" s="279"/>
      <c r="E122" s="279"/>
      <c r="F122" s="402" t="str" cm="1">
        <f t="array" ref="F122">angleDecimal2Txt(F118)</f>
        <v>+23°08.04 (+23.1341) [+23°08'02.87]</v>
      </c>
      <c r="G122" s="402"/>
      <c r="H122" s="402"/>
      <c r="I122" s="581"/>
      <c r="J122" s="581"/>
      <c r="K122" s="581"/>
      <c r="AA122" s="285"/>
      <c r="AB122" s="145"/>
      <c r="AC122" s="6" t="s">
        <v>44</v>
      </c>
      <c r="AD122" s="6">
        <f>AE117+(AD119/AD120)*AD121</f>
        <v>23.13413311648976</v>
      </c>
      <c r="AE122" s="277"/>
      <c r="AF122" s="277"/>
      <c r="AG122" s="277"/>
      <c r="AH122" s="277"/>
      <c r="AI122" s="277"/>
      <c r="AJ122" s="277"/>
      <c r="AK122" s="277"/>
      <c r="AL122" s="277"/>
      <c r="AM122" s="277"/>
      <c r="AN122" s="277"/>
      <c r="AO122" s="277"/>
      <c r="AP122" s="277"/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8"/>
    </row>
    <row r="123" spans="2:66" s="276" customFormat="1" ht="17.25" customHeight="1" thickTop="1">
      <c r="C123" s="310" t="s">
        <v>16</v>
      </c>
      <c r="D123" s="310"/>
      <c r="E123" s="311"/>
      <c r="F123" s="311"/>
      <c r="G123" s="285"/>
      <c r="H123" s="285"/>
      <c r="I123" s="285"/>
      <c r="AA123" s="285"/>
      <c r="AB123" s="145"/>
      <c r="AC123" s="277"/>
      <c r="AD123" s="277"/>
      <c r="AE123" s="277"/>
      <c r="AF123" s="277"/>
      <c r="AG123" s="277"/>
      <c r="AH123" s="277"/>
      <c r="AI123" s="277"/>
      <c r="AJ123" s="277"/>
      <c r="AK123" s="277"/>
      <c r="AL123" s="277"/>
      <c r="AM123" s="277"/>
      <c r="AN123" s="277"/>
      <c r="AO123" s="277"/>
      <c r="AP123" s="277"/>
      <c r="AQ123" s="277"/>
      <c r="AR123" s="277"/>
      <c r="AS123" s="277"/>
      <c r="AT123" s="277"/>
      <c r="AU123" s="277"/>
      <c r="AV123" s="277"/>
      <c r="AW123" s="277"/>
      <c r="AX123" s="277"/>
      <c r="AY123" s="277"/>
      <c r="AZ123" s="277"/>
      <c r="BA123" s="277"/>
      <c r="BB123" s="277"/>
      <c r="BC123" s="277"/>
      <c r="BD123" s="277"/>
      <c r="BE123" s="277"/>
      <c r="BF123" s="277"/>
      <c r="BG123" s="277"/>
      <c r="BH123" s="277"/>
      <c r="BI123" s="277"/>
      <c r="BJ123" s="277"/>
      <c r="BK123" s="277"/>
      <c r="BL123" s="277"/>
      <c r="BM123" s="277"/>
      <c r="BN123" s="278"/>
    </row>
    <row r="124" spans="2:66" s="276" customFormat="1" ht="17.25" customHeight="1">
      <c r="C124" s="285"/>
      <c r="D124" s="285"/>
      <c r="E124" s="285"/>
      <c r="F124" s="476" t="s">
        <v>9</v>
      </c>
      <c r="G124" s="476"/>
      <c r="H124" s="476"/>
      <c r="I124" s="434" t="s">
        <v>12</v>
      </c>
      <c r="J124" s="435"/>
      <c r="K124" s="435"/>
      <c r="L124" s="436"/>
      <c r="M124" s="469" t="s">
        <v>13</v>
      </c>
      <c r="N124" s="469"/>
      <c r="O124" s="469"/>
      <c r="P124" s="478" t="s">
        <v>18</v>
      </c>
      <c r="Q124" s="478"/>
      <c r="R124" s="478"/>
      <c r="S124" s="478"/>
      <c r="T124" s="478"/>
      <c r="U124" s="478" t="s">
        <v>235</v>
      </c>
      <c r="V124" s="478"/>
      <c r="W124" s="478"/>
      <c r="X124" s="478"/>
      <c r="Y124" s="478"/>
      <c r="AA124" s="285"/>
      <c r="AB124" s="145"/>
      <c r="AC124" s="6" t="s">
        <v>342</v>
      </c>
      <c r="AD124" s="6">
        <f>VLOOKUP(P126,Outils!C15:E16,3)</f>
        <v>-1</v>
      </c>
      <c r="AE124" s="277"/>
      <c r="AF124" s="277"/>
      <c r="AG124" s="277"/>
      <c r="AH124" s="277"/>
      <c r="AI124" s="277"/>
      <c r="AJ124" s="277"/>
      <c r="AK124" s="277"/>
      <c r="AL124" s="277"/>
      <c r="AM124" s="277"/>
      <c r="AN124" s="277"/>
      <c r="AO124" s="277"/>
      <c r="AP124" s="277"/>
      <c r="AQ124" s="277"/>
      <c r="AR124" s="277"/>
      <c r="AS124" s="277"/>
      <c r="AT124" s="277"/>
      <c r="AU124" s="277"/>
      <c r="AV124" s="277"/>
      <c r="AW124" s="277"/>
      <c r="AX124" s="277"/>
      <c r="AY124" s="277"/>
      <c r="AZ124" s="277"/>
      <c r="BA124" s="277"/>
      <c r="BB124" s="277"/>
      <c r="BC124" s="277"/>
      <c r="BD124" s="277"/>
      <c r="BE124" s="277"/>
      <c r="BF124" s="277"/>
      <c r="BG124" s="277"/>
      <c r="BH124" s="277"/>
      <c r="BI124" s="277"/>
      <c r="BJ124" s="277"/>
      <c r="BK124" s="277"/>
      <c r="BL124" s="277"/>
      <c r="BM124" s="277"/>
      <c r="BN124" s="278"/>
    </row>
    <row r="125" spans="2:66" s="276" customFormat="1" ht="17.25" customHeight="1">
      <c r="C125" s="279"/>
      <c r="D125" s="279"/>
      <c r="E125" s="279"/>
      <c r="F125" s="476"/>
      <c r="G125" s="476"/>
      <c r="H125" s="476"/>
      <c r="I125" s="437"/>
      <c r="J125" s="438"/>
      <c r="K125" s="438"/>
      <c r="L125" s="439"/>
      <c r="M125" s="469"/>
      <c r="N125" s="469"/>
      <c r="O125" s="469"/>
      <c r="P125" s="478"/>
      <c r="Q125" s="478"/>
      <c r="R125" s="478"/>
      <c r="S125" s="478"/>
      <c r="T125" s="478"/>
      <c r="U125" s="478"/>
      <c r="V125" s="478"/>
      <c r="W125" s="478"/>
      <c r="X125" s="478"/>
      <c r="Y125" s="478"/>
      <c r="Z125" s="285"/>
      <c r="AA125" s="285"/>
      <c r="AB125" s="145"/>
      <c r="AC125" s="6" t="s">
        <v>343</v>
      </c>
      <c r="AD125" s="6" cm="1">
        <f t="array" ref="AD125">angleConvert2Decimal(Q126)*AD124</f>
        <v>-12.24</v>
      </c>
      <c r="AE125" s="277"/>
      <c r="AF125" s="277"/>
      <c r="AG125" s="277"/>
      <c r="AH125" s="277"/>
      <c r="AI125" s="277"/>
      <c r="AJ125" s="277"/>
      <c r="AK125" s="277"/>
      <c r="AL125" s="277"/>
      <c r="AM125" s="277"/>
      <c r="AN125" s="277"/>
      <c r="AO125" s="277"/>
      <c r="AP125" s="277"/>
      <c r="AQ125" s="277"/>
      <c r="AR125" s="277"/>
      <c r="AS125" s="277"/>
      <c r="AT125" s="277"/>
      <c r="AU125" s="277"/>
      <c r="AV125" s="277"/>
      <c r="AW125" s="277"/>
      <c r="AX125" s="277"/>
      <c r="AY125" s="277"/>
      <c r="AZ125" s="277"/>
      <c r="BA125" s="277"/>
      <c r="BB125" s="277"/>
      <c r="BC125" s="277"/>
      <c r="BD125" s="277"/>
      <c r="BE125" s="277"/>
      <c r="BF125" s="277"/>
      <c r="BG125" s="277"/>
      <c r="BH125" s="277"/>
      <c r="BI125" s="277"/>
      <c r="BJ125" s="277"/>
      <c r="BK125" s="277"/>
      <c r="BL125" s="277"/>
      <c r="BM125" s="277"/>
      <c r="BN125" s="278"/>
    </row>
    <row r="126" spans="2:66" s="276" customFormat="1" ht="17.25" customHeight="1">
      <c r="C126" s="279"/>
      <c r="D126" s="279"/>
      <c r="F126" s="555" t="str">
        <f>IF(G114=AD115,AD128,"---")</f>
        <v>---</v>
      </c>
      <c r="G126" s="555"/>
      <c r="H126" s="555"/>
      <c r="I126" s="546">
        <f>E84</f>
        <v>12.520130106144013</v>
      </c>
      <c r="J126" s="547"/>
      <c r="K126" s="547"/>
      <c r="L126" s="548"/>
      <c r="M126" s="658">
        <v>0</v>
      </c>
      <c r="N126" s="474"/>
      <c r="O126" s="474"/>
      <c r="P126" s="474" t="s">
        <v>4</v>
      </c>
      <c r="Q126" s="669" t="s">
        <v>227</v>
      </c>
      <c r="R126" s="474"/>
      <c r="S126" s="474"/>
      <c r="T126" s="474"/>
      <c r="U126" s="474" t="s">
        <v>3</v>
      </c>
      <c r="V126" s="669" t="s">
        <v>173</v>
      </c>
      <c r="W126" s="474"/>
      <c r="X126" s="474"/>
      <c r="Y126" s="474"/>
      <c r="Z126" s="285"/>
      <c r="AB126" s="145"/>
      <c r="AC126" s="6" t="s">
        <v>344</v>
      </c>
      <c r="AD126" s="6">
        <f>VLOOKUP(U126,Outils!C15:E16,3)</f>
        <v>1</v>
      </c>
      <c r="AE126" s="277"/>
      <c r="AF126" s="277"/>
      <c r="AG126" s="277"/>
      <c r="AH126" s="277"/>
      <c r="AI126" s="277"/>
      <c r="AJ126" s="277"/>
      <c r="AK126" s="277"/>
      <c r="AL126" s="277"/>
      <c r="AM126" s="277"/>
      <c r="AN126" s="277"/>
      <c r="AO126" s="277"/>
      <c r="AP126" s="277"/>
      <c r="AQ126" s="277"/>
      <c r="AR126" s="277"/>
      <c r="AS126" s="277"/>
      <c r="AT126" s="277"/>
      <c r="AU126" s="277"/>
      <c r="AV126" s="277"/>
      <c r="AW126" s="277"/>
      <c r="AX126" s="277"/>
      <c r="AY126" s="277"/>
      <c r="AZ126" s="277"/>
      <c r="BA126" s="277"/>
      <c r="BB126" s="277"/>
      <c r="BC126" s="277"/>
      <c r="BD126" s="277"/>
      <c r="BE126" s="277"/>
      <c r="BF126" s="277"/>
      <c r="BG126" s="277"/>
      <c r="BH126" s="277"/>
      <c r="BI126" s="277"/>
      <c r="BJ126" s="277"/>
      <c r="BK126" s="277"/>
      <c r="BL126" s="277"/>
      <c r="BM126" s="277"/>
      <c r="BN126" s="278"/>
    </row>
    <row r="127" spans="2:66" s="276" customFormat="1" ht="17.25" customHeight="1" collapsed="1" thickBot="1">
      <c r="C127" s="279"/>
      <c r="D127" s="279"/>
      <c r="E127" s="279"/>
      <c r="F127" s="556"/>
      <c r="G127" s="556"/>
      <c r="H127" s="556"/>
      <c r="I127" s="644"/>
      <c r="J127" s="730"/>
      <c r="K127" s="730"/>
      <c r="L127" s="645"/>
      <c r="M127" s="659"/>
      <c r="N127" s="475"/>
      <c r="O127" s="475"/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285"/>
      <c r="AB127" s="145"/>
      <c r="AC127" s="6" t="s">
        <v>345</v>
      </c>
      <c r="AD127" s="6" cm="1">
        <f t="array" ref="AD127">angleConvert2Decimal(V126)*AD126</f>
        <v>1.6E-2</v>
      </c>
      <c r="AE127" s="277"/>
      <c r="AF127" s="277"/>
      <c r="AG127" s="277"/>
      <c r="AH127" s="277"/>
      <c r="AI127" s="277"/>
      <c r="AJ127" s="277"/>
      <c r="AK127" s="277"/>
      <c r="AL127" s="277"/>
      <c r="AM127" s="277"/>
      <c r="AN127" s="277"/>
      <c r="AO127" s="277"/>
      <c r="AP127" s="277"/>
      <c r="AQ127" s="277"/>
      <c r="AR127" s="277"/>
      <c r="AS127" s="277"/>
      <c r="AT127" s="277"/>
      <c r="AU127" s="277"/>
      <c r="AV127" s="277"/>
      <c r="AW127" s="277"/>
      <c r="AX127" s="277"/>
      <c r="AY127" s="277"/>
      <c r="AZ127" s="277"/>
      <c r="BA127" s="277"/>
      <c r="BB127" s="277"/>
      <c r="BC127" s="277"/>
      <c r="BD127" s="277"/>
      <c r="BE127" s="277"/>
      <c r="BF127" s="277"/>
      <c r="BG127" s="277"/>
      <c r="BH127" s="277"/>
      <c r="BI127" s="277"/>
      <c r="BJ127" s="277"/>
      <c r="BK127" s="277"/>
      <c r="BL127" s="277"/>
      <c r="BM127" s="277"/>
      <c r="BN127" s="278"/>
    </row>
    <row r="128" spans="2:66" s="276" customFormat="1" ht="17.25" customHeight="1" thickTop="1" thickBot="1">
      <c r="C128" s="279"/>
      <c r="D128" s="279"/>
      <c r="E128" s="279"/>
      <c r="F128" s="402" t="e" cm="1">
        <f t="array" ref="F128">angleDecimal2Txt(F126)</f>
        <v>#VALUE!</v>
      </c>
      <c r="G128" s="402"/>
      <c r="H128" s="402"/>
      <c r="I128" s="581"/>
      <c r="J128" s="581"/>
      <c r="K128" s="581"/>
      <c r="P128" s="402" t="str" cm="1">
        <f t="array" ref="P128">angleDecimal2Txt(AD125)</f>
        <v>-12°14.40 (-12.2400) [-12°14'24.00]</v>
      </c>
      <c r="Q128" s="402"/>
      <c r="R128" s="402"/>
      <c r="S128" s="402"/>
      <c r="T128" s="402"/>
      <c r="U128" s="402" t="str" cm="1">
        <f t="array" ref="U128">angleDecimal2Txt(AD127)</f>
        <v>+00°00.96 (+00.0160) [+00°00'57.60]</v>
      </c>
      <c r="V128" s="588"/>
      <c r="W128" s="588"/>
      <c r="X128" s="588"/>
      <c r="Y128" s="588"/>
      <c r="AB128" s="145"/>
      <c r="AC128" s="6" t="s">
        <v>346</v>
      </c>
      <c r="AD128" s="6">
        <f>AD125+AD127*(I126-M126)</f>
        <v>-12.039677918301695</v>
      </c>
      <c r="AE128" s="277"/>
      <c r="AF128" s="277"/>
      <c r="AG128" s="277"/>
      <c r="AH128" s="277"/>
      <c r="AI128" s="277"/>
      <c r="AJ128" s="277"/>
      <c r="AK128" s="277"/>
      <c r="AL128" s="277"/>
      <c r="AM128" s="277"/>
      <c r="AN128" s="277"/>
      <c r="AO128" s="277"/>
      <c r="AP128" s="277"/>
      <c r="AQ128" s="277"/>
      <c r="AR128" s="277"/>
      <c r="AS128" s="277"/>
      <c r="AT128" s="277"/>
      <c r="AU128" s="277"/>
      <c r="AV128" s="277"/>
      <c r="AW128" s="277"/>
      <c r="AX128" s="277"/>
      <c r="AY128" s="277"/>
      <c r="AZ128" s="277"/>
      <c r="BA128" s="277"/>
      <c r="BB128" s="277"/>
      <c r="BC128" s="277"/>
      <c r="BD128" s="277"/>
      <c r="BE128" s="277"/>
      <c r="BF128" s="277"/>
      <c r="BG128" s="277"/>
      <c r="BH128" s="277"/>
      <c r="BI128" s="277"/>
      <c r="BJ128" s="277"/>
      <c r="BK128" s="277"/>
      <c r="BL128" s="277"/>
      <c r="BM128" s="277"/>
      <c r="BN128" s="278"/>
    </row>
    <row r="129" spans="1:67" s="276" customFormat="1" ht="17.25" customHeight="1" thickTop="1">
      <c r="C129" s="279"/>
      <c r="D129" s="279"/>
      <c r="E129" s="279"/>
      <c r="F129" s="279"/>
      <c r="G129" s="279"/>
      <c r="S129" s="285"/>
      <c r="T129" s="285"/>
      <c r="U129" s="285"/>
      <c r="V129" s="285"/>
      <c r="W129" s="285"/>
      <c r="X129" s="285"/>
      <c r="AB129" s="145"/>
      <c r="AC129" s="277"/>
      <c r="AD129" s="277"/>
      <c r="AE129" s="277"/>
      <c r="AF129" s="277"/>
      <c r="AG129" s="277"/>
      <c r="AH129" s="277"/>
      <c r="AI129" s="277"/>
      <c r="AJ129" s="277"/>
      <c r="AK129" s="277"/>
      <c r="AL129" s="277"/>
      <c r="AM129" s="277"/>
      <c r="AN129" s="277"/>
      <c r="AO129" s="277"/>
      <c r="AP129" s="277"/>
      <c r="AQ129" s="277"/>
      <c r="AR129" s="277"/>
      <c r="AS129" s="277"/>
      <c r="AT129" s="277"/>
      <c r="AU129" s="277"/>
      <c r="AV129" s="277"/>
      <c r="AW129" s="277"/>
      <c r="AX129" s="277"/>
      <c r="AY129" s="277"/>
      <c r="AZ129" s="277"/>
      <c r="BA129" s="277"/>
      <c r="BB129" s="277"/>
      <c r="BC129" s="277"/>
      <c r="BD129" s="277"/>
      <c r="BE129" s="277"/>
      <c r="BF129" s="277"/>
      <c r="BG129" s="277"/>
      <c r="BH129" s="277"/>
      <c r="BI129" s="277"/>
      <c r="BJ129" s="277"/>
      <c r="BK129" s="277"/>
      <c r="BL129" s="277"/>
      <c r="BM129" s="277"/>
      <c r="BN129" s="278"/>
    </row>
    <row r="130" spans="1:67" s="276" customFormat="1" ht="17.25" customHeight="1" thickBot="1">
      <c r="C130" s="279"/>
      <c r="D130" s="279"/>
      <c r="E130" s="279"/>
      <c r="F130" s="279"/>
      <c r="G130" s="279"/>
      <c r="S130" s="285"/>
      <c r="T130" s="285"/>
      <c r="U130" s="285"/>
      <c r="V130" s="285"/>
      <c r="W130" s="285"/>
      <c r="X130" s="285"/>
      <c r="AB130" s="145"/>
      <c r="AC130" s="277"/>
      <c r="AD130" s="277"/>
      <c r="AE130" s="277"/>
      <c r="AF130" s="277"/>
      <c r="AG130" s="277"/>
      <c r="AH130" s="277"/>
      <c r="AI130" s="277"/>
      <c r="AJ130" s="277"/>
      <c r="AK130" s="277"/>
      <c r="AL130" s="277"/>
      <c r="AM130" s="277"/>
      <c r="AN130" s="277"/>
      <c r="AO130" s="277"/>
      <c r="AP130" s="277"/>
      <c r="AQ130" s="277"/>
      <c r="AR130" s="277"/>
      <c r="AS130" s="277"/>
      <c r="AT130" s="277"/>
      <c r="AU130" s="277"/>
      <c r="AV130" s="277"/>
      <c r="AW130" s="277"/>
      <c r="AX130" s="277"/>
      <c r="AY130" s="277"/>
      <c r="AZ130" s="277"/>
      <c r="BA130" s="277"/>
      <c r="BB130" s="277"/>
      <c r="BC130" s="277"/>
      <c r="BD130" s="277"/>
      <c r="BE130" s="277"/>
      <c r="BF130" s="277"/>
      <c r="BG130" s="277"/>
      <c r="BH130" s="277"/>
      <c r="BI130" s="277"/>
      <c r="BJ130" s="277"/>
      <c r="BK130" s="277"/>
      <c r="BL130" s="277"/>
      <c r="BM130" s="277"/>
      <c r="BN130" s="278"/>
    </row>
    <row r="131" spans="1:67" s="276" customFormat="1" ht="17.25" customHeight="1" thickBot="1">
      <c r="B131" s="293" t="s">
        <v>25</v>
      </c>
      <c r="C131" s="294"/>
      <c r="D131" s="736" t="s">
        <v>100</v>
      </c>
      <c r="E131" s="737"/>
      <c r="F131" s="468">
        <f>IF(G132=AD132,O171,O161)</f>
        <v>67.147622184360216</v>
      </c>
      <c r="G131" s="468"/>
      <c r="H131" s="468"/>
      <c r="I131" s="294"/>
      <c r="J131" s="294"/>
      <c r="K131" s="294"/>
      <c r="L131" s="294" t="s">
        <v>88</v>
      </c>
      <c r="M131" s="736">
        <f>O134</f>
        <v>66.95</v>
      </c>
      <c r="N131" s="736"/>
      <c r="O131" s="294"/>
      <c r="P131" s="312"/>
      <c r="Q131" s="294" t="s">
        <v>127</v>
      </c>
      <c r="R131" s="294"/>
      <c r="S131" s="672">
        <f>-O148+O143+O152</f>
        <v>0.260725308404401</v>
      </c>
      <c r="T131" s="673"/>
      <c r="U131" s="674"/>
      <c r="V131" s="738" t="str" cm="1">
        <f t="array" ref="V131">angleDecimal2Txt(S131)</f>
        <v>+00°15.64 (+00.2607) [+00°15'38.61]</v>
      </c>
      <c r="W131" s="739"/>
      <c r="X131" s="739"/>
      <c r="Y131" s="739"/>
      <c r="Z131" s="740"/>
      <c r="AA131" s="294"/>
      <c r="AB131" s="148"/>
      <c r="AC131" s="277"/>
      <c r="AD131" s="277"/>
      <c r="AE131" s="277"/>
      <c r="AF131" s="277"/>
      <c r="AG131" s="277"/>
      <c r="AH131" s="277"/>
      <c r="AI131" s="277"/>
      <c r="AJ131" s="277"/>
      <c r="AK131" s="277"/>
      <c r="AL131" s="277"/>
      <c r="AM131" s="277"/>
      <c r="AN131" s="277"/>
      <c r="AO131" s="277"/>
      <c r="AP131" s="277"/>
      <c r="AQ131" s="277"/>
      <c r="AR131" s="277"/>
      <c r="AS131" s="277"/>
      <c r="AT131" s="277"/>
      <c r="AU131" s="277"/>
      <c r="AV131" s="277"/>
      <c r="AW131" s="277"/>
      <c r="AX131" s="277"/>
      <c r="AY131" s="277"/>
      <c r="AZ131" s="277"/>
      <c r="BA131" s="277"/>
      <c r="BB131" s="277"/>
      <c r="BC131" s="277"/>
      <c r="BD131" s="277"/>
      <c r="BE131" s="277"/>
      <c r="BF131" s="277"/>
      <c r="BG131" s="277"/>
      <c r="BH131" s="277"/>
      <c r="BI131" s="277"/>
      <c r="BJ131" s="277"/>
      <c r="BK131" s="277"/>
      <c r="BL131" s="277"/>
      <c r="BM131" s="277"/>
      <c r="BN131" s="278"/>
    </row>
    <row r="132" spans="1:67" s="276" customFormat="1" ht="17.25" customHeight="1">
      <c r="C132" s="466" t="s">
        <v>42</v>
      </c>
      <c r="D132" s="466"/>
      <c r="E132" s="466"/>
      <c r="F132" s="466"/>
      <c r="G132" s="587" t="s">
        <v>59</v>
      </c>
      <c r="H132" s="587"/>
      <c r="I132" s="587"/>
      <c r="P132" s="276" t="s">
        <v>97</v>
      </c>
      <c r="V132" s="285"/>
      <c r="W132" s="285"/>
      <c r="X132" s="285"/>
      <c r="Y132" s="285"/>
      <c r="Z132" s="285"/>
      <c r="AB132" s="145"/>
      <c r="AC132" s="731" t="s">
        <v>43</v>
      </c>
      <c r="AD132" s="304" t="s">
        <v>58</v>
      </c>
      <c r="AE132" s="277"/>
      <c r="AF132" s="277"/>
      <c r="AG132" s="277"/>
      <c r="AH132" s="277"/>
      <c r="AI132" s="277"/>
      <c r="AJ132" s="277"/>
      <c r="AK132" s="277"/>
      <c r="AL132" s="277"/>
      <c r="AM132" s="277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/>
      <c r="AY132" s="277"/>
      <c r="AZ132" s="277"/>
      <c r="BA132" s="277"/>
      <c r="BB132" s="277"/>
      <c r="BC132" s="277"/>
      <c r="BD132" s="277"/>
      <c r="BE132" s="277"/>
      <c r="BF132" s="277"/>
      <c r="BG132" s="277"/>
      <c r="BH132" s="277"/>
      <c r="BI132" s="277"/>
      <c r="BJ132" s="277"/>
      <c r="BK132" s="277"/>
      <c r="BL132" s="277"/>
      <c r="BM132" s="277"/>
      <c r="BN132" s="278"/>
    </row>
    <row r="133" spans="1:67" s="276" customFormat="1" ht="17.25" customHeight="1" thickBot="1">
      <c r="C133" s="309"/>
      <c r="D133" s="309"/>
      <c r="E133" s="309"/>
      <c r="F133" s="725" t="s">
        <v>90</v>
      </c>
      <c r="G133" s="725"/>
      <c r="H133" s="732"/>
      <c r="I133" s="732"/>
      <c r="J133" s="733">
        <f>IF(G132=AD132,"---",O161)</f>
        <v>67.147622184360216</v>
      </c>
      <c r="K133" s="734"/>
      <c r="L133" s="735"/>
      <c r="M133" s="313"/>
      <c r="N133" s="313"/>
      <c r="O133" s="313"/>
      <c r="P133" s="313"/>
      <c r="Q133" s="313"/>
      <c r="R133" s="313"/>
      <c r="S133" s="313"/>
      <c r="T133" s="313"/>
      <c r="U133" s="313"/>
      <c r="V133" s="314"/>
      <c r="W133" s="314"/>
      <c r="X133" s="314"/>
      <c r="Y133" s="314"/>
      <c r="Z133" s="314"/>
      <c r="AB133" s="145"/>
      <c r="AC133" s="731"/>
      <c r="AD133" s="304" t="s">
        <v>59</v>
      </c>
      <c r="AE133" s="277"/>
      <c r="AF133" s="277"/>
      <c r="AG133" s="277"/>
      <c r="AH133" s="277"/>
      <c r="AI133" s="277"/>
      <c r="AJ133" s="277"/>
      <c r="AK133" s="277"/>
      <c r="AL133" s="277"/>
      <c r="AM133" s="277"/>
      <c r="AN133" s="277"/>
      <c r="AO133" s="277"/>
      <c r="AP133" s="277"/>
      <c r="AQ133" s="277"/>
      <c r="AR133" s="277"/>
      <c r="AS133" s="277"/>
      <c r="AT133" s="277"/>
      <c r="AU133" s="277"/>
      <c r="AV133" s="277"/>
      <c r="AW133" s="277"/>
      <c r="AX133" s="277"/>
      <c r="AY133" s="277"/>
      <c r="AZ133" s="277"/>
      <c r="BA133" s="277"/>
      <c r="BB133" s="277"/>
      <c r="BC133" s="277"/>
      <c r="BD133" s="277"/>
      <c r="BE133" s="277"/>
      <c r="BF133" s="277"/>
      <c r="BG133" s="277"/>
      <c r="BH133" s="277"/>
      <c r="BI133" s="277"/>
      <c r="BJ133" s="277"/>
      <c r="BK133" s="277"/>
      <c r="BL133" s="277"/>
      <c r="BM133" s="277"/>
      <c r="BN133" s="278"/>
    </row>
    <row r="134" spans="1:67" s="276" customFormat="1" ht="17.25" customHeight="1" thickTop="1" thickBot="1">
      <c r="H134" s="726" t="s">
        <v>55</v>
      </c>
      <c r="I134" s="727"/>
      <c r="J134" s="727"/>
      <c r="K134" s="727"/>
      <c r="L134" s="727"/>
      <c r="M134" s="727"/>
      <c r="N134" s="728"/>
      <c r="O134" s="389">
        <f>J94</f>
        <v>66.95</v>
      </c>
      <c r="P134" s="389"/>
      <c r="Q134" s="389"/>
      <c r="R134" s="389"/>
      <c r="S134" s="276" t="s">
        <v>71</v>
      </c>
      <c r="U134" s="412" t="str" cm="1">
        <f t="array" ref="U134">angleDecimal2Txt(O134)</f>
        <v>+66°57.00 (+66.9500) [+66°57'00.00]</v>
      </c>
      <c r="V134" s="413"/>
      <c r="W134" s="413"/>
      <c r="X134" s="413"/>
      <c r="Y134" s="413"/>
      <c r="Z134" s="414"/>
      <c r="AB134" s="145"/>
      <c r="AC134" s="277"/>
      <c r="AD134" s="277"/>
      <c r="AE134" s="277"/>
      <c r="AF134" s="277"/>
      <c r="AG134" s="277"/>
      <c r="AH134" s="277"/>
      <c r="AI134" s="277"/>
      <c r="AJ134" s="277"/>
      <c r="AK134" s="277"/>
      <c r="AL134" s="277"/>
      <c r="AM134" s="277"/>
      <c r="AN134" s="277"/>
      <c r="AO134" s="277"/>
      <c r="AP134" s="277"/>
      <c r="AQ134" s="277"/>
      <c r="AR134" s="277"/>
      <c r="AS134" s="277"/>
      <c r="AT134" s="277"/>
      <c r="AU134" s="277"/>
      <c r="AV134" s="277"/>
      <c r="AW134" s="277"/>
      <c r="AX134" s="277"/>
      <c r="AY134" s="277"/>
      <c r="AZ134" s="277"/>
      <c r="BA134" s="277"/>
      <c r="BB134" s="277"/>
      <c r="BC134" s="277"/>
      <c r="BD134" s="277"/>
      <c r="BE134" s="277"/>
      <c r="BF134" s="277"/>
      <c r="BG134" s="277"/>
      <c r="BH134" s="277"/>
      <c r="BI134" s="277"/>
      <c r="BJ134" s="277"/>
      <c r="BK134" s="277"/>
      <c r="BL134" s="277"/>
      <c r="BM134" s="277"/>
      <c r="BN134" s="278"/>
    </row>
    <row r="135" spans="1:67" s="276" customFormat="1" ht="17.25" customHeight="1" thickTop="1" thickBot="1">
      <c r="H135" s="726" t="s">
        <v>26</v>
      </c>
      <c r="I135" s="727"/>
      <c r="J135" s="727"/>
      <c r="K135" s="727"/>
      <c r="L135" s="727"/>
      <c r="M135" s="727"/>
      <c r="N135" s="728"/>
      <c r="O135" s="389">
        <f>J93</f>
        <v>2.1666666666666667E-2</v>
      </c>
      <c r="P135" s="389"/>
      <c r="Q135" s="389"/>
      <c r="R135" s="389"/>
      <c r="S135" s="276" t="s">
        <v>71</v>
      </c>
      <c r="U135" s="412" t="str" cm="1">
        <f t="array" ref="U135">angleDecimal2Txt(O135)</f>
        <v>+00°01.30 (+00.0216) [+00°01'18.00]</v>
      </c>
      <c r="V135" s="413"/>
      <c r="W135" s="413"/>
      <c r="X135" s="413"/>
      <c r="Y135" s="413"/>
      <c r="Z135" s="414"/>
      <c r="AB135" s="145"/>
      <c r="AC135" s="6" t="s">
        <v>87</v>
      </c>
      <c r="AD135" s="8">
        <f>O135</f>
        <v>2.1666666666666667E-2</v>
      </c>
      <c r="AE135" s="277"/>
      <c r="AF135" s="277"/>
      <c r="AG135" s="277"/>
      <c r="AH135" s="277"/>
      <c r="AI135" s="277"/>
      <c r="AJ135" s="277"/>
      <c r="AK135" s="277"/>
      <c r="AL135" s="277"/>
      <c r="AM135" s="277"/>
      <c r="AN135" s="277"/>
      <c r="AO135" s="277"/>
      <c r="AP135" s="277"/>
      <c r="AQ135" s="277"/>
      <c r="AR135" s="277"/>
      <c r="AS135" s="277"/>
      <c r="AT135" s="277"/>
      <c r="AU135" s="277"/>
      <c r="AV135" s="277"/>
      <c r="AW135" s="277"/>
      <c r="AX135" s="277"/>
      <c r="AY135" s="277"/>
      <c r="AZ135" s="277"/>
      <c r="BA135" s="277"/>
      <c r="BB135" s="277"/>
      <c r="BC135" s="277"/>
      <c r="BD135" s="277"/>
      <c r="BE135" s="277"/>
      <c r="BF135" s="277"/>
      <c r="BG135" s="277"/>
      <c r="BH135" s="277"/>
      <c r="BI135" s="277"/>
      <c r="BJ135" s="277"/>
      <c r="BK135" s="277"/>
      <c r="BL135" s="277"/>
      <c r="BM135" s="277"/>
      <c r="BN135" s="278"/>
    </row>
    <row r="136" spans="1:67" s="276" customFormat="1" ht="17.25" customHeight="1" thickTop="1" thickBot="1">
      <c r="C136" s="279"/>
      <c r="D136" s="279"/>
      <c r="E136" s="279"/>
      <c r="F136" s="279"/>
      <c r="H136" s="726" t="s">
        <v>96</v>
      </c>
      <c r="I136" s="727"/>
      <c r="J136" s="727"/>
      <c r="K136" s="727"/>
      <c r="L136" s="727"/>
      <c r="M136" s="727"/>
      <c r="N136" s="728"/>
      <c r="O136" s="398">
        <f>AD137</f>
        <v>4.1436457377531689E-2</v>
      </c>
      <c r="P136" s="398"/>
      <c r="Q136" s="398"/>
      <c r="R136" s="398"/>
      <c r="S136" s="276" t="s">
        <v>71</v>
      </c>
      <c r="U136" s="412" t="str" cm="1">
        <f t="array" ref="U136">angleDecimal2Txt(O136)</f>
        <v>+00°02.48 (+00.0414) [+00°02'29.17]</v>
      </c>
      <c r="V136" s="413"/>
      <c r="W136" s="413"/>
      <c r="X136" s="413"/>
      <c r="Y136" s="413"/>
      <c r="Z136" s="414"/>
      <c r="AB136" s="145"/>
      <c r="AC136" s="6" t="s">
        <v>54</v>
      </c>
      <c r="AD136" s="6">
        <f>J92</f>
        <v>2</v>
      </c>
      <c r="AE136" s="277"/>
      <c r="AF136" s="277"/>
      <c r="AG136" s="277"/>
      <c r="AH136" s="277"/>
      <c r="AI136" s="277"/>
      <c r="AJ136" s="277"/>
      <c r="AK136" s="277"/>
      <c r="AL136" s="277"/>
      <c r="AM136" s="277"/>
      <c r="AN136" s="277"/>
      <c r="AO136" s="277"/>
      <c r="AP136" s="277"/>
      <c r="AQ136" s="277"/>
      <c r="AR136" s="277"/>
      <c r="AS136" s="277"/>
      <c r="AT136" s="277"/>
      <c r="AU136" s="277"/>
      <c r="AV136" s="277"/>
      <c r="AW136" s="277"/>
      <c r="AX136" s="277"/>
      <c r="AY136" s="277"/>
      <c r="AZ136" s="277"/>
      <c r="BA136" s="277"/>
      <c r="BB136" s="277"/>
      <c r="BC136" s="277"/>
      <c r="BD136" s="277"/>
      <c r="BE136" s="277"/>
      <c r="BF136" s="277"/>
      <c r="BG136" s="277"/>
      <c r="BH136" s="277"/>
      <c r="BI136" s="277"/>
      <c r="BJ136" s="277"/>
      <c r="BK136" s="277"/>
      <c r="BL136" s="277"/>
      <c r="BM136" s="277"/>
      <c r="BN136" s="278"/>
    </row>
    <row r="137" spans="1:67" s="276" customFormat="1" ht="17.25" customHeight="1" thickTop="1" thickBot="1">
      <c r="C137" s="279"/>
      <c r="D137" s="279"/>
      <c r="E137" s="279"/>
      <c r="F137" s="279"/>
      <c r="G137" s="279"/>
      <c r="K137" s="285"/>
      <c r="L137" s="285"/>
      <c r="M137" s="643" t="s">
        <v>178</v>
      </c>
      <c r="N137" s="643"/>
      <c r="O137" s="643"/>
      <c r="P137" s="643"/>
      <c r="Q137" s="285"/>
      <c r="R137" s="285"/>
      <c r="U137" s="285"/>
      <c r="V137" s="285"/>
      <c r="W137" s="285"/>
      <c r="X137" s="285"/>
      <c r="Y137" s="285"/>
      <c r="Z137" s="285"/>
      <c r="AB137" s="145"/>
      <c r="AC137" s="158" t="s">
        <v>95</v>
      </c>
      <c r="AD137" s="6">
        <f>0.0293 * SQRT(AD136)</f>
        <v>4.1436457377531689E-2</v>
      </c>
      <c r="AE137" s="277"/>
      <c r="AF137" s="277"/>
      <c r="AG137" s="277"/>
      <c r="AH137" s="277"/>
      <c r="AI137" s="277"/>
      <c r="AJ137" s="277"/>
      <c r="AK137" s="277"/>
      <c r="AL137" s="277"/>
      <c r="AM137" s="277"/>
      <c r="AN137" s="277"/>
      <c r="AO137" s="277"/>
      <c r="AP137" s="277"/>
      <c r="AQ137" s="277"/>
      <c r="AR137" s="277"/>
      <c r="AS137" s="277"/>
      <c r="AT137" s="277"/>
      <c r="AU137" s="277"/>
      <c r="AV137" s="277"/>
      <c r="AW137" s="277"/>
      <c r="AX137" s="277"/>
      <c r="AY137" s="277"/>
      <c r="AZ137" s="277"/>
      <c r="BA137" s="277"/>
      <c r="BB137" s="277"/>
      <c r="BC137" s="277"/>
      <c r="BD137" s="277"/>
      <c r="BE137" s="277"/>
      <c r="BF137" s="277"/>
      <c r="BG137" s="277"/>
      <c r="BH137" s="277"/>
      <c r="BI137" s="277"/>
      <c r="BJ137" s="277"/>
      <c r="BK137" s="277"/>
      <c r="BL137" s="277"/>
      <c r="BM137" s="277"/>
      <c r="BN137" s="278"/>
    </row>
    <row r="138" spans="1:67" s="276" customFormat="1" ht="17.25" customHeight="1" thickTop="1" thickBot="1">
      <c r="C138" s="279"/>
      <c r="D138" s="279"/>
      <c r="E138" s="279"/>
      <c r="F138" s="279"/>
      <c r="H138" s="729" t="s">
        <v>56</v>
      </c>
      <c r="I138" s="527"/>
      <c r="J138" s="527"/>
      <c r="K138" s="527"/>
      <c r="L138" s="527"/>
      <c r="M138" s="527"/>
      <c r="N138" s="528"/>
      <c r="O138" s="557">
        <f>O134-O135-O136</f>
        <v>66.886896875955813</v>
      </c>
      <c r="P138" s="538"/>
      <c r="Q138" s="276" t="s">
        <v>71</v>
      </c>
      <c r="R138" s="563">
        <f>O138*Outils!F10</f>
        <v>1.1673965769273382</v>
      </c>
      <c r="S138" s="563"/>
      <c r="T138" s="119" t="s">
        <v>92</v>
      </c>
      <c r="U138" s="412" t="str" cm="1">
        <f t="array" ref="U138">angleDecimal2Txt(O138)</f>
        <v>+66°53.21 (+66.8868) [+66°53'12.82]</v>
      </c>
      <c r="V138" s="413"/>
      <c r="W138" s="413"/>
      <c r="X138" s="413"/>
      <c r="Y138" s="413"/>
      <c r="Z138" s="414"/>
      <c r="AB138" s="145"/>
      <c r="AC138" s="277"/>
      <c r="AD138" s="277"/>
      <c r="AE138" s="277"/>
      <c r="AF138" s="277"/>
      <c r="AG138" s="277"/>
      <c r="AH138" s="277"/>
      <c r="AI138" s="277"/>
      <c r="AJ138" s="277"/>
      <c r="AK138" s="277"/>
      <c r="AL138" s="277"/>
      <c r="AM138" s="277"/>
      <c r="AN138" s="277"/>
      <c r="AO138" s="277"/>
      <c r="AP138" s="277"/>
      <c r="AQ138" s="277"/>
      <c r="AR138" s="277"/>
      <c r="AS138" s="277"/>
      <c r="AT138" s="277"/>
      <c r="AU138" s="277"/>
      <c r="AV138" s="277"/>
      <c r="AW138" s="277"/>
      <c r="AX138" s="277"/>
      <c r="AY138" s="277"/>
      <c r="AZ138" s="277"/>
      <c r="BA138" s="277"/>
      <c r="BB138" s="277"/>
      <c r="BC138" s="277"/>
      <c r="BD138" s="277"/>
      <c r="BE138" s="277"/>
      <c r="BF138" s="277"/>
      <c r="BG138" s="277"/>
      <c r="BH138" s="277"/>
      <c r="BI138" s="277"/>
      <c r="BJ138" s="277"/>
      <c r="BK138" s="277"/>
      <c r="BL138" s="277"/>
      <c r="BM138" s="277"/>
      <c r="BN138" s="278"/>
    </row>
    <row r="139" spans="1:67" s="276" customFormat="1" ht="17.25" customHeight="1" thickTop="1">
      <c r="H139" s="285"/>
      <c r="I139" s="285"/>
      <c r="J139" s="285"/>
      <c r="K139" s="285"/>
      <c r="L139" s="285"/>
      <c r="M139" s="285"/>
      <c r="N139" s="285"/>
      <c r="O139" s="285"/>
      <c r="P139" s="285"/>
      <c r="Q139" s="285"/>
      <c r="R139" s="285"/>
      <c r="U139" s="285"/>
      <c r="V139" s="285"/>
      <c r="W139" s="285"/>
      <c r="X139" s="285"/>
      <c r="Y139" s="285"/>
      <c r="Z139" s="285"/>
      <c r="AB139" s="145"/>
      <c r="AC139" s="277"/>
      <c r="AD139" s="277"/>
      <c r="AE139" s="277"/>
      <c r="AF139" s="277"/>
      <c r="AG139" s="277"/>
      <c r="AH139" s="277"/>
      <c r="AI139" s="277"/>
      <c r="AJ139" s="277"/>
      <c r="AK139" s="277"/>
      <c r="AL139" s="277"/>
      <c r="AM139" s="277"/>
      <c r="AN139" s="277"/>
      <c r="AO139" s="277"/>
      <c r="AP139" s="277"/>
      <c r="AQ139" s="277"/>
      <c r="AR139" s="277"/>
      <c r="AS139" s="277"/>
      <c r="AT139" s="277"/>
      <c r="AU139" s="277"/>
      <c r="AV139" s="277"/>
      <c r="AW139" s="277"/>
      <c r="AX139" s="277"/>
      <c r="AY139" s="277"/>
      <c r="AZ139" s="277"/>
      <c r="BA139" s="277"/>
      <c r="BB139" s="277"/>
      <c r="BC139" s="277"/>
      <c r="BD139" s="277"/>
      <c r="BE139" s="277"/>
      <c r="BF139" s="277"/>
      <c r="BG139" s="277"/>
      <c r="BH139" s="277"/>
      <c r="BI139" s="277"/>
      <c r="BJ139" s="277"/>
      <c r="BK139" s="277"/>
      <c r="BL139" s="277"/>
      <c r="BM139" s="277"/>
      <c r="BN139" s="278"/>
    </row>
    <row r="140" spans="1:67" s="276" customFormat="1" ht="17.25" customHeight="1">
      <c r="C140" s="279"/>
      <c r="D140" s="279"/>
      <c r="E140" s="279"/>
      <c r="F140" s="279"/>
      <c r="H140" s="285"/>
      <c r="I140" s="285"/>
      <c r="J140" s="285"/>
      <c r="K140" s="285"/>
      <c r="L140" s="285"/>
      <c r="M140" s="559" t="s">
        <v>89</v>
      </c>
      <c r="N140" s="559"/>
      <c r="O140" s="559"/>
      <c r="P140" s="559"/>
      <c r="Q140" s="285"/>
      <c r="R140" s="285"/>
      <c r="U140" s="285"/>
      <c r="V140" s="285"/>
      <c r="W140" s="285"/>
      <c r="X140" s="285"/>
      <c r="Y140" s="285"/>
      <c r="Z140" s="285"/>
      <c r="AB140" s="145"/>
      <c r="AC140" s="277"/>
      <c r="AD140" s="277"/>
      <c r="AE140" s="277"/>
      <c r="AF140" s="277"/>
      <c r="AG140" s="277"/>
      <c r="AH140" s="277"/>
      <c r="AI140" s="277"/>
      <c r="AJ140" s="277"/>
      <c r="AK140" s="277"/>
      <c r="AL140" s="277"/>
      <c r="AM140" s="277"/>
      <c r="AN140" s="277"/>
      <c r="AO140" s="277"/>
      <c r="AP140" s="277"/>
      <c r="AQ140" s="277"/>
      <c r="AR140" s="277"/>
      <c r="AS140" s="277"/>
      <c r="AT140" s="277"/>
      <c r="AU140" s="277"/>
      <c r="AV140" s="277"/>
      <c r="AW140" s="277"/>
      <c r="AX140" s="277"/>
      <c r="AY140" s="277"/>
      <c r="AZ140" s="277"/>
      <c r="BA140" s="277"/>
      <c r="BB140" s="277"/>
      <c r="BC140" s="277"/>
      <c r="BD140" s="277"/>
      <c r="BE140" s="277"/>
      <c r="BF140" s="277"/>
      <c r="BG140" s="277"/>
      <c r="BH140" s="277"/>
      <c r="BI140" s="277"/>
      <c r="BJ140" s="277"/>
      <c r="BK140" s="277"/>
      <c r="BL140" s="277"/>
      <c r="BM140" s="277"/>
      <c r="BN140" s="278"/>
    </row>
    <row r="141" spans="1:67" s="276" customFormat="1" ht="17.25" customHeight="1" thickBot="1">
      <c r="M141" s="560" t="s">
        <v>243</v>
      </c>
      <c r="N141" s="560"/>
      <c r="O141" s="559"/>
      <c r="P141" s="559"/>
      <c r="AB141" s="145"/>
      <c r="AC141" s="277"/>
      <c r="AD141" s="277"/>
      <c r="AE141" s="277"/>
      <c r="AF141" s="277"/>
      <c r="AG141" s="277"/>
      <c r="AH141" s="277"/>
      <c r="AI141" s="277"/>
      <c r="AJ141" s="277"/>
      <c r="AK141" s="277"/>
      <c r="AL141" s="277"/>
      <c r="AM141" s="277"/>
      <c r="AN141" s="277"/>
      <c r="AO141" s="277"/>
      <c r="AP141" s="277"/>
      <c r="AQ141" s="277"/>
      <c r="AR141" s="277"/>
      <c r="AS141" s="277"/>
      <c r="AT141" s="277"/>
      <c r="AU141" s="277"/>
      <c r="AV141" s="277"/>
      <c r="AW141" s="277"/>
      <c r="AX141" s="277"/>
      <c r="AY141" s="277"/>
      <c r="AZ141" s="277"/>
      <c r="BA141" s="277"/>
      <c r="BB141" s="277"/>
      <c r="BC141" s="277"/>
      <c r="BD141" s="277"/>
      <c r="BE141" s="277"/>
      <c r="BF141" s="277"/>
      <c r="BG141" s="277"/>
      <c r="BH141" s="277"/>
      <c r="BI141" s="277"/>
      <c r="BJ141" s="277"/>
      <c r="BK141" s="277"/>
      <c r="BL141" s="277"/>
      <c r="BM141" s="277"/>
      <c r="BN141" s="278"/>
    </row>
    <row r="142" spans="1:67" ht="17.25" customHeight="1" thickTop="1" thickBot="1">
      <c r="A142" s="285"/>
      <c r="B142" s="285"/>
      <c r="C142" s="285"/>
      <c r="D142" s="285"/>
      <c r="E142" s="285"/>
      <c r="F142" s="276"/>
      <c r="G142" s="276"/>
      <c r="H142" s="680" t="s">
        <v>60</v>
      </c>
      <c r="I142" s="681"/>
      <c r="J142" s="681"/>
      <c r="K142" s="681"/>
      <c r="L142" s="681"/>
      <c r="M142" s="681"/>
      <c r="N142" s="682"/>
      <c r="O142" s="561">
        <f>J97</f>
        <v>2.8833333333333332E-3</v>
      </c>
      <c r="P142" s="562"/>
      <c r="Q142" s="562"/>
      <c r="R142" s="562"/>
      <c r="S142" s="276" t="s">
        <v>71</v>
      </c>
      <c r="T142" s="276"/>
      <c r="U142" s="412" t="str" cm="1">
        <f t="array" ref="U142">angleDecimal2Txt(O142)</f>
        <v>+00°00.17 (+00.0028) [+00°00'10.37]</v>
      </c>
      <c r="V142" s="413"/>
      <c r="W142" s="413"/>
      <c r="X142" s="413"/>
      <c r="Y142" s="413"/>
      <c r="Z142" s="414"/>
      <c r="AA142" s="276"/>
      <c r="AB142" s="145"/>
      <c r="AC142" s="6" t="s">
        <v>350</v>
      </c>
      <c r="AD142" s="6">
        <f>O142*COS(R138)</f>
        <v>1.1318451843031962E-3</v>
      </c>
      <c r="BN142" s="278"/>
      <c r="BO142" s="276"/>
    </row>
    <row r="143" spans="1:67" ht="17.25" customHeight="1" thickTop="1" thickBot="1">
      <c r="A143" s="285"/>
      <c r="B143" s="285"/>
      <c r="C143" s="285"/>
      <c r="D143" s="285"/>
      <c r="E143" s="285"/>
      <c r="F143" s="276"/>
      <c r="G143" s="276"/>
      <c r="H143" s="526" t="s">
        <v>244</v>
      </c>
      <c r="I143" s="527"/>
      <c r="J143" s="527"/>
      <c r="K143" s="527"/>
      <c r="L143" s="527"/>
      <c r="M143" s="527"/>
      <c r="N143" s="528"/>
      <c r="O143" s="390">
        <f>AD142</f>
        <v>1.1318451843031962E-3</v>
      </c>
      <c r="P143" s="390"/>
      <c r="Q143" s="390"/>
      <c r="R143" s="390"/>
      <c r="S143" s="276" t="s">
        <v>71</v>
      </c>
      <c r="T143" s="276"/>
      <c r="U143" s="412" t="str" cm="1">
        <f t="array" ref="U143">angleDecimal2Txt(O143)</f>
        <v>+00°00.06 (+00.0011) [+00°00'04.07]</v>
      </c>
      <c r="V143" s="413"/>
      <c r="W143" s="413"/>
      <c r="X143" s="413"/>
      <c r="Y143" s="413"/>
      <c r="Z143" s="414"/>
      <c r="AA143" s="276"/>
      <c r="AB143" s="145"/>
      <c r="BN143" s="278"/>
      <c r="BO143" s="276"/>
    </row>
    <row r="144" spans="1:67" ht="17.25" customHeight="1" thickTop="1">
      <c r="A144" s="285"/>
      <c r="B144" s="285"/>
      <c r="C144" s="285"/>
      <c r="D144" s="285"/>
      <c r="E144" s="285"/>
      <c r="F144" s="276"/>
      <c r="G144" s="276"/>
      <c r="H144" s="285"/>
      <c r="I144" s="285"/>
      <c r="J144" s="285"/>
      <c r="K144" s="285"/>
      <c r="L144" s="285"/>
      <c r="M144" s="285"/>
      <c r="N144" s="285"/>
      <c r="O144" s="285"/>
      <c r="P144" s="285"/>
      <c r="Q144" s="285"/>
      <c r="R144" s="285"/>
      <c r="S144" s="285"/>
      <c r="T144" s="285"/>
      <c r="U144" s="285"/>
      <c r="V144" s="285"/>
      <c r="W144" s="285"/>
      <c r="X144" s="285"/>
      <c r="Y144" s="285"/>
      <c r="Z144" s="285"/>
      <c r="AA144" s="276"/>
      <c r="AB144" s="145"/>
      <c r="BN144" s="278"/>
      <c r="BO144" s="276"/>
    </row>
    <row r="145" spans="1:67" ht="17.25" customHeight="1">
      <c r="A145" s="285"/>
      <c r="B145" s="285"/>
      <c r="C145" s="285"/>
      <c r="D145" s="285"/>
      <c r="E145" s="279"/>
      <c r="F145" s="276"/>
      <c r="G145" s="276"/>
      <c r="H145" s="285"/>
      <c r="I145" s="285"/>
      <c r="J145" s="285"/>
      <c r="K145" s="285"/>
      <c r="L145" s="285"/>
      <c r="M145" s="285"/>
      <c r="N145" s="285"/>
      <c r="O145" s="285"/>
      <c r="P145" s="276"/>
      <c r="Q145" s="276"/>
      <c r="R145" s="276"/>
      <c r="S145" s="512" t="s">
        <v>195</v>
      </c>
      <c r="T145" s="513"/>
      <c r="U145" s="514"/>
      <c r="V145" s="276"/>
      <c r="W145" s="276"/>
      <c r="X145" s="276"/>
      <c r="Y145" s="285"/>
      <c r="Z145" s="285"/>
      <c r="AA145" s="276"/>
      <c r="AB145" s="145"/>
      <c r="AC145" s="6" t="s">
        <v>57</v>
      </c>
      <c r="AD145" s="6" t="s">
        <v>352</v>
      </c>
      <c r="BN145" s="278"/>
      <c r="BO145" s="276"/>
    </row>
    <row r="146" spans="1:67" ht="17.25" customHeight="1">
      <c r="A146" s="285"/>
      <c r="B146" s="285"/>
      <c r="C146" s="285"/>
      <c r="D146" s="285"/>
      <c r="E146" s="279"/>
      <c r="F146" s="276"/>
      <c r="G146" s="276"/>
      <c r="H146" s="680" t="s">
        <v>93</v>
      </c>
      <c r="I146" s="681"/>
      <c r="J146" s="681"/>
      <c r="K146" s="681"/>
      <c r="L146" s="681"/>
      <c r="M146" s="681"/>
      <c r="N146" s="682"/>
      <c r="O146" s="529">
        <f>S146</f>
        <v>10</v>
      </c>
      <c r="P146" s="530"/>
      <c r="Q146" s="530"/>
      <c r="R146" s="530"/>
      <c r="S146" s="640">
        <v>10</v>
      </c>
      <c r="T146" s="641"/>
      <c r="U146" s="642"/>
      <c r="V146" s="276"/>
      <c r="W146" s="276"/>
      <c r="X146" s="276"/>
      <c r="Y146" s="285"/>
      <c r="Z146" s="285"/>
      <c r="AA146" s="276"/>
      <c r="AB146" s="145"/>
      <c r="AC146" s="6" t="s">
        <v>353</v>
      </c>
      <c r="AD146" s="6">
        <f>1/TAN((O138 + 7.31 / (O138 + 4.4)) * Outils!F10)</f>
        <v>0.4246923427253872</v>
      </c>
      <c r="BN146" s="278"/>
      <c r="BO146" s="276"/>
    </row>
    <row r="147" spans="1:67" ht="17.25" customHeight="1" thickBot="1">
      <c r="A147" s="285"/>
      <c r="B147" s="285"/>
      <c r="C147" s="285"/>
      <c r="D147" s="285"/>
      <c r="E147" s="285"/>
      <c r="F147" s="276"/>
      <c r="G147" s="276"/>
      <c r="H147" s="680" t="s">
        <v>94</v>
      </c>
      <c r="I147" s="681"/>
      <c r="J147" s="681"/>
      <c r="K147" s="681"/>
      <c r="L147" s="681"/>
      <c r="M147" s="681"/>
      <c r="N147" s="682"/>
      <c r="O147" s="529">
        <f>S147</f>
        <v>1010</v>
      </c>
      <c r="P147" s="530"/>
      <c r="Q147" s="530"/>
      <c r="R147" s="530"/>
      <c r="S147" s="640">
        <v>1010</v>
      </c>
      <c r="T147" s="641"/>
      <c r="U147" s="642"/>
      <c r="V147" s="276"/>
      <c r="W147" s="276"/>
      <c r="X147" s="276"/>
      <c r="Y147" s="285"/>
      <c r="Z147" s="285"/>
      <c r="AA147" s="276"/>
      <c r="AB147" s="145"/>
      <c r="AC147" s="6" t="s">
        <v>354</v>
      </c>
      <c r="AD147" s="6">
        <f>AD146/60</f>
        <v>7.0782057120897862E-3</v>
      </c>
      <c r="BN147" s="278"/>
      <c r="BO147" s="276"/>
    </row>
    <row r="148" spans="1:67" ht="17.25" customHeight="1" thickTop="1" thickBot="1">
      <c r="A148" s="285"/>
      <c r="B148" s="285"/>
      <c r="C148" s="285"/>
      <c r="D148" s="285"/>
      <c r="E148" s="285"/>
      <c r="F148" s="276"/>
      <c r="G148" s="276"/>
      <c r="H148" s="526" t="s">
        <v>245</v>
      </c>
      <c r="I148" s="527"/>
      <c r="J148" s="527"/>
      <c r="K148" s="527"/>
      <c r="L148" s="527"/>
      <c r="M148" s="527"/>
      <c r="N148" s="528"/>
      <c r="O148" s="390">
        <f>AD149</f>
        <v>7.0732034465688749E-3</v>
      </c>
      <c r="P148" s="390"/>
      <c r="Q148" s="390"/>
      <c r="R148" s="390"/>
      <c r="S148" s="276" t="s">
        <v>71</v>
      </c>
      <c r="T148" s="276"/>
      <c r="U148" s="412" t="str" cm="1">
        <f t="array" ref="U148">angleDecimal2Txt(O148)</f>
        <v>+00°00.42 (+00.0070) [+00°00'25.46]</v>
      </c>
      <c r="V148" s="413"/>
      <c r="W148" s="413"/>
      <c r="X148" s="413"/>
      <c r="Y148" s="413"/>
      <c r="Z148" s="414"/>
      <c r="AA148" s="276"/>
      <c r="AB148" s="145"/>
      <c r="AC148" s="6" t="s">
        <v>128</v>
      </c>
      <c r="AD148" s="6">
        <f xml:space="preserve"> 0.28 * O147 / (273 + O146)</f>
        <v>0.99929328621908131</v>
      </c>
      <c r="BN148" s="278"/>
      <c r="BO148" s="276"/>
    </row>
    <row r="149" spans="1:67" ht="17.25" customHeight="1" thickTop="1">
      <c r="A149" s="285"/>
      <c r="B149" s="285"/>
      <c r="C149" s="285"/>
      <c r="D149" s="285"/>
      <c r="E149" s="285"/>
      <c r="F149" s="276"/>
      <c r="G149" s="276"/>
      <c r="H149" s="285"/>
      <c r="I149" s="285"/>
      <c r="J149" s="285"/>
      <c r="K149" s="285"/>
      <c r="L149" s="285"/>
      <c r="M149" s="285"/>
      <c r="N149" s="285"/>
      <c r="O149" s="285"/>
      <c r="P149" s="276"/>
      <c r="Q149" s="276"/>
      <c r="R149" s="276"/>
      <c r="S149" s="276"/>
      <c r="T149" s="276"/>
      <c r="U149" s="276"/>
      <c r="V149" s="276"/>
      <c r="W149" s="276"/>
      <c r="X149" s="276"/>
      <c r="Y149" s="285"/>
      <c r="Z149" s="285"/>
      <c r="AA149" s="276"/>
      <c r="AB149" s="145"/>
      <c r="AC149" s="6" t="s">
        <v>351</v>
      </c>
      <c r="AD149" s="6">
        <f>AD148*AD147</f>
        <v>7.0732034465688749E-3</v>
      </c>
      <c r="BN149" s="278"/>
      <c r="BO149" s="276"/>
    </row>
    <row r="150" spans="1:67" ht="17.25" customHeight="1">
      <c r="A150" s="285"/>
      <c r="B150" s="285"/>
      <c r="C150" s="285"/>
      <c r="D150" s="285"/>
      <c r="E150" s="285"/>
      <c r="F150" s="276"/>
      <c r="G150" s="276"/>
      <c r="H150" s="680" t="s">
        <v>134</v>
      </c>
      <c r="I150" s="681"/>
      <c r="J150" s="681"/>
      <c r="K150" s="681"/>
      <c r="L150" s="681"/>
      <c r="M150" s="681"/>
      <c r="N150" s="682"/>
      <c r="O150" s="515">
        <f>J101</f>
        <v>0.53333333333333333</v>
      </c>
      <c r="P150" s="515"/>
      <c r="Q150" s="515"/>
      <c r="R150" s="515"/>
      <c r="S150" s="276"/>
      <c r="T150" s="276"/>
      <c r="U150" s="276"/>
      <c r="V150" s="276"/>
      <c r="W150" s="276"/>
      <c r="X150" s="276"/>
      <c r="Y150" s="276"/>
      <c r="Z150" s="276"/>
      <c r="AA150" s="276"/>
      <c r="AB150" s="145"/>
      <c r="BN150" s="278"/>
      <c r="BO150" s="276"/>
    </row>
    <row r="151" spans="1:67" ht="17.25" customHeight="1" thickBot="1">
      <c r="A151" s="276"/>
      <c r="B151" s="285"/>
      <c r="C151" s="285"/>
      <c r="D151" s="285"/>
      <c r="E151" s="279"/>
      <c r="F151" s="279"/>
      <c r="G151" s="279"/>
      <c r="H151" s="680" t="s">
        <v>98</v>
      </c>
      <c r="I151" s="681"/>
      <c r="J151" s="681"/>
      <c r="K151" s="681"/>
      <c r="L151" s="681"/>
      <c r="M151" s="681"/>
      <c r="N151" s="682"/>
      <c r="O151" s="515" t="str">
        <f>J96</f>
        <v>BordInf</v>
      </c>
      <c r="P151" s="515"/>
      <c r="Q151" s="515"/>
      <c r="R151" s="515"/>
      <c r="S151" s="276"/>
      <c r="T151" s="276"/>
      <c r="U151" s="276"/>
      <c r="V151" s="276"/>
      <c r="W151" s="276"/>
      <c r="X151" s="276"/>
      <c r="Y151" s="276"/>
      <c r="Z151" s="276"/>
      <c r="AA151" s="276"/>
      <c r="AB151" s="145"/>
      <c r="AC151" s="6" t="s">
        <v>37</v>
      </c>
      <c r="AD151" s="378" t="str">
        <f>J95</f>
        <v>Soleil</v>
      </c>
      <c r="AE151" s="378"/>
      <c r="BN151" s="278"/>
      <c r="BO151" s="276"/>
    </row>
    <row r="152" spans="1:67" ht="17.25" customHeight="1" thickTop="1" thickBot="1">
      <c r="A152" s="276"/>
      <c r="B152" s="276"/>
      <c r="C152" s="279"/>
      <c r="D152" s="279"/>
      <c r="E152" s="279"/>
      <c r="F152" s="279"/>
      <c r="G152" s="279"/>
      <c r="H152" s="526" t="s">
        <v>99</v>
      </c>
      <c r="I152" s="527"/>
      <c r="J152" s="527"/>
      <c r="K152" s="527"/>
      <c r="L152" s="527"/>
      <c r="M152" s="527"/>
      <c r="N152" s="528"/>
      <c r="O152" s="534">
        <f>AD155</f>
        <v>0.26666666666666666</v>
      </c>
      <c r="P152" s="534"/>
      <c r="Q152" s="534"/>
      <c r="R152" s="534"/>
      <c r="S152" s="276" t="s">
        <v>71</v>
      </c>
      <c r="T152" s="276"/>
      <c r="U152" s="412" t="str" cm="1">
        <f t="array" ref="U152">angleDecimal2Txt(O152)</f>
        <v>+00°16.00 (+00.2666) [+00°16'00.00]</v>
      </c>
      <c r="V152" s="413"/>
      <c r="W152" s="413"/>
      <c r="X152" s="413"/>
      <c r="Y152" s="413"/>
      <c r="Z152" s="414"/>
      <c r="AA152" s="276"/>
      <c r="AB152" s="145"/>
      <c r="AC152" s="6" t="s">
        <v>358</v>
      </c>
      <c r="AD152" s="378" t="str">
        <f>O151</f>
        <v>BordInf</v>
      </c>
      <c r="AE152" s="378"/>
      <c r="BN152" s="278"/>
      <c r="BO152" s="276"/>
    </row>
    <row r="153" spans="1:67" ht="17.25" customHeight="1" thickTop="1">
      <c r="A153" s="276"/>
      <c r="B153" s="276"/>
      <c r="C153" s="279"/>
      <c r="D153" s="279"/>
      <c r="E153" s="279"/>
      <c r="F153" s="279"/>
      <c r="G153" s="279"/>
      <c r="H153" s="285"/>
      <c r="I153" s="285"/>
      <c r="J153" s="285"/>
      <c r="K153" s="285"/>
      <c r="L153" s="285"/>
      <c r="M153" s="285"/>
      <c r="N153" s="285"/>
      <c r="O153" s="285"/>
      <c r="P153" s="285"/>
      <c r="Q153" s="285"/>
      <c r="R153" s="285"/>
      <c r="S153" s="285"/>
      <c r="T153" s="285"/>
      <c r="U153" s="285"/>
      <c r="V153" s="285"/>
      <c r="W153" s="285"/>
      <c r="X153" s="285"/>
      <c r="Y153" s="285"/>
      <c r="Z153" s="285"/>
      <c r="AA153" s="276"/>
      <c r="AB153" s="145"/>
      <c r="AC153" s="6" t="s">
        <v>359</v>
      </c>
      <c r="AD153" s="636">
        <f>HLOOKUP(AD152,AD100:AF101,2)</f>
        <v>0.5</v>
      </c>
      <c r="AE153" s="636"/>
      <c r="BN153" s="278"/>
      <c r="BO153" s="276"/>
    </row>
    <row r="154" spans="1:67" ht="17.25" customHeight="1">
      <c r="A154" s="276"/>
      <c r="B154" s="276"/>
      <c r="C154" s="279"/>
      <c r="D154" s="279"/>
      <c r="E154" s="279"/>
      <c r="F154" s="279"/>
      <c r="G154" s="542" t="s">
        <v>170</v>
      </c>
      <c r="H154" s="543"/>
      <c r="I154" s="543"/>
      <c r="J154" s="543"/>
      <c r="K154" s="543"/>
      <c r="L154" s="543"/>
      <c r="M154" s="543"/>
      <c r="N154" s="543"/>
      <c r="O154" s="543"/>
      <c r="P154" s="543"/>
      <c r="Q154" s="543"/>
      <c r="R154" s="543"/>
      <c r="S154" s="544"/>
      <c r="T154" s="285"/>
      <c r="U154" s="285"/>
      <c r="V154" s="285"/>
      <c r="W154" s="285"/>
      <c r="X154" s="285"/>
      <c r="Y154" s="285"/>
      <c r="Z154" s="285"/>
      <c r="AA154" s="276"/>
      <c r="AB154" s="145"/>
      <c r="AC154" s="6" t="s">
        <v>134</v>
      </c>
      <c r="AD154" s="6" t="str">
        <f>HLOOKUP(AD151,AD96:AF98,3)</f>
        <v>32'</v>
      </c>
      <c r="AE154" s="6" cm="1">
        <f t="array" ref="AE154">angleConvert2Decimal(AD154)</f>
        <v>0.53333333333333333</v>
      </c>
      <c r="BN154" s="278"/>
      <c r="BO154" s="276"/>
    </row>
    <row r="155" spans="1:67" ht="17.25" customHeight="1">
      <c r="A155" s="276"/>
      <c r="B155" s="276"/>
      <c r="C155" s="279"/>
      <c r="D155" s="279"/>
      <c r="E155" s="279"/>
      <c r="F155" s="279"/>
      <c r="G155" s="546" t="s">
        <v>183</v>
      </c>
      <c r="H155" s="548"/>
      <c r="I155" s="564" t="s">
        <v>175</v>
      </c>
      <c r="J155" s="565"/>
      <c r="K155" s="565"/>
      <c r="L155" s="565"/>
      <c r="M155" s="565"/>
      <c r="N155" s="566"/>
      <c r="O155" s="517">
        <f>(O143-O148-O136+O150/2) * 60</f>
        <v>13.157331061612158</v>
      </c>
      <c r="P155" s="518"/>
      <c r="Q155" s="518"/>
      <c r="R155" s="518"/>
      <c r="S155" s="521" t="s">
        <v>171</v>
      </c>
      <c r="T155" s="285"/>
      <c r="U155" s="285"/>
      <c r="V155" s="285"/>
      <c r="W155" s="285"/>
      <c r="X155" s="285"/>
      <c r="Y155" s="285"/>
      <c r="Z155" s="285"/>
      <c r="AA155" s="276"/>
      <c r="AB155" s="145"/>
      <c r="AC155" s="6" t="s">
        <v>359</v>
      </c>
      <c r="AD155" s="636">
        <f>AE154*AD153</f>
        <v>0.26666666666666666</v>
      </c>
      <c r="AE155" s="636"/>
      <c r="BN155" s="278"/>
      <c r="BO155" s="276"/>
    </row>
    <row r="156" spans="1:67" ht="17.25" customHeight="1">
      <c r="A156" s="276"/>
      <c r="B156" s="276"/>
      <c r="C156" s="279"/>
      <c r="D156" s="279"/>
      <c r="E156" s="279"/>
      <c r="F156" s="279"/>
      <c r="G156" s="644"/>
      <c r="H156" s="645"/>
      <c r="I156" s="523" t="s">
        <v>179</v>
      </c>
      <c r="J156" s="524"/>
      <c r="K156" s="524"/>
      <c r="L156" s="524"/>
      <c r="M156" s="524"/>
      <c r="N156" s="525"/>
      <c r="O156" s="519"/>
      <c r="P156" s="520"/>
      <c r="Q156" s="520"/>
      <c r="R156" s="520"/>
      <c r="S156" s="522"/>
      <c r="T156" s="285"/>
      <c r="U156" s="285"/>
      <c r="V156" s="285"/>
      <c r="W156" s="285"/>
      <c r="X156" s="285"/>
      <c r="Y156" s="285"/>
      <c r="Z156" s="285"/>
      <c r="AA156" s="276"/>
      <c r="AB156" s="145"/>
      <c r="BN156" s="278"/>
      <c r="BO156" s="276"/>
    </row>
    <row r="157" spans="1:67" ht="17.25" customHeight="1">
      <c r="A157" s="276"/>
      <c r="B157" s="276"/>
      <c r="C157" s="279"/>
      <c r="D157" s="279"/>
      <c r="E157" s="279"/>
      <c r="F157" s="279"/>
      <c r="G157" s="279"/>
      <c r="H157" s="285"/>
      <c r="I157" s="564" t="s">
        <v>176</v>
      </c>
      <c r="J157" s="565"/>
      <c r="K157" s="565"/>
      <c r="L157" s="565"/>
      <c r="M157" s="565"/>
      <c r="N157" s="566"/>
      <c r="O157" s="518">
        <f>(O143-O148+O150/2)*60</f>
        <v>15.64351850426406</v>
      </c>
      <c r="P157" s="518"/>
      <c r="Q157" s="518"/>
      <c r="R157" s="518"/>
      <c r="S157" s="521" t="s">
        <v>171</v>
      </c>
      <c r="T157" s="285"/>
      <c r="U157" s="285"/>
      <c r="V157" s="285"/>
      <c r="W157" s="285"/>
      <c r="X157" s="285"/>
      <c r="Y157" s="285"/>
      <c r="Z157" s="285"/>
      <c r="AA157" s="276"/>
      <c r="AB157" s="145"/>
      <c r="BN157" s="278"/>
      <c r="BO157" s="276"/>
    </row>
    <row r="158" spans="1:67" ht="17.25" customHeight="1">
      <c r="A158" s="276"/>
      <c r="B158" s="276"/>
      <c r="C158" s="279"/>
      <c r="D158" s="279"/>
      <c r="E158" s="279"/>
      <c r="F158" s="279"/>
      <c r="G158" s="279"/>
      <c r="H158" s="285"/>
      <c r="I158" s="523" t="s">
        <v>177</v>
      </c>
      <c r="J158" s="524"/>
      <c r="K158" s="524"/>
      <c r="L158" s="524"/>
      <c r="M158" s="524"/>
      <c r="N158" s="525"/>
      <c r="O158" s="520"/>
      <c r="P158" s="520"/>
      <c r="Q158" s="520"/>
      <c r="R158" s="520"/>
      <c r="S158" s="522"/>
      <c r="T158" s="285"/>
      <c r="U158" s="285"/>
      <c r="V158" s="285"/>
      <c r="W158" s="285"/>
      <c r="X158" s="285"/>
      <c r="Y158" s="285"/>
      <c r="Z158" s="285"/>
      <c r="AA158" s="276"/>
      <c r="AB158" s="145"/>
      <c r="BN158" s="278"/>
      <c r="BO158" s="276"/>
    </row>
    <row r="159" spans="1:67" ht="17.25" customHeight="1">
      <c r="A159" s="276"/>
      <c r="B159" s="276"/>
      <c r="C159" s="279"/>
      <c r="D159" s="279"/>
      <c r="E159" s="279"/>
      <c r="F159" s="279"/>
      <c r="G159" s="279"/>
      <c r="H159" s="285"/>
      <c r="I159" s="690" t="s">
        <v>99</v>
      </c>
      <c r="J159" s="691"/>
      <c r="K159" s="691"/>
      <c r="L159" s="691"/>
      <c r="M159" s="691"/>
      <c r="N159" s="692"/>
      <c r="O159" s="490">
        <f>O152*60</f>
        <v>16</v>
      </c>
      <c r="P159" s="491"/>
      <c r="Q159" s="491"/>
      <c r="R159" s="491"/>
      <c r="S159" s="159" t="s">
        <v>171</v>
      </c>
      <c r="T159" s="285"/>
      <c r="U159" s="285"/>
      <c r="V159" s="285"/>
      <c r="W159" s="285"/>
      <c r="X159" s="285"/>
      <c r="Y159" s="285"/>
      <c r="Z159" s="285"/>
      <c r="AA159" s="276"/>
      <c r="AB159" s="145"/>
      <c r="BN159" s="278"/>
      <c r="BO159" s="276"/>
    </row>
    <row r="160" spans="1:67" ht="17.25" customHeight="1" thickBot="1">
      <c r="A160" s="276"/>
      <c r="B160" s="276"/>
      <c r="C160" s="279"/>
      <c r="D160" s="279"/>
      <c r="E160" s="279"/>
      <c r="F160" s="279"/>
      <c r="G160" s="279"/>
      <c r="H160" s="285"/>
      <c r="I160" s="285"/>
      <c r="J160" s="285"/>
      <c r="K160" s="285"/>
      <c r="L160" s="285"/>
      <c r="M160" s="285"/>
      <c r="N160" s="285"/>
      <c r="O160" s="285"/>
      <c r="P160" s="285"/>
      <c r="Q160" s="285"/>
      <c r="R160" s="285"/>
      <c r="S160" s="276"/>
      <c r="T160" s="276"/>
      <c r="U160" s="276"/>
      <c r="V160" s="276"/>
      <c r="W160" s="276"/>
      <c r="X160" s="276"/>
      <c r="Y160" s="276"/>
      <c r="Z160" s="276"/>
      <c r="AA160" s="276"/>
      <c r="AB160" s="145"/>
      <c r="BN160" s="278"/>
      <c r="BO160" s="276"/>
    </row>
    <row r="161" spans="1:67" ht="17.25" customHeight="1" thickTop="1" thickBot="1">
      <c r="A161" s="276"/>
      <c r="B161" s="276"/>
      <c r="C161" s="279"/>
      <c r="D161" s="279"/>
      <c r="E161" s="279"/>
      <c r="F161" s="279"/>
      <c r="G161" s="279"/>
      <c r="H161" s="722" t="s">
        <v>246</v>
      </c>
      <c r="I161" s="723"/>
      <c r="J161" s="723"/>
      <c r="K161" s="723"/>
      <c r="L161" s="723"/>
      <c r="M161" s="723"/>
      <c r="N161" s="724"/>
      <c r="O161" s="538">
        <f>O138-O148+O143+O152</f>
        <v>67.147622184360216</v>
      </c>
      <c r="P161" s="390"/>
      <c r="Q161" s="390"/>
      <c r="R161" s="390"/>
      <c r="S161" s="276" t="s">
        <v>71</v>
      </c>
      <c r="T161" s="276"/>
      <c r="U161" s="412" t="str" cm="1">
        <f t="array" ref="U161">angleDecimal2Txt(O161)</f>
        <v>+67°08.85 (+67.1476) [+67°08'51.43]</v>
      </c>
      <c r="V161" s="413"/>
      <c r="W161" s="413"/>
      <c r="X161" s="413"/>
      <c r="Y161" s="413"/>
      <c r="Z161" s="414"/>
      <c r="AA161" s="276"/>
      <c r="AB161" s="145"/>
      <c r="BN161" s="278"/>
      <c r="BO161" s="276"/>
    </row>
    <row r="162" spans="1:67" ht="17.25" customHeight="1" thickTop="1">
      <c r="A162" s="276"/>
      <c r="B162" s="276"/>
      <c r="C162" s="279"/>
      <c r="D162" s="279"/>
      <c r="E162" s="279"/>
      <c r="F162" s="279"/>
      <c r="G162" s="279"/>
      <c r="H162" s="276"/>
      <c r="I162" s="276"/>
      <c r="J162" s="276"/>
      <c r="K162" s="276"/>
      <c r="L162" s="276"/>
      <c r="M162" s="276"/>
      <c r="N162" s="276"/>
      <c r="O162" s="276"/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145"/>
      <c r="BN162" s="278"/>
      <c r="BO162" s="276"/>
    </row>
    <row r="163" spans="1:67" ht="17.25" customHeight="1">
      <c r="A163" s="276"/>
      <c r="B163" s="276"/>
      <c r="C163" s="279"/>
      <c r="D163" s="279"/>
      <c r="E163" s="279"/>
      <c r="F163" s="725" t="s">
        <v>91</v>
      </c>
      <c r="G163" s="725"/>
      <c r="H163" s="725"/>
      <c r="I163" s="725"/>
      <c r="J163" s="557" t="str">
        <f>IF(G132=AD132,O171,"---")</f>
        <v>---</v>
      </c>
      <c r="K163" s="570"/>
      <c r="L163" s="538"/>
      <c r="M163" s="313"/>
      <c r="N163" s="313"/>
      <c r="O163" s="313"/>
      <c r="P163" s="313"/>
      <c r="Q163" s="313"/>
      <c r="R163" s="313"/>
      <c r="S163" s="313"/>
      <c r="T163" s="313"/>
      <c r="U163" s="313"/>
      <c r="V163" s="313"/>
      <c r="W163" s="313"/>
      <c r="X163" s="313"/>
      <c r="Y163" s="313"/>
      <c r="Z163" s="313"/>
      <c r="AA163" s="276"/>
      <c r="AB163" s="145"/>
      <c r="BN163" s="278"/>
      <c r="BO163" s="276"/>
    </row>
    <row r="164" spans="1:67" ht="17.25" customHeight="1">
      <c r="A164" s="276"/>
      <c r="B164" s="276"/>
      <c r="C164" s="279"/>
      <c r="D164" s="279"/>
      <c r="E164" s="279"/>
      <c r="M164" s="276"/>
      <c r="N164" s="276"/>
      <c r="O164" s="276"/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145"/>
      <c r="BN164" s="278"/>
      <c r="BO164" s="276"/>
    </row>
    <row r="165" spans="1:67" ht="17.25" customHeight="1">
      <c r="A165" s="276"/>
      <c r="B165" s="276"/>
      <c r="C165" s="279"/>
      <c r="D165" s="279"/>
      <c r="E165" s="279"/>
      <c r="M165" s="276"/>
      <c r="N165" s="276"/>
      <c r="O165" s="276"/>
      <c r="P165" s="276"/>
      <c r="Q165" s="276"/>
      <c r="R165" s="276"/>
      <c r="S165" s="276"/>
      <c r="T165" s="315" t="s">
        <v>112</v>
      </c>
      <c r="U165" s="719" t="s">
        <v>40</v>
      </c>
      <c r="V165" s="719"/>
      <c r="W165" s="276"/>
      <c r="X165" s="276"/>
      <c r="Y165" s="276"/>
      <c r="Z165" s="276"/>
      <c r="AA165" s="276"/>
      <c r="AB165" s="145"/>
      <c r="BN165" s="278"/>
      <c r="BO165" s="276"/>
    </row>
    <row r="166" spans="1:67" ht="17.25" customHeight="1">
      <c r="A166" s="276"/>
      <c r="B166" s="276"/>
      <c r="C166" s="279"/>
      <c r="D166" s="279"/>
      <c r="E166" s="279"/>
      <c r="F166" s="279"/>
      <c r="G166" s="279"/>
      <c r="H166" s="276"/>
      <c r="I166" s="276"/>
      <c r="J166" s="276"/>
      <c r="K166" s="276"/>
      <c r="L166" s="276"/>
      <c r="M166" s="276"/>
      <c r="N166" s="276"/>
      <c r="O166" s="276"/>
      <c r="P166" s="276"/>
      <c r="Q166" s="276"/>
      <c r="R166" s="276"/>
      <c r="S166" s="276"/>
      <c r="T166" s="316" t="s">
        <v>108</v>
      </c>
      <c r="U166" s="719" t="s">
        <v>110</v>
      </c>
      <c r="V166" s="719"/>
      <c r="W166" s="276"/>
      <c r="X166" s="276"/>
      <c r="Y166" s="276"/>
      <c r="Z166" s="276"/>
      <c r="AA166" s="276"/>
      <c r="AB166" s="145"/>
      <c r="BN166" s="278"/>
      <c r="BO166" s="276"/>
    </row>
    <row r="167" spans="1:67" ht="17.25" customHeight="1">
      <c r="A167" s="276"/>
      <c r="B167" s="276"/>
      <c r="C167" s="279"/>
      <c r="D167" s="279"/>
      <c r="E167" s="279"/>
      <c r="F167" s="279"/>
      <c r="G167" s="279"/>
      <c r="H167" s="276" t="s">
        <v>100</v>
      </c>
      <c r="I167" s="317" t="s">
        <v>102</v>
      </c>
      <c r="J167" s="276" t="s">
        <v>88</v>
      </c>
      <c r="K167" s="720" t="s">
        <v>105</v>
      </c>
      <c r="L167" s="276" t="s">
        <v>87</v>
      </c>
      <c r="M167" s="276"/>
      <c r="N167" s="720" t="s">
        <v>107</v>
      </c>
      <c r="O167" s="317" t="s">
        <v>467</v>
      </c>
      <c r="P167" s="276"/>
      <c r="Q167" s="720" t="s">
        <v>107</v>
      </c>
      <c r="R167" s="276" t="s">
        <v>468</v>
      </c>
      <c r="S167" s="276"/>
      <c r="T167" s="318" t="s">
        <v>109</v>
      </c>
      <c r="U167" s="721" t="s">
        <v>111</v>
      </c>
      <c r="V167" s="721"/>
      <c r="W167" s="276"/>
      <c r="X167" s="276"/>
      <c r="Y167" s="276"/>
      <c r="AB167" s="145"/>
      <c r="BN167" s="278"/>
      <c r="BO167" s="276"/>
    </row>
    <row r="168" spans="1:67" ht="17.25" customHeight="1" thickBot="1">
      <c r="A168" s="276"/>
      <c r="B168" s="276"/>
      <c r="C168" s="279"/>
      <c r="D168" s="279"/>
      <c r="E168" s="279"/>
      <c r="F168" s="279"/>
      <c r="G168" s="279"/>
      <c r="H168" s="276"/>
      <c r="I168" s="317"/>
      <c r="J168" s="124">
        <f>O134</f>
        <v>66.95</v>
      </c>
      <c r="K168" s="720"/>
      <c r="L168" s="492">
        <f>O135</f>
        <v>2.1666666666666667E-2</v>
      </c>
      <c r="M168" s="493"/>
      <c r="N168" s="720"/>
      <c r="O168" s="496" t="s">
        <v>250</v>
      </c>
      <c r="P168" s="497"/>
      <c r="Q168" s="720"/>
      <c r="R168" s="238" t="s">
        <v>109</v>
      </c>
      <c r="S168" s="276"/>
      <c r="T168" s="276"/>
      <c r="U168" s="276"/>
      <c r="AB168" s="145"/>
      <c r="BN168" s="278"/>
      <c r="BO168" s="276"/>
    </row>
    <row r="169" spans="1:67" ht="17.25" customHeight="1" thickTop="1" thickBot="1">
      <c r="A169" s="276"/>
      <c r="B169" s="276"/>
      <c r="C169" s="279"/>
      <c r="D169" s="279"/>
      <c r="E169" s="279"/>
      <c r="F169" s="279"/>
      <c r="G169" s="279"/>
      <c r="H169" s="276"/>
      <c r="I169" s="317"/>
      <c r="K169" s="317" t="s">
        <v>466</v>
      </c>
      <c r="L169" s="494" cm="1">
        <f t="array" ref="L169">angleConvert2Decimal(L168)</f>
        <v>2.1666666666666699E-2</v>
      </c>
      <c r="M169" s="495"/>
      <c r="N169" s="276"/>
      <c r="O169" s="634" cm="1">
        <f t="array" ref="O169">angleConvert2Decimal(O168)</f>
        <v>0.17166666666666669</v>
      </c>
      <c r="P169" s="635"/>
      <c r="Q169" s="302"/>
      <c r="R169" s="228" cm="1">
        <f t="array" ref="R169">angleConvert2Decimal(R168)</f>
        <v>-0.53333333333333333</v>
      </c>
      <c r="T169" s="13" t="s">
        <v>139</v>
      </c>
      <c r="U169" s="13"/>
      <c r="V169" s="13">
        <f>R169+O169</f>
        <v>-0.36166666666666664</v>
      </c>
      <c r="W169" s="412" t="str" cm="1">
        <f t="array" ref="W169">angleDecimal2Txt(V169)</f>
        <v>-00°21.69 (-00.3616) [-00°21'42.00]</v>
      </c>
      <c r="X169" s="413"/>
      <c r="Y169" s="413"/>
      <c r="Z169" s="413"/>
      <c r="AA169" s="414"/>
      <c r="AB169" s="145"/>
      <c r="BN169" s="278"/>
      <c r="BO169" s="276"/>
    </row>
    <row r="170" spans="1:67" ht="17.25" customHeight="1" thickTop="1" thickBot="1">
      <c r="A170" s="276"/>
      <c r="B170" s="276"/>
      <c r="C170" s="279"/>
      <c r="D170" s="279"/>
      <c r="E170" s="279"/>
      <c r="F170" s="279"/>
      <c r="G170" s="279"/>
      <c r="H170" s="276"/>
      <c r="I170" s="317"/>
      <c r="J170" s="276"/>
      <c r="K170" s="317"/>
      <c r="L170" s="276"/>
      <c r="M170" s="276"/>
      <c r="N170" s="317"/>
      <c r="O170" s="276"/>
      <c r="P170" s="276"/>
      <c r="Q170" s="317"/>
      <c r="R170" s="319"/>
      <c r="S170" s="276"/>
      <c r="T170" s="276"/>
      <c r="U170" s="276"/>
      <c r="V170" s="276"/>
      <c r="W170" s="276"/>
      <c r="X170" s="276"/>
      <c r="Y170" s="276"/>
      <c r="Z170" s="276"/>
      <c r="AA170" s="276"/>
      <c r="AB170" s="145"/>
      <c r="BN170" s="278"/>
      <c r="BO170" s="276"/>
    </row>
    <row r="171" spans="1:67" ht="17.25" customHeight="1" thickTop="1" thickBot="1">
      <c r="A171" s="276"/>
      <c r="B171" s="276"/>
      <c r="C171" s="279"/>
      <c r="D171" s="279"/>
      <c r="E171" s="279"/>
      <c r="F171" s="279"/>
      <c r="G171" s="279"/>
      <c r="H171" s="722" t="s">
        <v>249</v>
      </c>
      <c r="I171" s="723"/>
      <c r="J171" s="723"/>
      <c r="K171" s="723"/>
      <c r="L171" s="723"/>
      <c r="M171" s="723"/>
      <c r="N171" s="724"/>
      <c r="O171" s="538">
        <f>J168-L169+O169+R169</f>
        <v>66.566666666666677</v>
      </c>
      <c r="P171" s="390"/>
      <c r="Q171" s="390"/>
      <c r="R171" s="390"/>
      <c r="S171" s="276" t="s">
        <v>71</v>
      </c>
      <c r="T171" s="276"/>
      <c r="U171" s="412" t="str" cm="1">
        <f t="array" ref="U171">angleDecimal2Txt(O171)</f>
        <v>+66°34.00 (+66.5666) [+66°34'00.00]</v>
      </c>
      <c r="V171" s="413"/>
      <c r="W171" s="413"/>
      <c r="X171" s="413"/>
      <c r="Y171" s="413"/>
      <c r="Z171" s="414"/>
      <c r="AA171" s="276"/>
      <c r="AB171" s="145"/>
      <c r="BN171" s="278"/>
      <c r="BO171" s="276"/>
    </row>
    <row r="172" spans="1:67" ht="17.25" customHeight="1" thickTop="1" thickBot="1">
      <c r="A172" s="276"/>
      <c r="B172" s="276"/>
      <c r="C172" s="279"/>
      <c r="D172" s="320"/>
      <c r="E172" s="279"/>
      <c r="F172" s="279"/>
      <c r="G172" s="279"/>
      <c r="H172" s="276"/>
      <c r="I172" s="276"/>
      <c r="J172" s="276"/>
      <c r="K172" s="276"/>
      <c r="L172" s="276"/>
      <c r="M172" s="276"/>
      <c r="N172" s="276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145"/>
      <c r="BN172" s="278"/>
      <c r="BO172" s="276"/>
    </row>
    <row r="173" spans="1:67" ht="17.25" customHeight="1" thickBot="1">
      <c r="A173" s="276"/>
      <c r="B173" s="707" t="s">
        <v>510</v>
      </c>
      <c r="C173" s="708"/>
      <c r="D173" s="708"/>
      <c r="E173" s="708"/>
      <c r="F173" s="708"/>
      <c r="G173" s="708"/>
      <c r="H173" s="708"/>
      <c r="I173" s="708"/>
      <c r="J173" s="708"/>
      <c r="K173" s="708"/>
      <c r="L173" s="708"/>
      <c r="M173" s="708"/>
      <c r="N173" s="708"/>
      <c r="O173" s="708"/>
      <c r="P173" s="708"/>
      <c r="Q173" s="708"/>
      <c r="R173" s="708"/>
      <c r="S173" s="708"/>
      <c r="T173" s="708"/>
      <c r="U173" s="708"/>
      <c r="V173" s="708"/>
      <c r="W173" s="708"/>
      <c r="X173" s="708"/>
      <c r="Y173" s="708"/>
      <c r="Z173" s="708"/>
      <c r="AA173" s="708"/>
      <c r="AB173" s="146"/>
      <c r="BN173" s="278"/>
      <c r="BO173" s="276"/>
    </row>
    <row r="174" spans="1:67" ht="17.25" customHeight="1">
      <c r="A174" s="276"/>
      <c r="B174" s="276"/>
      <c r="C174" s="276"/>
      <c r="D174" s="276"/>
      <c r="E174" s="276"/>
      <c r="F174" s="276"/>
      <c r="G174" s="276"/>
      <c r="H174" s="276"/>
      <c r="I174" s="276"/>
      <c r="J174" s="276"/>
      <c r="K174" s="276"/>
      <c r="L174" s="276"/>
      <c r="M174" s="276"/>
      <c r="N174" s="276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145"/>
      <c r="BN174" s="278"/>
      <c r="BO174" s="276"/>
    </row>
    <row r="175" spans="1:67" ht="17.25" customHeight="1">
      <c r="A175" s="276"/>
      <c r="B175" s="276"/>
      <c r="C175" s="285"/>
      <c r="D175" s="285"/>
      <c r="E175" s="498" t="s">
        <v>516</v>
      </c>
      <c r="F175" s="499"/>
      <c r="G175" s="499"/>
      <c r="H175" s="499"/>
      <c r="I175" s="603">
        <f>90-Q176</f>
        <v>22.852377815639784</v>
      </c>
      <c r="J175" s="394"/>
      <c r="K175" s="394"/>
      <c r="L175" s="394"/>
      <c r="M175" s="395"/>
      <c r="N175" s="276"/>
      <c r="O175" s="712" t="s">
        <v>511</v>
      </c>
      <c r="P175" s="713"/>
      <c r="Q175" s="714"/>
      <c r="R175" s="714"/>
      <c r="S175" s="714"/>
      <c r="T175" s="715"/>
      <c r="AB175" s="145"/>
      <c r="BN175" s="278"/>
      <c r="BO175" s="276"/>
    </row>
    <row r="176" spans="1:67" ht="17.25" customHeight="1" thickBot="1">
      <c r="A176" s="276"/>
      <c r="B176" s="276"/>
      <c r="C176" s="285"/>
      <c r="D176" s="285"/>
      <c r="E176" s="501"/>
      <c r="F176" s="502"/>
      <c r="G176" s="502"/>
      <c r="H176" s="502"/>
      <c r="I176" s="716"/>
      <c r="J176" s="717"/>
      <c r="K176" s="717"/>
      <c r="L176" s="717"/>
      <c r="M176" s="718"/>
      <c r="N176" s="321" t="s">
        <v>184</v>
      </c>
      <c r="O176" s="696" t="s">
        <v>100</v>
      </c>
      <c r="P176" s="697"/>
      <c r="Q176" s="403">
        <f>F131</f>
        <v>67.147622184360216</v>
      </c>
      <c r="R176" s="404"/>
      <c r="S176" s="404"/>
      <c r="T176" s="257" t="s">
        <v>71</v>
      </c>
      <c r="Y176" s="276"/>
      <c r="Z176" s="276"/>
      <c r="AA176" s="276"/>
      <c r="AB176" s="145"/>
      <c r="BN176" s="278"/>
      <c r="BO176" s="276"/>
    </row>
    <row r="177" spans="1:67" ht="17.25" customHeight="1" thickTop="1" thickBot="1">
      <c r="A177" s="276"/>
      <c r="B177" s="276"/>
      <c r="C177" s="285"/>
      <c r="D177" s="285"/>
      <c r="E177" s="504"/>
      <c r="F177" s="505"/>
      <c r="G177" s="505"/>
      <c r="H177" s="505"/>
      <c r="I177" s="412" t="str" cm="1">
        <f t="array" ref="I177">angleDecimal2Txt(I175)</f>
        <v>+22°51.14 (+22.8523) [+22°51'08.56]</v>
      </c>
      <c r="J177" s="413"/>
      <c r="K177" s="413"/>
      <c r="L177" s="413"/>
      <c r="M177" s="414"/>
      <c r="N177" s="276"/>
      <c r="O177" s="696" t="s">
        <v>114</v>
      </c>
      <c r="P177" s="697"/>
      <c r="Q177" s="403">
        <f>F113</f>
        <v>23.13413311648976</v>
      </c>
      <c r="R177" s="404"/>
      <c r="S177" s="404"/>
      <c r="T177" s="257" t="s">
        <v>71</v>
      </c>
      <c r="Y177" s="276"/>
      <c r="Z177" s="276"/>
      <c r="AA177" s="276"/>
      <c r="AB177" s="145"/>
      <c r="BN177" s="278"/>
      <c r="BO177" s="276"/>
    </row>
    <row r="178" spans="1:67" ht="17.25" customHeight="1" thickTop="1">
      <c r="A178" s="276"/>
      <c r="B178" s="276"/>
      <c r="C178" s="285"/>
      <c r="D178" s="285"/>
      <c r="E178" s="276"/>
      <c r="F178" s="276"/>
      <c r="G178" s="276"/>
      <c r="H178" s="276"/>
      <c r="I178" s="276"/>
      <c r="J178" s="276"/>
      <c r="K178" s="276"/>
      <c r="L178" s="276"/>
      <c r="M178" s="276"/>
      <c r="N178" s="276"/>
      <c r="O178" s="276"/>
      <c r="P178" s="276"/>
      <c r="Q178" s="276"/>
      <c r="R178" s="276"/>
      <c r="S178" s="276"/>
      <c r="T178" s="276"/>
      <c r="U178" s="276"/>
      <c r="V178" s="276"/>
      <c r="AA178" s="276"/>
      <c r="AB178" s="145"/>
      <c r="BN178" s="278"/>
      <c r="BO178" s="276"/>
    </row>
    <row r="179" spans="1:67" ht="17.25" customHeight="1">
      <c r="A179" s="276"/>
      <c r="B179" s="276"/>
      <c r="C179" s="285"/>
      <c r="D179" s="285"/>
      <c r="AB179" s="145"/>
      <c r="BN179" s="278"/>
      <c r="BO179" s="276"/>
    </row>
    <row r="180" spans="1:67" ht="17.25" customHeight="1">
      <c r="A180" s="276"/>
      <c r="B180" s="276"/>
      <c r="C180" s="285"/>
      <c r="D180" s="285"/>
      <c r="E180" s="709" t="s">
        <v>395</v>
      </c>
      <c r="F180" s="710"/>
      <c r="G180" s="710"/>
      <c r="H180" s="710"/>
      <c r="I180" s="710"/>
      <c r="J180" s="710"/>
      <c r="K180" s="710"/>
      <c r="L180" s="710"/>
      <c r="M180" s="710"/>
      <c r="N180" s="710"/>
      <c r="O180" s="711"/>
      <c r="AB180" s="145"/>
      <c r="BN180" s="278"/>
      <c r="BO180" s="276"/>
    </row>
    <row r="181" spans="1:67" ht="17.25" customHeight="1">
      <c r="A181" s="276"/>
      <c r="B181" s="276"/>
      <c r="C181" s="285"/>
      <c r="D181" s="285"/>
      <c r="E181" s="383"/>
      <c r="F181" s="383" t="s">
        <v>397</v>
      </c>
      <c r="G181" s="383"/>
      <c r="H181" s="383"/>
      <c r="I181" s="383"/>
      <c r="J181" s="383"/>
      <c r="K181" s="700" t="s">
        <v>399</v>
      </c>
      <c r="L181" s="701"/>
      <c r="M181" s="701"/>
      <c r="N181" s="701"/>
      <c r="O181" s="702"/>
      <c r="Q181" s="389" t="s">
        <v>115</v>
      </c>
      <c r="R181" s="389"/>
      <c r="S181" s="698">
        <f>F109</f>
        <v>46.1</v>
      </c>
      <c r="T181" s="698"/>
      <c r="U181" s="398" t="str">
        <f>CONCATENATE("Lat et Dec - Meme sens ?: ",AC181)</f>
        <v>Lat et Dec - Meme sens ?: TRUE</v>
      </c>
      <c r="V181" s="398"/>
      <c r="W181" s="398"/>
      <c r="X181" s="398"/>
      <c r="Y181" s="276"/>
      <c r="AB181" s="145"/>
      <c r="AC181" s="277" t="b">
        <f>IF(S181*S182&gt;0,TRUE,FALSE)</f>
        <v>1</v>
      </c>
      <c r="BN181" s="278"/>
      <c r="BO181" s="276"/>
    </row>
    <row r="182" spans="1:67" ht="17.25" customHeight="1">
      <c r="A182" s="276"/>
      <c r="B182" s="276"/>
      <c r="C182" s="285"/>
      <c r="D182" s="285"/>
      <c r="E182" s="383"/>
      <c r="F182" s="383" t="s">
        <v>398</v>
      </c>
      <c r="G182" s="383"/>
      <c r="H182" s="383"/>
      <c r="I182" s="383"/>
      <c r="J182" s="383"/>
      <c r="K182" s="700" t="s">
        <v>400</v>
      </c>
      <c r="L182" s="701"/>
      <c r="M182" s="701"/>
      <c r="N182" s="701"/>
      <c r="O182" s="702"/>
      <c r="Q182" s="389" t="s">
        <v>114</v>
      </c>
      <c r="R182" s="389"/>
      <c r="S182" s="698">
        <f>F113</f>
        <v>23.13413311648976</v>
      </c>
      <c r="T182" s="698"/>
      <c r="U182" s="398" t="str">
        <f>CONCATENATE("Lat &gt; Dec  ? : ",AC182)</f>
        <v>Lat &gt; Dec  ? : TRUE</v>
      </c>
      <c r="V182" s="398"/>
      <c r="W182" s="398"/>
      <c r="X182" s="398"/>
      <c r="Y182" s="276"/>
      <c r="AB182" s="145"/>
      <c r="AC182" s="322" t="b">
        <f>IF(ABS(S181)&gt;ABS(S182),TRUE, FALSE)</f>
        <v>1</v>
      </c>
      <c r="BN182" s="278"/>
      <c r="BO182" s="276"/>
    </row>
    <row r="183" spans="1:67" ht="17.25" customHeight="1">
      <c r="A183" s="276"/>
      <c r="B183" s="276"/>
      <c r="C183" s="276"/>
      <c r="D183" s="276"/>
      <c r="E183" s="699" t="s">
        <v>396</v>
      </c>
      <c r="F183" s="699"/>
      <c r="G183" s="699"/>
      <c r="H183" s="699"/>
      <c r="I183" s="699"/>
      <c r="J183" s="699"/>
      <c r="K183" s="700" t="s">
        <v>401</v>
      </c>
      <c r="L183" s="701"/>
      <c r="M183" s="701"/>
      <c r="N183" s="701"/>
      <c r="O183" s="702"/>
      <c r="AB183" s="145"/>
      <c r="AC183" s="277" t="s">
        <v>513</v>
      </c>
      <c r="AD183" s="323">
        <f>I175+S182</f>
        <v>45.986510932129548</v>
      </c>
      <c r="BN183" s="278"/>
      <c r="BO183" s="276"/>
    </row>
    <row r="184" spans="1:67" ht="17.25" customHeight="1">
      <c r="A184" s="276"/>
      <c r="B184" s="276"/>
      <c r="C184" s="279"/>
      <c r="D184" s="279"/>
      <c r="E184" s="276"/>
      <c r="F184" s="276"/>
      <c r="G184" s="276"/>
      <c r="H184" s="276"/>
      <c r="I184" s="276"/>
      <c r="J184" s="276"/>
      <c r="K184" s="276"/>
      <c r="L184" s="276"/>
      <c r="M184" s="276"/>
      <c r="N184" s="276"/>
      <c r="O184" s="276"/>
      <c r="AB184" s="145"/>
      <c r="AC184" s="277" t="s">
        <v>514</v>
      </c>
      <c r="AD184" s="323">
        <f>S182-I175</f>
        <v>0.28175530084997646</v>
      </c>
      <c r="BN184" s="278"/>
      <c r="BO184" s="276"/>
    </row>
    <row r="185" spans="1:67" ht="17.25" customHeight="1" thickBot="1">
      <c r="A185" s="276"/>
      <c r="B185" s="276"/>
      <c r="C185" s="279"/>
      <c r="D185" s="279"/>
      <c r="E185" s="279"/>
      <c r="F185" s="279"/>
      <c r="G185" s="279"/>
      <c r="H185" s="276"/>
      <c r="I185" s="276"/>
      <c r="J185" s="276"/>
      <c r="K185" s="276"/>
      <c r="L185" s="276"/>
      <c r="AB185" s="145"/>
      <c r="AC185" s="277" t="s">
        <v>515</v>
      </c>
      <c r="AD185" s="323">
        <f>I175-S182</f>
        <v>-0.28175530084997646</v>
      </c>
      <c r="BN185" s="278"/>
      <c r="BO185" s="276"/>
    </row>
    <row r="186" spans="1:67" ht="17.25" customHeight="1" thickTop="1" thickBot="1">
      <c r="A186" s="276"/>
      <c r="B186" s="276"/>
      <c r="C186" s="279"/>
      <c r="D186" s="279"/>
      <c r="E186" s="279"/>
      <c r="F186" s="279"/>
      <c r="G186" s="279"/>
      <c r="H186" s="704" t="s">
        <v>394</v>
      </c>
      <c r="I186" s="705"/>
      <c r="J186" s="705"/>
      <c r="K186" s="705"/>
      <c r="L186" s="706"/>
      <c r="M186" s="687">
        <f>AC186</f>
        <v>45.986510932129548</v>
      </c>
      <c r="N186" s="688"/>
      <c r="O186" s="132" t="s">
        <v>34</v>
      </c>
      <c r="P186" s="414" t="str">
        <f>latitudeDecimal2Txt(M186)</f>
        <v>N 45°59.19 (N 45.9865) [N 45°59'11.43]</v>
      </c>
      <c r="Q186" s="402"/>
      <c r="R186" s="402"/>
      <c r="S186" s="402"/>
      <c r="T186" s="402"/>
      <c r="U186" s="402"/>
      <c r="AB186" s="145"/>
      <c r="AC186" s="277">
        <f>IF(AC181,IF(AC182,AD183,AD184),AD185)</f>
        <v>45.986510932129548</v>
      </c>
      <c r="BN186" s="278"/>
      <c r="BO186" s="276"/>
    </row>
    <row r="187" spans="1:67" ht="17.25" customHeight="1" thickTop="1">
      <c r="A187" s="285"/>
      <c r="B187" s="285"/>
      <c r="C187" s="285"/>
      <c r="D187" s="285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145"/>
      <c r="BN187" s="278"/>
      <c r="BO187" s="276"/>
    </row>
    <row r="188" spans="1:67" s="276" customFormat="1" ht="17.25" customHeight="1">
      <c r="C188" s="279"/>
      <c r="D188" s="279"/>
      <c r="E188" s="279"/>
      <c r="F188" s="279"/>
      <c r="G188" s="279"/>
      <c r="AB188" s="145"/>
      <c r="AC188" s="277"/>
      <c r="AD188" s="277"/>
      <c r="AE188" s="277"/>
      <c r="AF188" s="277"/>
      <c r="AG188" s="277"/>
      <c r="AH188" s="277"/>
      <c r="AI188" s="277"/>
      <c r="AJ188" s="277"/>
      <c r="AK188" s="277"/>
      <c r="AL188" s="277"/>
      <c r="AM188" s="277"/>
      <c r="AN188" s="277"/>
      <c r="AO188" s="277"/>
      <c r="AP188" s="277"/>
      <c r="AQ188" s="277"/>
      <c r="AR188" s="277"/>
      <c r="AS188" s="277"/>
      <c r="AT188" s="277"/>
      <c r="AU188" s="277"/>
      <c r="AV188" s="277"/>
      <c r="AW188" s="277"/>
      <c r="AX188" s="277"/>
      <c r="AY188" s="277"/>
      <c r="AZ188" s="277"/>
      <c r="BA188" s="277"/>
      <c r="BB188" s="277"/>
      <c r="BC188" s="277"/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8"/>
    </row>
    <row r="189" spans="1:67" ht="17.25" customHeight="1" thickBot="1">
      <c r="A189" s="276"/>
      <c r="B189" s="276"/>
      <c r="C189" s="279"/>
      <c r="D189" s="279"/>
      <c r="E189" s="279"/>
      <c r="F189" s="279"/>
      <c r="G189" s="279"/>
      <c r="H189" s="276"/>
      <c r="I189" s="276"/>
      <c r="J189" s="276"/>
      <c r="K189" s="276"/>
      <c r="L189" s="276"/>
      <c r="M189" s="276"/>
      <c r="N189" s="276"/>
      <c r="O189" s="276"/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145"/>
      <c r="BN189" s="278"/>
      <c r="BO189" s="276"/>
    </row>
    <row r="190" spans="1:67" ht="17.25" customHeight="1" thickBot="1">
      <c r="A190" s="276"/>
      <c r="B190" s="293" t="s">
        <v>469</v>
      </c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9"/>
      <c r="AB190" s="146"/>
      <c r="BN190" s="278"/>
      <c r="BO190" s="276"/>
    </row>
    <row r="191" spans="1:67" s="276" customFormat="1" ht="17.25" customHeight="1">
      <c r="C191" s="279"/>
      <c r="D191" s="279"/>
      <c r="E191" s="279"/>
      <c r="F191" s="279"/>
      <c r="G191" s="279"/>
      <c r="AB191" s="145"/>
      <c r="AC191" s="277"/>
      <c r="AD191" s="277"/>
      <c r="AE191" s="277"/>
      <c r="AF191" s="277"/>
      <c r="AG191" s="277"/>
      <c r="AH191" s="277"/>
      <c r="AI191" s="277"/>
      <c r="AJ191" s="277"/>
      <c r="AK191" s="277"/>
      <c r="AL191" s="277"/>
      <c r="AM191" s="277"/>
      <c r="AN191" s="277"/>
      <c r="AO191" s="277"/>
      <c r="AP191" s="277"/>
      <c r="AQ191" s="277"/>
      <c r="AR191" s="277"/>
      <c r="AS191" s="277"/>
      <c r="AT191" s="277"/>
      <c r="AU191" s="277"/>
      <c r="AV191" s="277"/>
      <c r="AW191" s="277"/>
      <c r="AX191" s="277"/>
      <c r="AY191" s="277"/>
      <c r="AZ191" s="277"/>
      <c r="BA191" s="277"/>
      <c r="BB191" s="277"/>
      <c r="BC191" s="277"/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8"/>
    </row>
    <row r="192" spans="1:67" ht="17.25" customHeight="1" thickBot="1">
      <c r="A192" s="276"/>
      <c r="B192" s="276"/>
      <c r="C192" s="381" t="s">
        <v>470</v>
      </c>
      <c r="D192" s="381"/>
      <c r="E192" s="381"/>
      <c r="F192" s="381"/>
      <c r="G192" s="239"/>
      <c r="H192" s="381" t="s">
        <v>471</v>
      </c>
      <c r="I192" s="381"/>
      <c r="J192" s="381"/>
      <c r="K192" s="276"/>
      <c r="L192" s="382" t="s">
        <v>448</v>
      </c>
      <c r="M192" s="382"/>
      <c r="N192" s="382"/>
      <c r="O192" s="276"/>
      <c r="P192" s="276"/>
      <c r="Q192" s="703" t="s">
        <v>472</v>
      </c>
      <c r="R192" s="703"/>
      <c r="S192" s="703"/>
      <c r="T192" s="703"/>
      <c r="U192" s="324"/>
      <c r="V192" s="276"/>
      <c r="W192" s="276"/>
      <c r="X192" s="276"/>
      <c r="Y192" s="276"/>
      <c r="Z192" s="276"/>
      <c r="AA192" s="276"/>
      <c r="AB192" s="145"/>
      <c r="AD192" s="323"/>
      <c r="BN192" s="278"/>
      <c r="BO192" s="276"/>
    </row>
    <row r="193" spans="1:67" ht="17.25" customHeight="1" thickTop="1" thickBot="1">
      <c r="A193" s="276"/>
      <c r="B193" s="276"/>
      <c r="C193" s="279"/>
      <c r="D193" s="325" t="s">
        <v>49</v>
      </c>
      <c r="E193" s="383">
        <f>M186</f>
        <v>45.986510932129548</v>
      </c>
      <c r="F193" s="383"/>
      <c r="G193" s="279"/>
      <c r="H193" s="276"/>
      <c r="I193" s="383">
        <f>V180</f>
        <v>0</v>
      </c>
      <c r="J193" s="383"/>
      <c r="K193" s="276" t="s">
        <v>149</v>
      </c>
      <c r="L193" s="276"/>
      <c r="M193" s="383">
        <v>180</v>
      </c>
      <c r="N193" s="383"/>
      <c r="O193" s="276"/>
      <c r="P193" s="276"/>
      <c r="Q193" s="276"/>
      <c r="R193" s="326" t="s">
        <v>49</v>
      </c>
      <c r="S193" s="378">
        <f>E193</f>
        <v>45.986510932129548</v>
      </c>
      <c r="T193" s="378"/>
      <c r="U193" s="693" t="str" cm="1">
        <f t="array" ref="U193">latitudeDecimal2Txt(S193)</f>
        <v>N 45°59.19 (N 45.9865) [N 45°59'11.43]</v>
      </c>
      <c r="V193" s="694"/>
      <c r="W193" s="694"/>
      <c r="X193" s="694"/>
      <c r="Y193" s="694"/>
      <c r="Z193" s="695"/>
      <c r="AA193" s="276"/>
      <c r="AB193" s="145"/>
      <c r="AD193" s="323"/>
      <c r="BN193" s="278"/>
      <c r="BO193" s="276"/>
    </row>
    <row r="194" spans="1:67" ht="17.25" customHeight="1" thickTop="1">
      <c r="A194" s="276"/>
      <c r="B194" s="276"/>
      <c r="C194" s="279"/>
      <c r="D194" s="276"/>
      <c r="E194" s="279"/>
      <c r="F194" s="279"/>
      <c r="G194" s="279"/>
      <c r="H194" s="276"/>
      <c r="I194" s="276"/>
      <c r="J194" s="276"/>
      <c r="K194" s="276"/>
      <c r="L194" s="276"/>
      <c r="M194" s="276"/>
      <c r="N194" s="276"/>
      <c r="O194" s="276"/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145"/>
      <c r="BN194" s="278"/>
      <c r="BO194" s="276"/>
    </row>
    <row r="195" spans="1:67" ht="17.25" customHeight="1">
      <c r="A195" s="276"/>
      <c r="B195" s="276"/>
      <c r="F195" s="279"/>
      <c r="G195" s="279"/>
      <c r="H195" s="276"/>
      <c r="I195" s="276"/>
      <c r="J195" s="276"/>
      <c r="K195" s="276"/>
      <c r="L195" s="276"/>
      <c r="M195" s="276"/>
      <c r="N195" s="276"/>
      <c r="O195" s="276"/>
      <c r="P195" s="276"/>
      <c r="Q195" s="703" t="s">
        <v>473</v>
      </c>
      <c r="R195" s="703"/>
      <c r="S195" s="703"/>
      <c r="T195" s="276"/>
      <c r="U195" s="276"/>
      <c r="V195" s="276"/>
      <c r="W195" s="276"/>
      <c r="X195" s="276"/>
      <c r="Y195" s="276"/>
      <c r="Z195" s="276"/>
      <c r="AA195" s="276"/>
      <c r="AB195" s="145"/>
      <c r="BN195" s="278"/>
      <c r="BO195" s="276"/>
    </row>
    <row r="196" spans="1:67" ht="17.25" customHeight="1">
      <c r="A196" s="276"/>
      <c r="B196" s="276"/>
      <c r="C196" s="279"/>
      <c r="D196" s="279"/>
      <c r="E196" s="279"/>
      <c r="F196" s="279"/>
      <c r="G196" s="279"/>
      <c r="H196" s="276"/>
      <c r="I196" s="276"/>
      <c r="J196" s="276"/>
      <c r="K196" s="276"/>
      <c r="L196" s="276"/>
      <c r="M196" s="276"/>
      <c r="N196" s="276"/>
      <c r="O196" s="276"/>
      <c r="P196" s="276"/>
      <c r="Q196" s="276"/>
      <c r="R196" s="378">
        <f>M193-90</f>
        <v>90</v>
      </c>
      <c r="S196" s="378"/>
      <c r="T196" s="132" t="s">
        <v>34</v>
      </c>
      <c r="U196" s="276"/>
      <c r="V196" s="276"/>
      <c r="W196" s="276"/>
      <c r="X196" s="276"/>
      <c r="Y196" s="276"/>
      <c r="Z196" s="276"/>
      <c r="AA196" s="276"/>
      <c r="AB196" s="145"/>
      <c r="BN196" s="278"/>
      <c r="BO196" s="276"/>
    </row>
    <row r="197" spans="1:67" ht="17.25" customHeight="1">
      <c r="AB197" s="277"/>
    </row>
    <row r="198" spans="1:67" ht="17.25" customHeight="1" thickBot="1">
      <c r="AB198" s="277"/>
    </row>
    <row r="199" spans="1:67" ht="17.25" customHeight="1" thickBot="1">
      <c r="B199" s="327" t="s">
        <v>477</v>
      </c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9"/>
      <c r="AB199" s="277"/>
    </row>
    <row r="200" spans="1:67" ht="17.25" customHeight="1">
      <c r="AB200" s="277"/>
      <c r="AD200" s="323"/>
    </row>
    <row r="201" spans="1:67" ht="17.25" customHeight="1" thickBot="1">
      <c r="C201" s="384" t="s">
        <v>472</v>
      </c>
      <c r="D201" s="384"/>
      <c r="E201" s="384"/>
      <c r="F201" s="384"/>
      <c r="G201" s="324"/>
      <c r="H201" s="276"/>
      <c r="I201" s="276"/>
      <c r="J201" s="276"/>
      <c r="K201" s="276"/>
      <c r="L201" s="276"/>
      <c r="Q201" s="330" t="s">
        <v>478</v>
      </c>
      <c r="R201" s="330"/>
      <c r="S201" s="330"/>
      <c r="T201" s="330"/>
      <c r="U201" s="330"/>
      <c r="V201" s="330"/>
      <c r="W201" s="330"/>
      <c r="AB201" s="277"/>
    </row>
    <row r="202" spans="1:67" ht="17.25" customHeight="1" thickTop="1" thickBot="1">
      <c r="D202" s="331" t="s">
        <v>49</v>
      </c>
      <c r="E202" s="385">
        <f>I211</f>
        <v>0</v>
      </c>
      <c r="F202" s="385"/>
      <c r="G202" s="379" t="str" cm="1">
        <f t="array" ref="G202">latitudeDecimal2Txt(E202)</f>
        <v>N 00°00.00 (N 00.0000) [N 00°00'00.00]</v>
      </c>
      <c r="H202" s="379"/>
      <c r="I202" s="379"/>
      <c r="J202" s="379"/>
      <c r="K202" s="379"/>
      <c r="L202" s="379"/>
      <c r="R202" s="326" t="s">
        <v>49</v>
      </c>
      <c r="S202" s="378">
        <f>AG205</f>
        <v>45.986510932129548</v>
      </c>
      <c r="T202" s="378"/>
      <c r="U202" s="379" t="str" cm="1">
        <f t="array" ref="U202">latitudeDecimal2Txt(S202)</f>
        <v>N 45°59.19 (N 45.9865) [N 45°59'11.43]</v>
      </c>
      <c r="V202" s="379"/>
      <c r="W202" s="379"/>
      <c r="X202" s="379"/>
      <c r="Y202" s="379"/>
      <c r="Z202" s="379"/>
      <c r="AB202" s="277"/>
      <c r="AC202" s="332" t="s">
        <v>540</v>
      </c>
      <c r="AD202" s="333">
        <f>D206</f>
        <v>30</v>
      </c>
    </row>
    <row r="203" spans="1:67" ht="17.25" customHeight="1" thickTop="1" thickBot="1">
      <c r="D203" s="331" t="s">
        <v>50</v>
      </c>
      <c r="E203" s="385">
        <v>-7</v>
      </c>
      <c r="F203" s="385"/>
      <c r="G203" s="379" t="str" cm="1">
        <f t="array" ref="G203">longitudeDecimal2Txt(E203)</f>
        <v>W 07°00.00 (W 07.0000) [W 07°00'00.00]</v>
      </c>
      <c r="H203" s="379"/>
      <c r="I203" s="379"/>
      <c r="J203" s="379"/>
      <c r="K203" s="379"/>
      <c r="L203" s="379"/>
      <c r="R203" s="326" t="s">
        <v>50</v>
      </c>
      <c r="S203" s="378">
        <f>AG206</f>
        <v>19.55032446575666</v>
      </c>
      <c r="T203" s="378"/>
      <c r="U203" s="379" t="str" cm="1">
        <f t="array" ref="U203">longitudeDecimal2Txt(S203)</f>
        <v>E 19°33.01 (E 19.5503) [E 19°33'01.16]</v>
      </c>
      <c r="V203" s="379"/>
      <c r="W203" s="379"/>
      <c r="X203" s="379"/>
      <c r="Y203" s="379"/>
      <c r="Z203" s="379"/>
      <c r="AB203" s="277"/>
      <c r="AC203" s="334" t="s">
        <v>542</v>
      </c>
      <c r="AD203" s="333">
        <f>E202</f>
        <v>0</v>
      </c>
    </row>
    <row r="204" spans="1:67" ht="17.25" customHeight="1" thickTop="1">
      <c r="C204" s="276"/>
      <c r="D204" s="276"/>
      <c r="E204" s="276"/>
      <c r="F204" s="276"/>
      <c r="G204" s="276"/>
      <c r="H204" s="276"/>
      <c r="I204" s="276"/>
      <c r="J204" s="276"/>
      <c r="K204" s="276"/>
      <c r="L204" s="276"/>
      <c r="AB204" s="277"/>
      <c r="AC204" s="332" t="s">
        <v>543</v>
      </c>
      <c r="AD204" s="333">
        <f>E203</f>
        <v>-7</v>
      </c>
    </row>
    <row r="205" spans="1:67" ht="17.25" customHeight="1">
      <c r="C205" s="384" t="s">
        <v>473</v>
      </c>
      <c r="D205" s="384"/>
      <c r="E205" s="384"/>
      <c r="F205" s="244"/>
      <c r="G205" s="276"/>
      <c r="H205" s="276"/>
      <c r="I205" s="276"/>
      <c r="J205" s="276"/>
      <c r="K205" s="276"/>
      <c r="L205" s="276"/>
      <c r="AB205" s="277"/>
      <c r="AC205" s="332" t="s">
        <v>487</v>
      </c>
      <c r="AD205" s="332">
        <f>TAN(AD202*Outils!F43) * (1 / COS(AD203*Outils!F43))</f>
        <v>0</v>
      </c>
      <c r="AE205" s="689" t="s">
        <v>546</v>
      </c>
      <c r="AF205" s="689"/>
      <c r="AG205" s="335">
        <f>S193</f>
        <v>45.986510932129548</v>
      </c>
    </row>
    <row r="206" spans="1:67" ht="17.25" customHeight="1">
      <c r="D206" s="385">
        <v>30</v>
      </c>
      <c r="E206" s="385"/>
      <c r="F206" s="337" t="s">
        <v>34</v>
      </c>
      <c r="G206" s="276"/>
      <c r="H206" s="276"/>
      <c r="I206" s="276"/>
      <c r="J206" s="276"/>
      <c r="K206" s="276"/>
      <c r="L206" s="276"/>
      <c r="AB206" s="277"/>
      <c r="AC206" s="332" t="s">
        <v>488</v>
      </c>
      <c r="AD206" s="332">
        <f>AD204-AD203*AD205</f>
        <v>-7</v>
      </c>
      <c r="AE206" s="689"/>
      <c r="AF206" s="689"/>
      <c r="AG206" s="336">
        <f>E203+(S193-E202)*TAN(D206*Outils!F10)/COS(Outils!F10*E202)</f>
        <v>19.55032446575666</v>
      </c>
    </row>
    <row r="207" spans="1:67">
      <c r="AB207" s="277"/>
    </row>
    <row r="208" spans="1:67">
      <c r="S208" s="276"/>
      <c r="T208" s="276"/>
      <c r="AB208" s="277"/>
    </row>
    <row r="209" spans="7:28">
      <c r="AB209" s="277"/>
    </row>
    <row r="210" spans="7:28" ht="17.25" customHeight="1">
      <c r="G210" s="302"/>
      <c r="P210" s="276"/>
      <c r="Q210" s="276"/>
      <c r="AB210" s="277"/>
    </row>
    <row r="211" spans="7:28" ht="17.25" customHeight="1">
      <c r="G211" s="302"/>
      <c r="AB211" s="277"/>
    </row>
    <row r="212" spans="7:28">
      <c r="K212" s="276"/>
      <c r="L212" s="276"/>
      <c r="AB212" s="277"/>
    </row>
    <row r="213" spans="7:28">
      <c r="K213" s="276"/>
      <c r="L213" s="276"/>
      <c r="AB213" s="277"/>
    </row>
  </sheetData>
  <sheetProtection selectLockedCells="1"/>
  <protectedRanges>
    <protectedRange sqref="M84:Y84" name="Heure visee" securityDescriptor="O:WDG:WDD:(A;;CC;;;WD)"/>
  </protectedRanges>
  <mergeCells count="305">
    <mergeCell ref="I36:I37"/>
    <mergeCell ref="J36:N37"/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I55:J56"/>
    <mergeCell ref="P55:R56"/>
    <mergeCell ref="U55:W56"/>
    <mergeCell ref="X55:Z56"/>
    <mergeCell ref="AA55:AA56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V76:W77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H150:N150"/>
    <mergeCell ref="O150:R150"/>
    <mergeCell ref="H143:N143"/>
    <mergeCell ref="O143:R143"/>
    <mergeCell ref="U143:Z143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Outils!$C$15:$C$16</xm:f>
          </x14:formula1>
          <xm:sqref>U126:U127 P126:P127 P118:P121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29" zoomScaleNormal="100" workbookViewId="0">
      <selection activeCell="AF115" sqref="AF115"/>
    </sheetView>
  </sheetViews>
  <sheetFormatPr defaultColWidth="6" defaultRowHeight="15"/>
  <cols>
    <col min="1" max="8" width="6" style="277"/>
    <col min="9" max="9" width="8.5703125" style="277" bestFit="1" customWidth="1"/>
    <col min="10" max="13" width="6" style="277"/>
    <col min="14" max="14" width="8.5703125" style="277" bestFit="1" customWidth="1"/>
    <col min="15" max="21" width="6" style="277"/>
    <col min="22" max="22" width="6.28515625" style="277" customWidth="1"/>
    <col min="23" max="23" width="7.140625" style="277" bestFit="1" customWidth="1"/>
    <col min="24" max="27" width="6" style="277"/>
    <col min="28" max="28" width="1.28515625" style="350" customWidth="1"/>
    <col min="29" max="30" width="16.140625" style="277" customWidth="1"/>
    <col min="31" max="31" width="9.5703125" style="277" bestFit="1" customWidth="1"/>
    <col min="32" max="32" width="6.5703125" style="277" bestFit="1" customWidth="1"/>
    <col min="33" max="33" width="9.5703125" style="277" bestFit="1" customWidth="1"/>
    <col min="34" max="34" width="8.5703125" style="277" bestFit="1" customWidth="1"/>
    <col min="35" max="16384" width="6" style="277"/>
  </cols>
  <sheetData>
    <row r="1" spans="1:66" s="276" customFormat="1" ht="17.25" customHeight="1">
      <c r="C1" s="757" t="s">
        <v>236</v>
      </c>
      <c r="D1" s="757"/>
      <c r="E1" s="757"/>
      <c r="F1" s="757"/>
      <c r="G1" s="758" t="s">
        <v>237</v>
      </c>
      <c r="H1" s="758"/>
      <c r="I1" s="758"/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8"/>
      <c r="Y1" s="758"/>
      <c r="AB1" s="349"/>
      <c r="AC1" s="277"/>
      <c r="AD1" s="277"/>
      <c r="AE1" s="277"/>
      <c r="AF1" s="277"/>
      <c r="AG1" s="277"/>
      <c r="AH1" s="277"/>
      <c r="AI1" s="277"/>
      <c r="AJ1" s="277"/>
      <c r="AK1" s="277"/>
      <c r="AL1" s="277"/>
      <c r="AM1" s="277"/>
      <c r="AN1" s="277"/>
      <c r="AO1" s="277"/>
      <c r="AP1" s="277"/>
      <c r="AQ1" s="277"/>
      <c r="AR1" s="277"/>
      <c r="AS1" s="277"/>
      <c r="AT1" s="277"/>
      <c r="AU1" s="277"/>
      <c r="AV1" s="277"/>
      <c r="AW1" s="277"/>
      <c r="AX1" s="277"/>
      <c r="AY1" s="277"/>
      <c r="AZ1" s="277"/>
      <c r="BA1" s="277"/>
      <c r="BB1" s="277"/>
      <c r="BC1" s="277"/>
      <c r="BD1" s="277"/>
      <c r="BE1" s="277"/>
      <c r="BF1" s="277"/>
      <c r="BG1" s="277"/>
      <c r="BH1" s="277"/>
      <c r="BI1" s="277"/>
      <c r="BJ1" s="277"/>
      <c r="BK1" s="277"/>
      <c r="BL1" s="277"/>
      <c r="BM1" s="277"/>
      <c r="BN1" s="278"/>
    </row>
    <row r="2" spans="1:66" s="276" customFormat="1" ht="17.25" customHeight="1">
      <c r="C2" s="757"/>
      <c r="D2" s="757"/>
      <c r="E2" s="757"/>
      <c r="F2" s="757"/>
      <c r="G2" s="758"/>
      <c r="H2" s="758"/>
      <c r="I2" s="758"/>
      <c r="J2" s="758"/>
      <c r="K2" s="758"/>
      <c r="L2" s="758"/>
      <c r="M2" s="758"/>
      <c r="N2" s="758"/>
      <c r="O2" s="758"/>
      <c r="P2" s="758"/>
      <c r="Q2" s="758"/>
      <c r="R2" s="758"/>
      <c r="S2" s="758"/>
      <c r="T2" s="758"/>
      <c r="U2" s="758"/>
      <c r="V2" s="758"/>
      <c r="W2" s="758"/>
      <c r="X2" s="758"/>
      <c r="Y2" s="758"/>
      <c r="AB2" s="349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277"/>
      <c r="BD2" s="277"/>
      <c r="BE2" s="277"/>
      <c r="BF2" s="277"/>
      <c r="BG2" s="277"/>
      <c r="BH2" s="277"/>
      <c r="BI2" s="277"/>
      <c r="BJ2" s="277"/>
      <c r="BK2" s="277"/>
      <c r="BL2" s="277"/>
      <c r="BM2" s="277"/>
      <c r="BN2" s="278"/>
    </row>
    <row r="3" spans="1:66" s="276" customFormat="1" ht="17.25" customHeight="1">
      <c r="C3" s="757"/>
      <c r="D3" s="757"/>
      <c r="E3" s="757"/>
      <c r="F3" s="757"/>
      <c r="G3" s="460" t="s">
        <v>241</v>
      </c>
      <c r="H3" s="460"/>
      <c r="I3" s="460"/>
      <c r="J3" s="462" t="s">
        <v>240</v>
      </c>
      <c r="K3" s="462"/>
      <c r="L3" s="462"/>
      <c r="N3" s="759" t="s">
        <v>463</v>
      </c>
      <c r="O3" s="759"/>
      <c r="P3" s="759"/>
      <c r="Q3" s="760" t="s">
        <v>363</v>
      </c>
      <c r="R3" s="760"/>
      <c r="S3" s="760"/>
      <c r="AB3" s="349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277"/>
      <c r="BD3" s="277"/>
      <c r="BE3" s="277"/>
      <c r="BF3" s="277"/>
      <c r="BG3" s="277"/>
      <c r="BH3" s="277"/>
      <c r="BI3" s="277"/>
      <c r="BJ3" s="277"/>
      <c r="BK3" s="277"/>
      <c r="BL3" s="277"/>
      <c r="BM3" s="277"/>
      <c r="BN3" s="278"/>
    </row>
    <row r="4" spans="1:66" s="276" customFormat="1" ht="17.25" customHeight="1">
      <c r="C4" s="757"/>
      <c r="D4" s="757"/>
      <c r="E4" s="757"/>
      <c r="F4" s="757"/>
      <c r="G4" s="461"/>
      <c r="H4" s="461"/>
      <c r="I4" s="461"/>
      <c r="J4" s="463"/>
      <c r="K4" s="463"/>
      <c r="L4" s="463"/>
      <c r="N4" s="759"/>
      <c r="O4" s="759"/>
      <c r="P4" s="759"/>
      <c r="Q4" s="760"/>
      <c r="R4" s="760"/>
      <c r="S4" s="760"/>
      <c r="AB4" s="349"/>
      <c r="AC4" s="277"/>
      <c r="AD4" s="277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  <c r="AW4" s="277"/>
      <c r="AX4" s="277"/>
      <c r="AY4" s="277"/>
      <c r="AZ4" s="277"/>
      <c r="BA4" s="277"/>
      <c r="BB4" s="277"/>
      <c r="BC4" s="277"/>
      <c r="BD4" s="277"/>
      <c r="BE4" s="277"/>
      <c r="BF4" s="277"/>
      <c r="BG4" s="277"/>
      <c r="BH4" s="277"/>
      <c r="BI4" s="277"/>
      <c r="BJ4" s="277"/>
      <c r="BK4" s="277"/>
      <c r="BL4" s="277"/>
      <c r="BM4" s="277"/>
      <c r="BN4" s="278"/>
    </row>
    <row r="5" spans="1:66" s="276" customFormat="1" ht="17.25" customHeight="1">
      <c r="C5" s="279"/>
      <c r="D5" s="279"/>
      <c r="E5" s="279"/>
      <c r="F5" s="279"/>
      <c r="G5" s="279"/>
      <c r="AB5" s="349"/>
      <c r="AC5" s="277"/>
      <c r="AD5" s="277"/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7"/>
      <c r="BA5" s="277"/>
      <c r="BB5" s="277"/>
      <c r="BC5" s="277"/>
      <c r="BD5" s="277"/>
      <c r="BE5" s="277"/>
      <c r="BF5" s="277"/>
      <c r="BG5" s="277"/>
      <c r="BH5" s="277"/>
      <c r="BI5" s="277"/>
      <c r="BJ5" s="277"/>
      <c r="BK5" s="277"/>
      <c r="BL5" s="277"/>
      <c r="BM5" s="277"/>
      <c r="BN5" s="278"/>
    </row>
    <row r="6" spans="1:66" ht="15.75" thickBot="1"/>
    <row r="7" spans="1:66" s="276" customFormat="1" ht="17.25" customHeight="1" thickBot="1">
      <c r="B7" s="281" t="s">
        <v>518</v>
      </c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30" t="str">
        <f>dateDecimale2txt(dateConvert2Decimal(E8))</f>
        <v>2025/6/30 [YYYY/MM/DD]</v>
      </c>
      <c r="O7" s="230"/>
      <c r="P7" s="283"/>
      <c r="Q7" s="284"/>
      <c r="R7" s="267"/>
      <c r="S7" s="267"/>
      <c r="T7" s="267"/>
      <c r="U7" s="282"/>
      <c r="V7" s="282"/>
      <c r="W7" s="282"/>
      <c r="X7" s="282"/>
      <c r="Y7" s="282"/>
      <c r="Z7" s="282"/>
      <c r="AA7" s="282"/>
      <c r="AB7" s="351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8"/>
    </row>
    <row r="8" spans="1:66" s="276" customFormat="1" ht="17.25" customHeight="1">
      <c r="C8" s="456" t="s">
        <v>1</v>
      </c>
      <c r="D8" s="457"/>
      <c r="E8" s="590" t="s">
        <v>464</v>
      </c>
      <c r="F8" s="591"/>
      <c r="G8" s="591"/>
      <c r="H8" s="277"/>
      <c r="I8" s="277"/>
      <c r="J8" s="277"/>
      <c r="K8" s="277"/>
      <c r="L8" s="277"/>
      <c r="M8" s="277"/>
      <c r="N8" s="277"/>
      <c r="O8" s="277"/>
      <c r="AB8" s="349"/>
      <c r="AC8" s="277"/>
      <c r="AD8" s="277"/>
      <c r="AE8" s="277"/>
      <c r="AF8" s="277"/>
      <c r="AG8" s="277"/>
      <c r="AH8" s="277"/>
      <c r="AI8" s="277"/>
      <c r="AJ8" s="277"/>
      <c r="AK8" s="277"/>
      <c r="AL8" s="277"/>
      <c r="AM8" s="277"/>
      <c r="AN8" s="277"/>
      <c r="AO8" s="277"/>
      <c r="AP8" s="277"/>
      <c r="AQ8" s="277"/>
      <c r="AR8" s="277"/>
      <c r="AS8" s="277"/>
      <c r="AT8" s="277"/>
      <c r="AU8" s="277"/>
      <c r="AV8" s="277"/>
      <c r="AW8" s="277"/>
      <c r="AX8" s="277"/>
      <c r="AY8" s="277"/>
      <c r="AZ8" s="277"/>
      <c r="BA8" s="277"/>
      <c r="BB8" s="277"/>
      <c r="BC8" s="277"/>
      <c r="BD8" s="277"/>
      <c r="BE8" s="277"/>
      <c r="BF8" s="277"/>
      <c r="BG8" s="277"/>
      <c r="BH8" s="277"/>
      <c r="BI8" s="277"/>
      <c r="BJ8" s="277"/>
      <c r="BK8" s="277"/>
      <c r="BL8" s="277"/>
      <c r="BM8" s="277"/>
      <c r="BN8" s="278"/>
    </row>
    <row r="9" spans="1:66" s="276" customFormat="1" ht="12" customHeight="1">
      <c r="C9" s="285"/>
      <c r="D9" s="285"/>
      <c r="E9" s="686" t="s">
        <v>7</v>
      </c>
      <c r="F9" s="686"/>
      <c r="G9" s="686"/>
      <c r="H9" s="686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285"/>
      <c r="AB9" s="349"/>
      <c r="AC9" s="277"/>
      <c r="AD9" s="277"/>
      <c r="AE9" s="277"/>
      <c r="AF9" s="277"/>
      <c r="AG9" s="277"/>
      <c r="AH9" s="277"/>
      <c r="AI9" s="277"/>
      <c r="AJ9" s="277"/>
      <c r="AK9" s="277"/>
      <c r="AL9" s="277"/>
      <c r="AM9" s="277"/>
      <c r="AN9" s="277"/>
      <c r="AO9" s="277"/>
      <c r="AP9" s="277"/>
      <c r="AQ9" s="277"/>
      <c r="AR9" s="277"/>
      <c r="AS9" s="277"/>
      <c r="AT9" s="277"/>
      <c r="AU9" s="277"/>
      <c r="AV9" s="277"/>
      <c r="AW9" s="277"/>
      <c r="AX9" s="277"/>
      <c r="AY9" s="277"/>
      <c r="AZ9" s="277"/>
      <c r="BA9" s="277"/>
      <c r="BB9" s="277"/>
      <c r="BC9" s="277"/>
      <c r="BD9" s="277"/>
      <c r="BE9" s="277"/>
      <c r="BF9" s="277"/>
      <c r="BG9" s="277"/>
      <c r="BH9" s="277"/>
      <c r="BI9" s="277"/>
      <c r="BJ9" s="277"/>
      <c r="BK9" s="277"/>
      <c r="BL9" s="277"/>
      <c r="BM9" s="277"/>
      <c r="BN9" s="278"/>
    </row>
    <row r="10" spans="1:66" s="276" customFormat="1" ht="12" customHeight="1" thickBot="1">
      <c r="C10" s="285"/>
      <c r="D10" s="285"/>
      <c r="E10" s="686"/>
      <c r="F10" s="686"/>
      <c r="G10" s="686"/>
      <c r="H10" s="686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5"/>
      <c r="AB10" s="349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8"/>
    </row>
    <row r="11" spans="1:66" s="276" customFormat="1" ht="12" customHeight="1" thickTop="1" thickBot="1">
      <c r="A11" s="372" t="s">
        <v>41</v>
      </c>
      <c r="B11" s="373"/>
      <c r="C11" s="374"/>
      <c r="D11" s="285"/>
      <c r="E11" s="285"/>
      <c r="F11" s="556">
        <f>AD12</f>
        <v>46.1</v>
      </c>
      <c r="G11" s="579"/>
      <c r="H11" s="579"/>
      <c r="I11" s="475" t="s">
        <v>3</v>
      </c>
      <c r="J11" s="477" t="s">
        <v>536</v>
      </c>
      <c r="K11" s="475"/>
      <c r="L11" s="475"/>
      <c r="M11" s="475"/>
      <c r="N11" s="475"/>
      <c r="O11" s="400" t="str" cm="1">
        <f t="array" ref="O11">angleDecimal2Txt(F11)</f>
        <v>+46°06.00 (+46.1000) [+46°06'00.00]</v>
      </c>
      <c r="P11" s="400"/>
      <c r="Q11" s="400"/>
      <c r="R11" s="400"/>
      <c r="S11" s="400"/>
      <c r="T11" s="400"/>
      <c r="U11" s="400"/>
      <c r="V11" s="400"/>
      <c r="W11" s="400"/>
      <c r="X11" s="400"/>
      <c r="Y11" s="285"/>
      <c r="Z11" s="285"/>
      <c r="AB11" s="349"/>
      <c r="AC11" s="263" t="s">
        <v>334</v>
      </c>
      <c r="AD11" s="6">
        <f>VLOOKUP(I11,$A$13:$C$14,3)</f>
        <v>1</v>
      </c>
      <c r="AE11" s="277"/>
      <c r="AF11" s="277"/>
      <c r="AG11" s="277"/>
      <c r="AH11" s="277"/>
      <c r="AI11" s="277"/>
      <c r="AJ11" s="277"/>
      <c r="AK11" s="277"/>
      <c r="AL11" s="277"/>
      <c r="AM11" s="277"/>
      <c r="AN11" s="277"/>
      <c r="AO11" s="277"/>
      <c r="AP11" s="277"/>
      <c r="AQ11" s="277"/>
      <c r="AR11" s="277"/>
      <c r="AS11" s="277"/>
      <c r="AT11" s="277"/>
      <c r="AU11" s="277"/>
      <c r="AV11" s="277"/>
      <c r="AW11" s="277"/>
      <c r="AX11" s="277"/>
      <c r="AY11" s="277"/>
      <c r="AZ11" s="277"/>
      <c r="BA11" s="277"/>
      <c r="BB11" s="277"/>
      <c r="BC11" s="277"/>
      <c r="BD11" s="277"/>
      <c r="BE11" s="277"/>
      <c r="BF11" s="277"/>
      <c r="BG11" s="277"/>
      <c r="BH11" s="277"/>
      <c r="BI11" s="277"/>
      <c r="BJ11" s="277"/>
      <c r="BK11" s="277"/>
      <c r="BL11" s="277"/>
      <c r="BM11" s="277"/>
      <c r="BN11" s="286"/>
    </row>
    <row r="12" spans="1:66" s="276" customFormat="1" ht="12" customHeight="1" thickTop="1" thickBot="1">
      <c r="A12" s="287" t="s">
        <v>49</v>
      </c>
      <c r="B12" s="288" t="s">
        <v>50</v>
      </c>
      <c r="C12" s="289"/>
      <c r="D12" s="285"/>
      <c r="E12" s="285"/>
      <c r="F12" s="579"/>
      <c r="G12" s="579"/>
      <c r="H12" s="579"/>
      <c r="I12" s="475"/>
      <c r="J12" s="475"/>
      <c r="K12" s="475"/>
      <c r="L12" s="475"/>
      <c r="M12" s="475"/>
      <c r="N12" s="475"/>
      <c r="O12" s="400"/>
      <c r="P12" s="400"/>
      <c r="Q12" s="400"/>
      <c r="R12" s="400"/>
      <c r="S12" s="400"/>
      <c r="T12" s="400"/>
      <c r="U12" s="400"/>
      <c r="V12" s="400"/>
      <c r="W12" s="400"/>
      <c r="X12" s="400"/>
      <c r="Y12" s="285"/>
      <c r="Z12" s="285"/>
      <c r="AB12" s="349"/>
      <c r="AC12" s="263" t="s">
        <v>335</v>
      </c>
      <c r="AD12" s="6" cm="1">
        <f t="array" ref="AD12">angleConvert2Decimal(J11)*AD11</f>
        <v>46.1</v>
      </c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86"/>
    </row>
    <row r="13" spans="1:66" s="276" customFormat="1" ht="12" customHeight="1" thickTop="1">
      <c r="A13" s="287" t="s">
        <v>3</v>
      </c>
      <c r="B13" s="288" t="s">
        <v>5</v>
      </c>
      <c r="C13" s="289">
        <v>1</v>
      </c>
      <c r="D13" s="285"/>
      <c r="E13" s="285"/>
      <c r="F13" s="285"/>
      <c r="G13" s="285"/>
      <c r="H13" s="285"/>
      <c r="AB13" s="349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86"/>
    </row>
    <row r="14" spans="1:66" s="276" customFormat="1" ht="12" customHeight="1" thickBot="1">
      <c r="A14" s="290" t="s">
        <v>4</v>
      </c>
      <c r="B14" s="291" t="s">
        <v>6</v>
      </c>
      <c r="C14" s="292">
        <v>-1</v>
      </c>
      <c r="D14" s="285"/>
      <c r="E14" s="580" t="s">
        <v>8</v>
      </c>
      <c r="F14" s="580"/>
      <c r="G14" s="580"/>
      <c r="H14" s="580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285"/>
      <c r="AB14" s="349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86"/>
    </row>
    <row r="15" spans="1:66" s="276" customFormat="1" ht="12" customHeight="1" thickBot="1">
      <c r="C15" s="285"/>
      <c r="D15" s="285"/>
      <c r="E15" s="580"/>
      <c r="F15" s="580"/>
      <c r="G15" s="580"/>
      <c r="H15" s="580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5"/>
      <c r="V15" s="285"/>
      <c r="AB15" s="349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86"/>
    </row>
    <row r="16" spans="1:66" s="276" customFormat="1" ht="12" customHeight="1" thickTop="1" thickBot="1">
      <c r="B16" s="285"/>
      <c r="C16" s="285"/>
      <c r="D16" s="285"/>
      <c r="E16" s="285"/>
      <c r="F16" s="556">
        <f>AD17</f>
        <v>-7.083333333333333</v>
      </c>
      <c r="G16" s="579"/>
      <c r="H16" s="579"/>
      <c r="I16" s="475" t="s">
        <v>6</v>
      </c>
      <c r="J16" s="477" t="s">
        <v>537</v>
      </c>
      <c r="K16" s="475"/>
      <c r="L16" s="475"/>
      <c r="M16" s="475"/>
      <c r="N16" s="475"/>
      <c r="O16" s="400" t="str" cm="1">
        <f t="array" ref="O16">angleDecimal2Txt(F16)</f>
        <v>-07°05.00 (-07.0833) [-07°05'00.00]</v>
      </c>
      <c r="P16" s="400"/>
      <c r="Q16" s="400"/>
      <c r="R16" s="400"/>
      <c r="S16" s="400"/>
      <c r="T16" s="400"/>
      <c r="U16" s="400"/>
      <c r="V16" s="400"/>
      <c r="W16" s="400"/>
      <c r="X16" s="400"/>
      <c r="Y16" s="285"/>
      <c r="Z16" s="285"/>
      <c r="AB16" s="349"/>
      <c r="AC16" s="263" t="s">
        <v>336</v>
      </c>
      <c r="AD16" s="6">
        <f>VLOOKUP(I16,B13:C14,2)</f>
        <v>-1</v>
      </c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8"/>
    </row>
    <row r="17" spans="2:66" s="276" customFormat="1" ht="12" customHeight="1" thickTop="1" thickBot="1">
      <c r="C17" s="285"/>
      <c r="D17" s="285"/>
      <c r="E17" s="285"/>
      <c r="F17" s="579"/>
      <c r="G17" s="579"/>
      <c r="H17" s="579"/>
      <c r="I17" s="475"/>
      <c r="J17" s="475"/>
      <c r="K17" s="475"/>
      <c r="L17" s="475"/>
      <c r="M17" s="475"/>
      <c r="N17" s="475"/>
      <c r="O17" s="400"/>
      <c r="P17" s="400"/>
      <c r="Q17" s="400"/>
      <c r="R17" s="400"/>
      <c r="S17" s="400"/>
      <c r="T17" s="400"/>
      <c r="U17" s="400"/>
      <c r="V17" s="400"/>
      <c r="W17" s="400"/>
      <c r="X17" s="400"/>
      <c r="Y17" s="285"/>
      <c r="Z17" s="285"/>
      <c r="AB17" s="349"/>
      <c r="AC17" s="263" t="s">
        <v>337</v>
      </c>
      <c r="AD17" s="6" cm="1">
        <f t="array" ref="AD17">angleConvert2Decimal(J16)*AD16</f>
        <v>-7.083333333333333</v>
      </c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8"/>
    </row>
    <row r="18" spans="2:66" ht="12" customHeight="1" thickTop="1"/>
    <row r="19" spans="2:66" ht="12" customHeight="1">
      <c r="E19" s="580" t="s">
        <v>501</v>
      </c>
      <c r="F19" s="580"/>
      <c r="G19" s="580"/>
      <c r="H19" s="580"/>
      <c r="I19" s="285"/>
      <c r="J19" s="285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5"/>
      <c r="V19" s="285"/>
      <c r="W19" s="276"/>
      <c r="X19" s="276"/>
    </row>
    <row r="20" spans="2:66" ht="12" customHeight="1" thickBot="1">
      <c r="E20" s="580"/>
      <c r="F20" s="580"/>
      <c r="G20" s="580"/>
      <c r="H20" s="580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285"/>
      <c r="W20" s="276"/>
      <c r="X20" s="276"/>
    </row>
    <row r="21" spans="2:66" ht="12" customHeight="1" thickTop="1" thickBot="1">
      <c r="E21" s="285"/>
      <c r="F21" s="556">
        <f>heureConvert2Decimal(I21)</f>
        <v>10.340277777777779</v>
      </c>
      <c r="G21" s="579"/>
      <c r="H21" s="579"/>
      <c r="I21" s="826" t="s">
        <v>402</v>
      </c>
      <c r="J21" s="623"/>
      <c r="K21" s="623"/>
      <c r="L21" s="623"/>
      <c r="M21" s="623"/>
      <c r="N21" s="808"/>
      <c r="O21" s="400" t="str">
        <f>heureDecimal2Txt(F21)</f>
        <v>10:20:25.00(10.3402)</v>
      </c>
      <c r="P21" s="400"/>
      <c r="Q21" s="400"/>
      <c r="R21" s="400"/>
      <c r="S21" s="400"/>
      <c r="T21" s="400"/>
      <c r="U21" s="400"/>
      <c r="V21" s="400"/>
      <c r="W21" s="400"/>
      <c r="X21" s="400"/>
    </row>
    <row r="22" spans="2:66" ht="12" customHeight="1" thickTop="1" thickBot="1">
      <c r="E22" s="285"/>
      <c r="F22" s="579"/>
      <c r="G22" s="579"/>
      <c r="H22" s="579"/>
      <c r="I22" s="553"/>
      <c r="J22" s="554"/>
      <c r="K22" s="554"/>
      <c r="L22" s="554"/>
      <c r="M22" s="554"/>
      <c r="N22" s="810"/>
      <c r="O22" s="400"/>
      <c r="P22" s="400"/>
      <c r="Q22" s="400"/>
      <c r="R22" s="400"/>
      <c r="S22" s="400"/>
      <c r="T22" s="400"/>
      <c r="U22" s="400"/>
      <c r="V22" s="400"/>
      <c r="W22" s="400"/>
      <c r="X22" s="400"/>
    </row>
    <row r="23" spans="2:66" ht="15.75" thickTop="1"/>
    <row r="24" spans="2:66" ht="15.75" thickBot="1"/>
    <row r="25" spans="2:66" s="276" customFormat="1" ht="17.25" customHeight="1" thickBot="1">
      <c r="B25" s="293" t="s">
        <v>519</v>
      </c>
      <c r="C25" s="294"/>
      <c r="D25" s="294"/>
      <c r="E25" s="295"/>
      <c r="F25" s="295"/>
      <c r="G25" s="295"/>
      <c r="H25" s="295"/>
      <c r="I25" s="295"/>
      <c r="J25" s="295"/>
      <c r="K25" s="295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351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8"/>
    </row>
    <row r="26" spans="2:66" ht="12.75" customHeight="1">
      <c r="E26" s="795" t="s">
        <v>522</v>
      </c>
      <c r="F26" s="796"/>
      <c r="G26" s="796"/>
      <c r="H26" s="796"/>
      <c r="I26" s="796"/>
      <c r="J26" s="796"/>
      <c r="K26" s="797"/>
    </row>
    <row r="27" spans="2:66" ht="12.75" customHeight="1" thickBot="1">
      <c r="E27" s="798"/>
      <c r="F27" s="799"/>
      <c r="G27" s="799"/>
      <c r="H27" s="799"/>
      <c r="I27" s="799"/>
      <c r="J27" s="799"/>
      <c r="K27" s="800"/>
    </row>
    <row r="28" spans="2:66" ht="12.75" customHeight="1" thickTop="1" thickBot="1">
      <c r="F28" s="555">
        <f>angleConvert2Decimal(I28)</f>
        <v>260</v>
      </c>
      <c r="G28" s="804"/>
      <c r="H28" s="804"/>
      <c r="I28" s="806">
        <v>260</v>
      </c>
      <c r="J28" s="807"/>
      <c r="K28" s="807"/>
      <c r="L28" s="623"/>
      <c r="M28" s="623"/>
      <c r="N28" s="808"/>
      <c r="O28" s="400" t="str" cm="1">
        <f t="array" ref="O28">angleDecimal2Txt(F28)</f>
        <v>+260°00.00 (+260.0000) [+260°00'00.00]</v>
      </c>
      <c r="P28" s="400"/>
      <c r="Q28" s="400"/>
      <c r="R28" s="400"/>
      <c r="S28" s="400"/>
      <c r="T28" s="400"/>
      <c r="U28" s="400"/>
      <c r="V28" s="400"/>
      <c r="W28" s="400"/>
      <c r="X28" s="400"/>
    </row>
    <row r="29" spans="2:66" ht="12.75" customHeight="1" thickTop="1" thickBot="1">
      <c r="F29" s="805"/>
      <c r="G29" s="805"/>
      <c r="H29" s="805"/>
      <c r="I29" s="809"/>
      <c r="J29" s="807"/>
      <c r="K29" s="807"/>
      <c r="L29" s="554"/>
      <c r="M29" s="554"/>
      <c r="N29" s="810"/>
      <c r="O29" s="400"/>
      <c r="P29" s="400"/>
      <c r="Q29" s="400"/>
      <c r="R29" s="400"/>
      <c r="S29" s="400"/>
      <c r="T29" s="400"/>
      <c r="U29" s="400"/>
      <c r="V29" s="400"/>
      <c r="W29" s="400"/>
      <c r="X29" s="400"/>
    </row>
    <row r="30" spans="2:66" ht="12.75" customHeight="1" thickTop="1">
      <c r="E30" s="434" t="s">
        <v>523</v>
      </c>
      <c r="F30" s="435"/>
      <c r="G30" s="435"/>
      <c r="H30" s="435"/>
      <c r="I30" s="435"/>
      <c r="J30" s="435"/>
      <c r="K30" s="436"/>
    </row>
    <row r="31" spans="2:66" ht="12.75" customHeight="1" thickBot="1">
      <c r="E31" s="437"/>
      <c r="F31" s="438"/>
      <c r="G31" s="438"/>
      <c r="H31" s="438"/>
      <c r="I31" s="438"/>
      <c r="J31" s="438"/>
      <c r="K31" s="439"/>
    </row>
    <row r="32" spans="2:66" ht="12.75" customHeight="1" thickTop="1" thickBot="1">
      <c r="F32" s="555">
        <f>I32</f>
        <v>5</v>
      </c>
      <c r="G32" s="804"/>
      <c r="H32" s="804"/>
      <c r="I32" s="806">
        <v>5</v>
      </c>
      <c r="J32" s="807"/>
      <c r="K32" s="807"/>
      <c r="L32" s="623"/>
      <c r="M32" s="623"/>
      <c r="N32" s="808"/>
      <c r="O32" s="400" t="str" cm="1">
        <f t="array" ref="O32">angleDecimal2Txt(F32)</f>
        <v>+05°00.00 (+05.0000) [+05°00'00.00]</v>
      </c>
      <c r="P32" s="400"/>
      <c r="Q32" s="400"/>
      <c r="R32" s="400"/>
      <c r="S32" s="400"/>
      <c r="T32" s="400"/>
      <c r="U32" s="400"/>
      <c r="V32" s="400"/>
      <c r="W32" s="400"/>
      <c r="X32" s="400"/>
    </row>
    <row r="33" spans="2:30" ht="12.75" customHeight="1" thickTop="1" thickBot="1">
      <c r="F33" s="805"/>
      <c r="G33" s="805"/>
      <c r="H33" s="805"/>
      <c r="I33" s="809"/>
      <c r="J33" s="807"/>
      <c r="K33" s="807"/>
      <c r="L33" s="807"/>
      <c r="M33" s="807"/>
      <c r="N33" s="810"/>
      <c r="O33" s="400"/>
      <c r="P33" s="400"/>
      <c r="Q33" s="400"/>
      <c r="R33" s="400"/>
      <c r="S33" s="400"/>
      <c r="T33" s="400"/>
      <c r="U33" s="400"/>
      <c r="V33" s="400"/>
      <c r="W33" s="400"/>
      <c r="X33" s="400"/>
    </row>
    <row r="34" spans="2:30" ht="12.75" customHeight="1" thickTop="1">
      <c r="E34" s="789" t="s">
        <v>521</v>
      </c>
      <c r="F34" s="790"/>
      <c r="G34" s="790"/>
      <c r="H34" s="790"/>
      <c r="I34" s="790"/>
      <c r="J34" s="790"/>
      <c r="K34" s="790"/>
      <c r="L34" s="790"/>
      <c r="M34" s="791"/>
    </row>
    <row r="35" spans="2:30" ht="12.75" customHeight="1" thickBot="1">
      <c r="E35" s="792"/>
      <c r="F35" s="793"/>
      <c r="G35" s="793"/>
      <c r="H35" s="793"/>
      <c r="I35" s="793"/>
      <c r="J35" s="793"/>
      <c r="K35" s="793"/>
      <c r="L35" s="793"/>
      <c r="M35" s="794"/>
    </row>
    <row r="36" spans="2:30" s="296" customFormat="1" ht="12.75" customHeight="1" thickTop="1" thickBot="1">
      <c r="F36" s="839">
        <f>AD37</f>
        <v>46.1</v>
      </c>
      <c r="G36" s="840"/>
      <c r="H36" s="840"/>
      <c r="I36" s="834" t="str">
        <f>I11</f>
        <v>N</v>
      </c>
      <c r="J36" s="836" t="str">
        <f>J11</f>
        <v>46°06</v>
      </c>
      <c r="K36" s="834"/>
      <c r="L36" s="834"/>
      <c r="M36" s="834"/>
      <c r="N36" s="835"/>
      <c r="O36" s="842" t="str" cm="1">
        <f t="array" ref="O36">angleDecimal2Txt(F36)</f>
        <v>+46°06.00 (+46.1000) [+46°06'00.00]</v>
      </c>
      <c r="P36" s="842"/>
      <c r="Q36" s="842"/>
      <c r="R36" s="842"/>
      <c r="S36" s="842"/>
      <c r="T36" s="842"/>
      <c r="U36" s="842"/>
      <c r="V36" s="842"/>
      <c r="W36" s="842"/>
      <c r="X36" s="842"/>
      <c r="AB36" s="352"/>
      <c r="AC36" s="264" t="s">
        <v>334</v>
      </c>
      <c r="AD36" s="256">
        <f>VLOOKUP(I36,$A$13:$C$14,3)</f>
        <v>1</v>
      </c>
    </row>
    <row r="37" spans="2:30" s="296" customFormat="1" ht="12.75" customHeight="1" thickTop="1" thickBot="1">
      <c r="F37" s="841"/>
      <c r="G37" s="841"/>
      <c r="H37" s="841"/>
      <c r="I37" s="835"/>
      <c r="J37" s="835"/>
      <c r="K37" s="835"/>
      <c r="L37" s="835"/>
      <c r="M37" s="835"/>
      <c r="N37" s="835"/>
      <c r="O37" s="842"/>
      <c r="P37" s="842"/>
      <c r="Q37" s="842"/>
      <c r="R37" s="842"/>
      <c r="S37" s="842"/>
      <c r="T37" s="842"/>
      <c r="U37" s="842"/>
      <c r="V37" s="842"/>
      <c r="W37" s="842"/>
      <c r="X37" s="842"/>
      <c r="AB37" s="352"/>
      <c r="AC37" s="264" t="s">
        <v>335</v>
      </c>
      <c r="AD37" s="256" cm="1">
        <f t="array" ref="AD37">angleConvert2Decimal(J36)*AD36</f>
        <v>46.1</v>
      </c>
    </row>
    <row r="38" spans="2:30" s="296" customFormat="1" ht="12.75" customHeight="1" thickTop="1">
      <c r="F38" s="277"/>
      <c r="G38" s="277"/>
      <c r="H38" s="277"/>
      <c r="I38" s="277"/>
      <c r="J38" s="277"/>
      <c r="K38" s="277"/>
      <c r="L38" s="277"/>
      <c r="M38" s="277"/>
      <c r="N38" s="277"/>
      <c r="O38" s="277"/>
      <c r="P38" s="277"/>
      <c r="Q38" s="277"/>
      <c r="R38" s="277"/>
      <c r="S38" s="277"/>
      <c r="T38" s="277"/>
      <c r="U38" s="277"/>
      <c r="V38" s="277"/>
      <c r="W38" s="277"/>
      <c r="X38" s="277"/>
      <c r="Y38" s="277"/>
      <c r="Z38" s="277"/>
      <c r="AA38" s="277"/>
      <c r="AB38" s="350"/>
      <c r="AC38" s="277"/>
      <c r="AD38" s="277"/>
    </row>
    <row r="39" spans="2:30" ht="15.75" thickBot="1"/>
    <row r="40" spans="2:30" ht="15.75" thickBot="1">
      <c r="B40" s="293" t="s">
        <v>520</v>
      </c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351"/>
    </row>
    <row r="41" spans="2:30" ht="12" customHeight="1">
      <c r="E41" s="827" t="s">
        <v>502</v>
      </c>
      <c r="F41" s="828"/>
      <c r="G41" s="828"/>
      <c r="H41" s="828"/>
      <c r="I41" s="828"/>
      <c r="J41" s="828"/>
      <c r="K41" s="828"/>
      <c r="L41" s="285"/>
      <c r="M41" s="285"/>
      <c r="N41" s="285"/>
      <c r="O41" s="285"/>
      <c r="P41" s="285"/>
      <c r="Q41" s="285"/>
      <c r="R41" s="285"/>
      <c r="S41" s="285"/>
      <c r="T41" s="285"/>
      <c r="U41" s="285"/>
      <c r="V41" s="285"/>
      <c r="W41" s="276"/>
      <c r="X41" s="276"/>
    </row>
    <row r="42" spans="2:30" ht="12" customHeight="1" thickBot="1">
      <c r="E42" s="829"/>
      <c r="F42" s="830"/>
      <c r="G42" s="830"/>
      <c r="H42" s="830"/>
      <c r="I42" s="830"/>
      <c r="J42" s="830"/>
      <c r="K42" s="830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76"/>
      <c r="X42" s="276"/>
    </row>
    <row r="43" spans="2:30" ht="12" customHeight="1" thickTop="1" thickBot="1">
      <c r="E43" s="285"/>
      <c r="F43" s="556">
        <f>heureConvert2Decimal(I43)</f>
        <v>12.051666666666668</v>
      </c>
      <c r="G43" s="579"/>
      <c r="H43" s="579"/>
      <c r="I43" s="826" t="s">
        <v>503</v>
      </c>
      <c r="J43" s="623"/>
      <c r="K43" s="623"/>
      <c r="L43" s="623"/>
      <c r="M43" s="623"/>
      <c r="N43" s="808"/>
      <c r="O43" s="400" t="str">
        <f>heureDecimal2Txt(F43)</f>
        <v>12:03:06.00(12.0516)</v>
      </c>
      <c r="P43" s="400"/>
      <c r="Q43" s="400"/>
      <c r="R43" s="400"/>
      <c r="S43" s="400"/>
      <c r="T43" s="400"/>
      <c r="U43" s="400"/>
      <c r="V43" s="400"/>
      <c r="W43" s="400"/>
      <c r="X43" s="400"/>
    </row>
    <row r="44" spans="2:30" ht="12" customHeight="1" thickTop="1" thickBot="1">
      <c r="E44" s="285"/>
      <c r="F44" s="579"/>
      <c r="G44" s="579"/>
      <c r="H44" s="579"/>
      <c r="I44" s="553"/>
      <c r="J44" s="554"/>
      <c r="K44" s="554"/>
      <c r="L44" s="554"/>
      <c r="M44" s="554"/>
      <c r="N44" s="810"/>
      <c r="O44" s="400"/>
      <c r="P44" s="400"/>
      <c r="Q44" s="400"/>
      <c r="R44" s="400"/>
      <c r="S44" s="400"/>
      <c r="T44" s="400"/>
      <c r="U44" s="400"/>
      <c r="V44" s="400"/>
      <c r="W44" s="400"/>
      <c r="X44" s="400"/>
    </row>
    <row r="45" spans="2:30" ht="15.75" thickTop="1"/>
    <row r="46" spans="2:30" ht="15.75" thickBot="1"/>
    <row r="47" spans="2:30" ht="15.75" thickBot="1">
      <c r="B47" s="772" t="s">
        <v>526</v>
      </c>
      <c r="C47" s="773"/>
      <c r="D47" s="773"/>
      <c r="E47" s="773"/>
      <c r="F47" s="773"/>
      <c r="G47" s="773"/>
      <c r="H47" s="773"/>
      <c r="I47" s="773"/>
      <c r="J47" s="773"/>
      <c r="K47" s="773"/>
      <c r="L47" s="773"/>
      <c r="M47" s="773"/>
      <c r="N47" s="773"/>
      <c r="O47" s="773"/>
      <c r="P47" s="773"/>
      <c r="Q47" s="773"/>
      <c r="R47" s="773"/>
      <c r="S47" s="773"/>
      <c r="T47" s="773"/>
      <c r="U47" s="773"/>
      <c r="V47" s="773"/>
      <c r="W47" s="773"/>
      <c r="X47" s="773"/>
      <c r="Y47" s="773"/>
      <c r="Z47" s="773"/>
      <c r="AA47" s="773"/>
      <c r="AB47" s="351"/>
    </row>
    <row r="49" spans="3:27">
      <c r="C49" s="801" t="s">
        <v>524</v>
      </c>
      <c r="D49" s="802"/>
      <c r="E49" s="802"/>
      <c r="F49" s="802"/>
      <c r="G49" s="802"/>
      <c r="H49" s="802"/>
      <c r="I49" s="802"/>
      <c r="J49" s="802"/>
      <c r="K49" s="802"/>
      <c r="L49" s="802"/>
      <c r="M49" s="802"/>
      <c r="N49" s="802"/>
      <c r="O49" s="802"/>
      <c r="P49" s="802"/>
      <c r="Q49" s="802"/>
      <c r="R49" s="803"/>
    </row>
    <row r="50" spans="3:27">
      <c r="C50" s="696" t="s">
        <v>151</v>
      </c>
      <c r="D50" s="696"/>
      <c r="E50" s="696">
        <f>F28</f>
        <v>260</v>
      </c>
      <c r="F50" s="696"/>
      <c r="G50" s="696"/>
      <c r="I50" s="824" t="s">
        <v>525</v>
      </c>
      <c r="J50" s="824"/>
      <c r="K50" s="770" t="b">
        <f>IF(E50&lt;180,TRUE,FALSE)</f>
        <v>0</v>
      </c>
      <c r="L50" s="770"/>
      <c r="N50" s="817" t="s">
        <v>497</v>
      </c>
      <c r="O50" s="817"/>
      <c r="P50" s="818">
        <f>E51*ABS(SIN(Outils!$F$10*Meridienne!E50))*(IF(K50,1,-1))</f>
        <v>-4.9240387650610398</v>
      </c>
      <c r="Q50" s="819"/>
      <c r="R50" s="822" t="s">
        <v>496</v>
      </c>
    </row>
    <row r="51" spans="3:27">
      <c r="C51" s="389" t="s">
        <v>150</v>
      </c>
      <c r="D51" s="389"/>
      <c r="E51" s="389">
        <f>F32</f>
        <v>5</v>
      </c>
      <c r="F51" s="389"/>
      <c r="G51" s="389"/>
      <c r="I51" s="825"/>
      <c r="J51" s="825"/>
      <c r="K51" s="771"/>
      <c r="L51" s="771"/>
      <c r="N51" s="776"/>
      <c r="O51" s="776"/>
      <c r="P51" s="820"/>
      <c r="Q51" s="821"/>
      <c r="R51" s="823"/>
    </row>
    <row r="54" spans="3:27">
      <c r="C54" s="801" t="s">
        <v>499</v>
      </c>
      <c r="D54" s="802"/>
      <c r="E54" s="802"/>
      <c r="F54" s="802"/>
      <c r="G54" s="802"/>
      <c r="H54" s="802"/>
      <c r="I54" s="802"/>
      <c r="J54" s="802"/>
      <c r="K54" s="815"/>
      <c r="L54" s="815"/>
      <c r="M54" s="815"/>
      <c r="N54" s="815"/>
      <c r="O54" s="816"/>
    </row>
    <row r="55" spans="3:27">
      <c r="C55" s="696" t="s">
        <v>475</v>
      </c>
      <c r="D55" s="696"/>
      <c r="E55" s="696">
        <f>F36</f>
        <v>46.1</v>
      </c>
      <c r="F55" s="696"/>
      <c r="G55" s="696"/>
      <c r="I55" s="775" t="s">
        <v>498</v>
      </c>
      <c r="J55" s="775"/>
      <c r="K55" s="831" t="s">
        <v>102</v>
      </c>
      <c r="L55" s="832">
        <f>$P$50/(60 * COS($E$55*Outils!$F$10))</f>
        <v>-0.11835462412189314</v>
      </c>
      <c r="M55" s="832"/>
      <c r="N55" s="832"/>
      <c r="O55" s="833" t="s">
        <v>500</v>
      </c>
      <c r="P55" s="776" t="str">
        <f>IF(K50,"Vers l'Est","Vers l'Ouest")</f>
        <v>Vers l'Ouest</v>
      </c>
      <c r="Q55" s="776"/>
      <c r="R55" s="776"/>
      <c r="U55" s="777" t="s">
        <v>529</v>
      </c>
      <c r="V55" s="778"/>
      <c r="W55" s="779"/>
      <c r="X55" s="783">
        <f>IF(K50,-1*ABS(L55),ABS(L55))</f>
        <v>0.11835462412189314</v>
      </c>
      <c r="Y55" s="784"/>
      <c r="Z55" s="784"/>
      <c r="AA55" s="787" t="s">
        <v>500</v>
      </c>
    </row>
    <row r="56" spans="3:27">
      <c r="C56" s="389" t="str">
        <f>N50</f>
        <v>VLong.</v>
      </c>
      <c r="D56" s="389"/>
      <c r="E56" s="389">
        <f>P50</f>
        <v>-4.9240387650610398</v>
      </c>
      <c r="F56" s="389"/>
      <c r="G56" s="389"/>
      <c r="I56" s="775"/>
      <c r="J56" s="775"/>
      <c r="K56" s="831"/>
      <c r="L56" s="832"/>
      <c r="M56" s="832"/>
      <c r="N56" s="832"/>
      <c r="O56" s="833"/>
      <c r="P56" s="776"/>
      <c r="Q56" s="776"/>
      <c r="R56" s="776"/>
      <c r="U56" s="780"/>
      <c r="V56" s="781"/>
      <c r="W56" s="782"/>
      <c r="X56" s="785"/>
      <c r="Y56" s="786"/>
      <c r="Z56" s="786"/>
      <c r="AA56" s="788"/>
    </row>
    <row r="59" spans="3:27" ht="18.75" customHeight="1">
      <c r="C59" s="812" t="s">
        <v>528</v>
      </c>
      <c r="D59" s="813"/>
      <c r="E59" s="813"/>
      <c r="F59" s="813"/>
      <c r="G59" s="813"/>
      <c r="H59" s="813"/>
      <c r="I59" s="813"/>
      <c r="J59" s="813"/>
      <c r="K59" s="813"/>
      <c r="L59" s="813"/>
      <c r="M59" s="813"/>
      <c r="N59" s="813"/>
      <c r="O59" s="814"/>
    </row>
    <row r="60" spans="3:27" ht="15" customHeight="1">
      <c r="C60" s="696" t="s">
        <v>337</v>
      </c>
      <c r="D60" s="696"/>
      <c r="E60" s="696">
        <f>F16</f>
        <v>-7.083333333333333</v>
      </c>
      <c r="F60" s="696"/>
      <c r="G60" s="696"/>
      <c r="I60" s="837" t="s">
        <v>504</v>
      </c>
      <c r="J60" s="838"/>
      <c r="K60" s="811">
        <f>longitude2LongitudeHoraire(E60)</f>
        <v>7.083333333333333</v>
      </c>
      <c r="L60" s="811"/>
      <c r="M60" s="811"/>
      <c r="N60" s="811"/>
      <c r="O60" s="258" t="s">
        <v>34</v>
      </c>
    </row>
    <row r="63" spans="3:27">
      <c r="C63" s="774" t="s">
        <v>505</v>
      </c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</row>
    <row r="64" spans="3:27" ht="15" customHeight="1" thickBot="1">
      <c r="C64" s="768" t="s">
        <v>527</v>
      </c>
      <c r="D64" s="768"/>
      <c r="E64" s="768"/>
      <c r="F64" s="768"/>
      <c r="G64" s="768"/>
      <c r="H64" s="768"/>
      <c r="I64" s="768"/>
      <c r="J64" s="768"/>
      <c r="K64" s="768"/>
      <c r="L64" s="768"/>
      <c r="M64" s="768"/>
      <c r="N64" s="768"/>
      <c r="O64" s="768"/>
      <c r="P64" s="298" t="s">
        <v>531</v>
      </c>
      <c r="Q64" s="769" t="s">
        <v>530</v>
      </c>
      <c r="R64" s="769"/>
      <c r="S64" s="769"/>
      <c r="T64" s="769"/>
      <c r="U64" s="769"/>
      <c r="V64" s="261">
        <v>15.002000000000001</v>
      </c>
      <c r="W64" s="262" t="s">
        <v>500</v>
      </c>
    </row>
    <row r="65" spans="2:71" ht="15.75" thickTop="1">
      <c r="C65" s="768"/>
      <c r="D65" s="768"/>
      <c r="E65" s="768"/>
      <c r="F65" s="768"/>
      <c r="G65" s="768"/>
      <c r="H65" s="768"/>
      <c r="I65" s="768"/>
      <c r="J65" s="768"/>
      <c r="K65" s="768"/>
      <c r="L65" s="768"/>
      <c r="M65" s="768"/>
      <c r="N65" s="768"/>
      <c r="O65" s="768"/>
    </row>
    <row r="66" spans="2:71">
      <c r="C66" s="768"/>
      <c r="D66" s="768"/>
      <c r="E66" s="768"/>
      <c r="F66" s="768"/>
      <c r="G66" s="768"/>
      <c r="H66" s="768"/>
      <c r="I66" s="768"/>
      <c r="J66" s="768"/>
      <c r="K66" s="768"/>
      <c r="L66" s="768"/>
      <c r="M66" s="768"/>
      <c r="N66" s="768"/>
      <c r="O66" s="768"/>
    </row>
    <row r="70" spans="2:71" ht="15" customHeight="1">
      <c r="H70" s="764" t="s">
        <v>532</v>
      </c>
      <c r="I70" s="764"/>
      <c r="J70" s="764"/>
      <c r="K70" s="764"/>
      <c r="L70" s="764"/>
      <c r="M70" s="764"/>
      <c r="N70" s="764"/>
      <c r="O70" s="764"/>
      <c r="P70" s="764"/>
      <c r="Q70" s="764"/>
      <c r="R70" s="764"/>
      <c r="S70" s="764"/>
      <c r="T70" s="764"/>
      <c r="U70" s="764"/>
      <c r="V70" s="762">
        <f>$K$60/($V$64-$L$55)</f>
        <v>0.46846343947734581</v>
      </c>
      <c r="W70" s="762"/>
      <c r="X70" s="762" t="s">
        <v>517</v>
      </c>
    </row>
    <row r="71" spans="2:71">
      <c r="H71" s="764"/>
      <c r="I71" s="764"/>
      <c r="J71" s="764"/>
      <c r="K71" s="764"/>
      <c r="L71" s="764"/>
      <c r="M71" s="764"/>
      <c r="N71" s="764"/>
      <c r="O71" s="764"/>
      <c r="P71" s="764"/>
      <c r="Q71" s="764"/>
      <c r="R71" s="764"/>
      <c r="S71" s="764"/>
      <c r="T71" s="764"/>
      <c r="U71" s="764"/>
      <c r="V71" s="762"/>
      <c r="W71" s="762"/>
      <c r="X71" s="763"/>
    </row>
    <row r="72" spans="2:71">
      <c r="H72" s="765" t="s">
        <v>533</v>
      </c>
      <c r="I72" s="765"/>
      <c r="J72" s="765"/>
      <c r="K72" s="765"/>
      <c r="L72" s="765"/>
      <c r="M72" s="765"/>
      <c r="N72" s="765"/>
      <c r="O72" s="765"/>
      <c r="P72" s="765"/>
      <c r="Q72" s="765"/>
      <c r="R72" s="765"/>
      <c r="S72" s="765"/>
      <c r="T72" s="765"/>
      <c r="U72" s="765"/>
      <c r="V72" s="753">
        <f>F43+V70</f>
        <v>12.520130106144013</v>
      </c>
      <c r="W72" s="754"/>
      <c r="X72" s="766" t="str">
        <f>heureDecimal2Txt(V72)</f>
        <v>12:31:12.46(12.5201)</v>
      </c>
      <c r="Y72" s="767"/>
      <c r="Z72" s="767"/>
      <c r="AA72" s="767"/>
      <c r="AB72" s="767"/>
      <c r="AC72" s="767"/>
    </row>
    <row r="73" spans="2:71">
      <c r="H73" s="765"/>
      <c r="I73" s="765"/>
      <c r="J73" s="765"/>
      <c r="K73" s="765"/>
      <c r="L73" s="765"/>
      <c r="M73" s="765"/>
      <c r="N73" s="765"/>
      <c r="O73" s="765"/>
      <c r="P73" s="765"/>
      <c r="Q73" s="765"/>
      <c r="R73" s="765"/>
      <c r="S73" s="765"/>
      <c r="T73" s="765"/>
      <c r="U73" s="765"/>
      <c r="V73" s="754"/>
      <c r="W73" s="754"/>
      <c r="X73" s="766"/>
      <c r="Y73" s="767"/>
      <c r="Z73" s="767"/>
      <c r="AA73" s="767"/>
      <c r="AB73" s="767"/>
      <c r="AC73" s="767"/>
    </row>
    <row r="74" spans="2:71">
      <c r="H74" s="764" t="s">
        <v>534</v>
      </c>
      <c r="I74" s="764"/>
      <c r="J74" s="764"/>
      <c r="K74" s="764"/>
      <c r="L74" s="764"/>
      <c r="M74" s="764"/>
      <c r="N74" s="764"/>
      <c r="O74" s="764"/>
      <c r="P74" s="764"/>
      <c r="Q74" s="764"/>
      <c r="R74" s="764"/>
      <c r="S74" s="764"/>
      <c r="T74" s="764"/>
      <c r="U74" s="764"/>
      <c r="V74" s="761">
        <f>V72-F21</f>
        <v>2.1798523283662341</v>
      </c>
      <c r="W74" s="762"/>
      <c r="X74" s="762" t="s">
        <v>517</v>
      </c>
    </row>
    <row r="75" spans="2:71">
      <c r="H75" s="764"/>
      <c r="I75" s="764"/>
      <c r="J75" s="764"/>
      <c r="K75" s="764"/>
      <c r="L75" s="764"/>
      <c r="M75" s="764"/>
      <c r="N75" s="764"/>
      <c r="O75" s="764"/>
      <c r="P75" s="764"/>
      <c r="Q75" s="764"/>
      <c r="R75" s="764"/>
      <c r="S75" s="764"/>
      <c r="T75" s="764"/>
      <c r="U75" s="764"/>
      <c r="V75" s="762"/>
      <c r="W75" s="762"/>
      <c r="X75" s="763"/>
    </row>
    <row r="76" spans="2:71">
      <c r="H76" s="765" t="s">
        <v>538</v>
      </c>
      <c r="I76" s="765"/>
      <c r="J76" s="765"/>
      <c r="K76" s="765"/>
      <c r="L76" s="765"/>
      <c r="M76" s="765"/>
      <c r="N76" s="765"/>
      <c r="O76" s="765"/>
      <c r="P76" s="765"/>
      <c r="Q76" s="765"/>
      <c r="R76" s="765"/>
      <c r="S76" s="765"/>
      <c r="T76" s="765"/>
      <c r="U76" s="765"/>
      <c r="V76" s="753">
        <f>V74*E51</f>
        <v>10.899261641831171</v>
      </c>
      <c r="W76" s="754"/>
      <c r="X76" s="755" t="s">
        <v>149</v>
      </c>
    </row>
    <row r="77" spans="2:71">
      <c r="H77" s="765"/>
      <c r="I77" s="765"/>
      <c r="J77" s="765"/>
      <c r="K77" s="765"/>
      <c r="L77" s="765"/>
      <c r="M77" s="765"/>
      <c r="N77" s="765"/>
      <c r="O77" s="765"/>
      <c r="P77" s="765"/>
      <c r="Q77" s="765"/>
      <c r="R77" s="765"/>
      <c r="S77" s="765"/>
      <c r="T77" s="765"/>
      <c r="U77" s="765"/>
      <c r="V77" s="754"/>
      <c r="W77" s="754"/>
      <c r="X77" s="756"/>
    </row>
    <row r="79" spans="2:71" ht="15.75" thickBot="1"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71" s="98" customFormat="1" ht="17.25" customHeight="1" thickBot="1">
      <c r="B80" s="339" t="s">
        <v>549</v>
      </c>
      <c r="C80" s="340"/>
      <c r="D80" s="340"/>
      <c r="E80" s="340"/>
      <c r="F80" s="340"/>
      <c r="G80" s="340"/>
      <c r="H80" s="340"/>
      <c r="I80" s="340"/>
      <c r="J80" s="340"/>
      <c r="K80" s="340"/>
      <c r="L80" s="340"/>
      <c r="M80" s="340"/>
      <c r="N80" s="340"/>
      <c r="O80" s="340"/>
      <c r="P80" s="340"/>
      <c r="Q80" s="340"/>
      <c r="R80" s="340"/>
      <c r="S80" s="340"/>
      <c r="T80" s="340"/>
      <c r="U80" s="338"/>
      <c r="V80" s="338"/>
      <c r="W80" s="338"/>
      <c r="X80" s="338"/>
      <c r="Y80" s="338"/>
      <c r="Z80" s="338"/>
      <c r="AA80" s="338"/>
      <c r="AB80" s="356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BL80" s="181"/>
      <c r="BM80" s="181"/>
      <c r="BN80" s="181"/>
      <c r="BO80" s="181"/>
      <c r="BP80" s="181"/>
      <c r="BQ80" s="181"/>
      <c r="BR80" s="181"/>
      <c r="BS80" s="181"/>
    </row>
    <row r="81" spans="1:74" s="98" customFormat="1" ht="17.25" customHeight="1">
      <c r="C81" s="185"/>
      <c r="D81" s="186"/>
      <c r="E81" s="887" t="s">
        <v>88</v>
      </c>
      <c r="F81" s="888"/>
      <c r="G81" s="850" t="s">
        <v>2</v>
      </c>
      <c r="H81" s="851"/>
      <c r="I81" s="851"/>
      <c r="J81" s="540" t="s">
        <v>465</v>
      </c>
      <c r="K81" s="540"/>
      <c r="L81" s="540"/>
      <c r="M81" s="854" t="s">
        <v>551</v>
      </c>
      <c r="N81" s="855"/>
      <c r="O81" s="855"/>
      <c r="P81" s="856"/>
      <c r="Q81" s="854" t="s">
        <v>550</v>
      </c>
      <c r="R81" s="855"/>
      <c r="S81" s="855"/>
      <c r="T81" s="856"/>
      <c r="U81" s="860" t="s">
        <v>191</v>
      </c>
      <c r="V81" s="860"/>
      <c r="W81" s="860"/>
      <c r="X81" s="871" t="s">
        <v>552</v>
      </c>
      <c r="Y81" s="872"/>
      <c r="Z81" s="872"/>
      <c r="AA81" s="873"/>
      <c r="AB81" s="357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  <c r="BP81" s="181"/>
      <c r="BQ81" s="181"/>
      <c r="BR81" s="181"/>
      <c r="BS81" s="181"/>
    </row>
    <row r="82" spans="1:74" s="98" customFormat="1" ht="17.25" customHeight="1" thickBot="1">
      <c r="C82" s="187"/>
      <c r="D82" s="188"/>
      <c r="E82" s="443"/>
      <c r="F82" s="445"/>
      <c r="G82" s="852"/>
      <c r="H82" s="853"/>
      <c r="I82" s="853"/>
      <c r="J82" s="540"/>
      <c r="K82" s="540"/>
      <c r="L82" s="540"/>
      <c r="M82" s="857"/>
      <c r="N82" s="858"/>
      <c r="O82" s="858"/>
      <c r="P82" s="859"/>
      <c r="Q82" s="857"/>
      <c r="R82" s="858"/>
      <c r="S82" s="858"/>
      <c r="T82" s="859"/>
      <c r="U82" s="860"/>
      <c r="V82" s="860"/>
      <c r="W82" s="860"/>
      <c r="X82" s="857"/>
      <c r="Y82" s="858"/>
      <c r="Z82" s="858"/>
      <c r="AA82" s="859"/>
      <c r="AB82" s="357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181"/>
      <c r="BO82" s="181"/>
      <c r="BP82" s="181"/>
      <c r="BQ82" s="181"/>
      <c r="BR82" s="181"/>
      <c r="BS82" s="181"/>
      <c r="BT82" s="181"/>
    </row>
    <row r="83" spans="1:74" s="181" customFormat="1" ht="17.25" customHeight="1" thickTop="1" thickBot="1">
      <c r="A83" s="98"/>
      <c r="B83" s="98"/>
      <c r="C83" s="346" t="s">
        <v>382</v>
      </c>
      <c r="D83" s="347"/>
      <c r="E83" s="885" t="s">
        <v>392</v>
      </c>
      <c r="F83" s="886"/>
      <c r="G83" s="869" t="str">
        <f>heureDecimal2Txt(AC83)</f>
        <v>10:30:50.00(10.5138)</v>
      </c>
      <c r="H83" s="861"/>
      <c r="I83" s="862"/>
      <c r="J83" s="863" t="s">
        <v>402</v>
      </c>
      <c r="K83" s="864"/>
      <c r="L83" s="864"/>
      <c r="M83" s="864">
        <v>0</v>
      </c>
      <c r="N83" s="864"/>
      <c r="O83" s="864"/>
      <c r="P83" s="864"/>
      <c r="Q83" s="865">
        <v>2</v>
      </c>
      <c r="R83" s="865"/>
      <c r="S83" s="865"/>
      <c r="T83" s="865"/>
      <c r="U83" s="866" t="s">
        <v>553</v>
      </c>
      <c r="V83" s="867"/>
      <c r="W83" s="867"/>
      <c r="X83" s="870" t="str">
        <f>heureDecimal2Txt(AH83)</f>
        <v>02:00:22.46(02.0062)</v>
      </c>
      <c r="Y83" s="870"/>
      <c r="Z83" s="870"/>
      <c r="AA83" s="870"/>
      <c r="AB83" s="358"/>
      <c r="AC83" s="263">
        <f>AD83+(AE83+AF83+AG83)/3600</f>
        <v>10.513888888888889</v>
      </c>
      <c r="AD83" s="6">
        <f>heureConvert2Decimal(J83)</f>
        <v>10.340277777777779</v>
      </c>
      <c r="AE83" s="348">
        <f>M83*3600</f>
        <v>0</v>
      </c>
      <c r="AF83" s="151">
        <f>Q83</f>
        <v>2</v>
      </c>
      <c r="AG83" s="6">
        <f>heureConvert2Decimal(U83)*60</f>
        <v>623</v>
      </c>
      <c r="AH83" s="8">
        <f>$V$72-AC83</f>
        <v>2.0062412172551234</v>
      </c>
      <c r="AI83" s="6"/>
      <c r="AJ83" s="6"/>
      <c r="AK83"/>
      <c r="AL83"/>
      <c r="AM83"/>
      <c r="AN83"/>
      <c r="AO83"/>
      <c r="AP83"/>
      <c r="AQ83"/>
      <c r="AR83"/>
      <c r="AS83"/>
      <c r="BU83" s="98"/>
      <c r="BV83" s="98"/>
    </row>
    <row r="84" spans="1:74" s="181" customFormat="1" ht="17.25" customHeight="1" thickTop="1" thickBot="1">
      <c r="C84" s="342" t="s">
        <v>384</v>
      </c>
      <c r="D84" s="343"/>
      <c r="E84" s="885" t="s">
        <v>562</v>
      </c>
      <c r="F84" s="886"/>
      <c r="G84" s="869" t="str">
        <f>heureDecimal2Txt(AC84)</f>
        <v>10:45:50.00(10.7638)</v>
      </c>
      <c r="H84" s="861"/>
      <c r="I84" s="862"/>
      <c r="J84" s="863" t="s">
        <v>556</v>
      </c>
      <c r="K84" s="864"/>
      <c r="L84" s="864"/>
      <c r="M84" s="864">
        <v>0</v>
      </c>
      <c r="N84" s="864"/>
      <c r="O84" s="864"/>
      <c r="P84" s="864"/>
      <c r="Q84" s="865">
        <v>2</v>
      </c>
      <c r="R84" s="865"/>
      <c r="S84" s="865"/>
      <c r="T84" s="865"/>
      <c r="U84" s="866" t="s">
        <v>553</v>
      </c>
      <c r="V84" s="867"/>
      <c r="W84" s="867"/>
      <c r="X84" s="870" t="str">
        <f t="shared" ref="X84:X87" si="0">heureDecimal2Txt(AH84)</f>
        <v>01:45:22.46(01.7562)</v>
      </c>
      <c r="Y84" s="870"/>
      <c r="Z84" s="870"/>
      <c r="AA84" s="870"/>
      <c r="AB84" s="358"/>
      <c r="AC84" s="263">
        <f>AD84+(AE84+AF84+AG84)/3600</f>
        <v>10.763888888888889</v>
      </c>
      <c r="AD84" s="6">
        <f>heureConvert2Decimal(J84)</f>
        <v>10.590277777777779</v>
      </c>
      <c r="AE84" s="348">
        <f>M84*3600</f>
        <v>0</v>
      </c>
      <c r="AF84" s="151">
        <f>Q84</f>
        <v>2</v>
      </c>
      <c r="AG84" s="6">
        <f>heureConvert2Decimal(U84)*60</f>
        <v>623</v>
      </c>
      <c r="AH84" s="8">
        <f t="shared" ref="AH84:AH87" si="1">$V$72-AC84</f>
        <v>1.7562412172551234</v>
      </c>
      <c r="AI84" s="6"/>
      <c r="AJ84" s="6"/>
      <c r="AK84"/>
      <c r="AL84"/>
      <c r="AM84"/>
      <c r="AN84"/>
      <c r="AO84"/>
      <c r="AP84"/>
      <c r="AQ84"/>
      <c r="AR84"/>
      <c r="AS84"/>
    </row>
    <row r="85" spans="1:74" s="181" customFormat="1" ht="17.25" customHeight="1" thickTop="1" thickBot="1">
      <c r="C85" s="342" t="s">
        <v>386</v>
      </c>
      <c r="D85" s="343"/>
      <c r="E85" s="885" t="s">
        <v>563</v>
      </c>
      <c r="F85" s="886"/>
      <c r="G85" s="869" t="str">
        <f>heureDecimal2Txt(AC85)</f>
        <v>11:04:50.00(11.0805)</v>
      </c>
      <c r="H85" s="861"/>
      <c r="I85" s="862"/>
      <c r="J85" s="863" t="s">
        <v>557</v>
      </c>
      <c r="K85" s="864"/>
      <c r="L85" s="864"/>
      <c r="M85" s="864">
        <v>0</v>
      </c>
      <c r="N85" s="864"/>
      <c r="O85" s="864"/>
      <c r="P85" s="864"/>
      <c r="Q85" s="865">
        <v>2</v>
      </c>
      <c r="R85" s="865"/>
      <c r="S85" s="865"/>
      <c r="T85" s="865"/>
      <c r="U85" s="866" t="s">
        <v>553</v>
      </c>
      <c r="V85" s="867"/>
      <c r="W85" s="867"/>
      <c r="X85" s="870" t="str">
        <f t="shared" si="0"/>
        <v>01:26:22.46(01.4395)</v>
      </c>
      <c r="Y85" s="870"/>
      <c r="Z85" s="870"/>
      <c r="AA85" s="870"/>
      <c r="AB85" s="358"/>
      <c r="AC85" s="263">
        <f>AD85+(AE85+AF85+AG85)/3600</f>
        <v>11.080555555555556</v>
      </c>
      <c r="AD85" s="6">
        <f>heureConvert2Decimal(J85)</f>
        <v>10.906944444444445</v>
      </c>
      <c r="AE85" s="348">
        <f>M85*3600</f>
        <v>0</v>
      </c>
      <c r="AF85" s="151">
        <f>Q85</f>
        <v>2</v>
      </c>
      <c r="AG85" s="6">
        <f>heureConvert2Decimal(U85)*60</f>
        <v>623</v>
      </c>
      <c r="AH85" s="8">
        <f t="shared" si="1"/>
        <v>1.439574550588457</v>
      </c>
      <c r="AI85" s="6"/>
      <c r="AJ85" s="6"/>
      <c r="AK85"/>
      <c r="AL85"/>
      <c r="AM85"/>
      <c r="AN85"/>
      <c r="AO85"/>
      <c r="AP85"/>
      <c r="AQ85"/>
      <c r="AR85"/>
      <c r="AS85"/>
    </row>
    <row r="86" spans="1:74" s="181" customFormat="1" ht="17.25" customHeight="1" thickTop="1" thickBot="1">
      <c r="C86" s="342" t="s">
        <v>388</v>
      </c>
      <c r="D86" s="343"/>
      <c r="E86" s="885" t="s">
        <v>564</v>
      </c>
      <c r="F86" s="886"/>
      <c r="G86" s="869" t="str">
        <f>heureDecimal2Txt(AC86)</f>
        <v>11:20:50.00(11.3472)</v>
      </c>
      <c r="H86" s="861"/>
      <c r="I86" s="862"/>
      <c r="J86" s="863" t="s">
        <v>558</v>
      </c>
      <c r="K86" s="864"/>
      <c r="L86" s="864"/>
      <c r="M86" s="864">
        <v>0</v>
      </c>
      <c r="N86" s="864"/>
      <c r="O86" s="864"/>
      <c r="P86" s="864"/>
      <c r="Q86" s="865">
        <v>2</v>
      </c>
      <c r="R86" s="865"/>
      <c r="S86" s="865"/>
      <c r="T86" s="865"/>
      <c r="U86" s="866" t="s">
        <v>553</v>
      </c>
      <c r="V86" s="867"/>
      <c r="W86" s="867"/>
      <c r="X86" s="870" t="str">
        <f t="shared" si="0"/>
        <v>01:10:22.46(01.1729)</v>
      </c>
      <c r="Y86" s="870"/>
      <c r="Z86" s="870"/>
      <c r="AA86" s="870"/>
      <c r="AB86" s="358"/>
      <c r="AC86" s="263">
        <f>AD86+(AE86+AF86+AG86)/3600</f>
        <v>11.347222222222221</v>
      </c>
      <c r="AD86" s="6">
        <f>heureConvert2Decimal(J86)</f>
        <v>11.173611111111111</v>
      </c>
      <c r="AE86" s="348">
        <f>M86*3600</f>
        <v>0</v>
      </c>
      <c r="AF86" s="151">
        <f>Q86</f>
        <v>2</v>
      </c>
      <c r="AG86" s="6">
        <f>heureConvert2Decimal(U86)*60</f>
        <v>623</v>
      </c>
      <c r="AH86" s="8">
        <f t="shared" si="1"/>
        <v>1.1729078839217912</v>
      </c>
      <c r="AI86" s="6"/>
      <c r="AJ86" s="6"/>
      <c r="AK86"/>
      <c r="AL86"/>
      <c r="AM86"/>
      <c r="AN86"/>
      <c r="AO86"/>
      <c r="AP86"/>
      <c r="AQ86"/>
      <c r="AR86"/>
      <c r="AS86"/>
    </row>
    <row r="87" spans="1:74" s="181" customFormat="1" ht="17.25" customHeight="1" thickTop="1">
      <c r="C87" s="361" t="s">
        <v>390</v>
      </c>
      <c r="D87" s="362"/>
      <c r="E87" s="875" t="s">
        <v>565</v>
      </c>
      <c r="F87" s="876"/>
      <c r="G87" s="877" t="str">
        <f>heureDecimal2Txt(AC87)</f>
        <v>12:20:50.00(12.3472)</v>
      </c>
      <c r="H87" s="878"/>
      <c r="I87" s="879"/>
      <c r="J87" s="880" t="s">
        <v>559</v>
      </c>
      <c r="K87" s="881"/>
      <c r="L87" s="881"/>
      <c r="M87" s="881">
        <v>0</v>
      </c>
      <c r="N87" s="881"/>
      <c r="O87" s="881"/>
      <c r="P87" s="881"/>
      <c r="Q87" s="882">
        <v>2</v>
      </c>
      <c r="R87" s="882"/>
      <c r="S87" s="882"/>
      <c r="T87" s="882"/>
      <c r="U87" s="883" t="s">
        <v>553</v>
      </c>
      <c r="V87" s="884"/>
      <c r="W87" s="884"/>
      <c r="X87" s="1153" t="str">
        <f t="shared" si="0"/>
        <v>00:10:22.46(00.1729)</v>
      </c>
      <c r="Y87" s="1153"/>
      <c r="Z87" s="1153"/>
      <c r="AA87" s="1153"/>
      <c r="AB87" s="358"/>
      <c r="AC87" s="363">
        <f>AD87+(AE87+AF87+AG87)/3600</f>
        <v>12.347222222222221</v>
      </c>
      <c r="AD87" s="364">
        <f>heureConvert2Decimal(J87)</f>
        <v>12.173611111111111</v>
      </c>
      <c r="AE87" s="365">
        <f>M87*3600</f>
        <v>0</v>
      </c>
      <c r="AF87" s="366">
        <f>Q87</f>
        <v>2</v>
      </c>
      <c r="AG87" s="364">
        <f>heureConvert2Decimal(U87)*60</f>
        <v>623</v>
      </c>
      <c r="AH87" s="1154">
        <f t="shared" si="1"/>
        <v>0.17290788392179124</v>
      </c>
      <c r="AI87" s="364"/>
      <c r="AJ87" s="364"/>
      <c r="AK87"/>
      <c r="AL87"/>
      <c r="AM87"/>
      <c r="AN87"/>
      <c r="AO87"/>
      <c r="AP87"/>
      <c r="AQ87"/>
      <c r="AR87"/>
      <c r="AS87"/>
    </row>
    <row r="88" spans="1:74" s="259" customFormat="1" ht="15.75" customHeight="1">
      <c r="B88" s="1158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1158"/>
      <c r="D88" s="1158"/>
      <c r="E88" s="1158"/>
      <c r="F88" s="1158"/>
      <c r="G88" s="1158"/>
      <c r="H88" s="1158"/>
      <c r="I88" s="1158"/>
      <c r="J88" s="1158"/>
      <c r="K88" s="1158"/>
      <c r="L88" s="1158"/>
      <c r="M88" s="1158"/>
      <c r="N88" s="1158"/>
      <c r="O88" s="1158"/>
      <c r="P88" s="1158"/>
      <c r="Q88" s="1158"/>
      <c r="R88" s="1158"/>
      <c r="S88" s="1158"/>
      <c r="T88" s="1158"/>
      <c r="U88" s="1158"/>
      <c r="V88" s="1158"/>
      <c r="W88" s="1158"/>
      <c r="X88" s="1158"/>
      <c r="Y88" s="1158"/>
      <c r="Z88" s="1158"/>
      <c r="AA88" s="1158"/>
      <c r="AB88" s="1158"/>
      <c r="AC88" s="1158"/>
      <c r="AD88" s="1158"/>
      <c r="AE88" s="1158"/>
      <c r="AF88" s="1158"/>
      <c r="AG88" s="1158"/>
      <c r="AH88" s="1158"/>
      <c r="AI88" s="1158"/>
      <c r="AJ88" s="1158"/>
    </row>
    <row r="89" spans="1:74" s="259" customFormat="1" ht="15.75" customHeight="1">
      <c r="B89" s="1158"/>
      <c r="C89" s="1158"/>
      <c r="D89" s="1158"/>
      <c r="E89" s="1158"/>
      <c r="F89" s="1158"/>
      <c r="G89" s="1158"/>
      <c r="H89" s="1158"/>
      <c r="I89" s="1158"/>
      <c r="J89" s="1158"/>
      <c r="K89" s="1158"/>
      <c r="L89" s="1158"/>
      <c r="M89" s="1158"/>
      <c r="N89" s="1158"/>
      <c r="O89" s="1158"/>
      <c r="P89" s="1158"/>
      <c r="Q89" s="1158"/>
      <c r="R89" s="1158"/>
      <c r="S89" s="1158"/>
      <c r="T89" s="1158"/>
      <c r="U89" s="1158"/>
      <c r="V89" s="1158"/>
      <c r="W89" s="1158"/>
      <c r="X89" s="1158"/>
      <c r="Y89" s="1158"/>
      <c r="Z89" s="1158"/>
      <c r="AA89" s="1158"/>
      <c r="AB89" s="1158"/>
      <c r="AC89" s="1158"/>
      <c r="AD89" s="1158"/>
      <c r="AE89" s="1158"/>
      <c r="AF89" s="1158"/>
      <c r="AG89" s="1158"/>
      <c r="AH89" s="1158"/>
      <c r="AI89" s="1158"/>
      <c r="AJ89" s="1158"/>
    </row>
    <row r="90" spans="1:74" s="181" customFormat="1" ht="18" customHeight="1">
      <c r="C90" s="185"/>
      <c r="D90" s="186"/>
      <c r="E90" s="1155" t="s">
        <v>554</v>
      </c>
      <c r="F90" s="1155"/>
      <c r="G90" s="1156" t="s">
        <v>555</v>
      </c>
      <c r="H90" s="1156"/>
      <c r="I90" s="1156"/>
      <c r="J90" s="1142" t="s">
        <v>583</v>
      </c>
      <c r="K90" s="1143"/>
      <c r="L90" s="1143"/>
      <c r="M90" s="1143"/>
      <c r="N90" s="1143"/>
      <c r="O90" s="1143"/>
      <c r="P90" s="1143"/>
      <c r="Q90" s="1143"/>
      <c r="R90" s="1143"/>
      <c r="S90" s="1143"/>
      <c r="T90" s="1143"/>
      <c r="U90" s="1143"/>
      <c r="V90" s="1143"/>
      <c r="W90" s="1143"/>
      <c r="X90" s="1143"/>
      <c r="Y90" s="1143"/>
      <c r="Z90" s="1144"/>
      <c r="AA90" s="1157" t="s">
        <v>560</v>
      </c>
      <c r="AB90" s="344"/>
      <c r="AC90" t="s">
        <v>561</v>
      </c>
      <c r="AD90" t="s">
        <v>3</v>
      </c>
      <c r="AE90" t="s">
        <v>582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81" customFormat="1" ht="24" customHeight="1">
      <c r="C91" s="187"/>
      <c r="D91" s="188"/>
      <c r="E91" s="1149"/>
      <c r="F91" s="1149"/>
      <c r="G91" s="1150"/>
      <c r="H91" s="1150"/>
      <c r="I91" s="1150"/>
      <c r="J91" s="1147" t="s">
        <v>566</v>
      </c>
      <c r="K91" s="1147"/>
      <c r="L91" s="1147"/>
      <c r="M91" s="1145" t="s">
        <v>465</v>
      </c>
      <c r="N91" s="1145"/>
      <c r="O91" s="1145"/>
      <c r="P91" s="1146" t="s">
        <v>551</v>
      </c>
      <c r="Q91" s="1146"/>
      <c r="R91" s="1146"/>
      <c r="S91" s="1146"/>
      <c r="T91" s="1146" t="s">
        <v>550</v>
      </c>
      <c r="U91" s="1146"/>
      <c r="V91" s="1146"/>
      <c r="W91" s="1146"/>
      <c r="X91" s="1146" t="s">
        <v>191</v>
      </c>
      <c r="Y91" s="1146"/>
      <c r="Z91" s="1146"/>
      <c r="AA91" s="868"/>
      <c r="AB91" s="345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81" customFormat="1" ht="17.25" customHeight="1" thickBot="1">
      <c r="C92" s="874" t="s">
        <v>391</v>
      </c>
      <c r="D92" s="874"/>
      <c r="E92" s="1151" t="str">
        <f>E87</f>
        <v>6°54</v>
      </c>
      <c r="F92" s="1152"/>
      <c r="G92" s="1148" t="str">
        <f>heureDecimal2Txt(AC92)</f>
        <v>12:41:34.93(12.6930)</v>
      </c>
      <c r="H92" s="1148"/>
      <c r="I92" s="1148"/>
      <c r="J92" s="1135" t="str">
        <f>heureDecimal2Txt(AD92)</f>
        <v>13:00:25.00(13.0069)</v>
      </c>
      <c r="K92" s="1135"/>
      <c r="L92" s="1136"/>
      <c r="M92" s="1137" t="s">
        <v>574</v>
      </c>
      <c r="N92" s="1138"/>
      <c r="O92" s="1138"/>
      <c r="P92" s="1138">
        <v>0</v>
      </c>
      <c r="Q92" s="1138"/>
      <c r="R92" s="1138"/>
      <c r="S92" s="1138"/>
      <c r="T92" s="1139">
        <v>2</v>
      </c>
      <c r="U92" s="1139"/>
      <c r="V92" s="1139"/>
      <c r="W92" s="1139"/>
      <c r="X92" s="1140" t="s">
        <v>553</v>
      </c>
      <c r="Y92" s="1141"/>
      <c r="Z92" s="1141"/>
      <c r="AA92" s="367" t="s">
        <v>582</v>
      </c>
      <c r="AB92" s="368"/>
      <c r="AC92">
        <f>AC87+2*AH87</f>
        <v>12.693037990065804</v>
      </c>
      <c r="AD92" s="263">
        <f>AE92+(AF92+AG92+AH92)/3600</f>
        <v>13.006944444444445</v>
      </c>
      <c r="AE92" s="6">
        <f>heureConvert2Decimal(M92)</f>
        <v>12.833333333333334</v>
      </c>
      <c r="AF92" s="348">
        <f>P92*3600</f>
        <v>0</v>
      </c>
      <c r="AG92" s="151">
        <f>T92</f>
        <v>2</v>
      </c>
      <c r="AH92" s="6">
        <f>heureConvert2Decimal(X92)*60</f>
        <v>623</v>
      </c>
      <c r="AI92" s="8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81" customFormat="1" ht="17.25" customHeight="1" thickTop="1" thickBot="1">
      <c r="C93" s="874" t="s">
        <v>389</v>
      </c>
      <c r="D93" s="874"/>
      <c r="E93" s="1151" t="str">
        <f>E86</f>
        <v>5°54</v>
      </c>
      <c r="F93" s="1152"/>
      <c r="G93" s="1148" t="str">
        <f>heureDecimal2Txt(AC93)</f>
        <v>13:41:34.93(13.6930)</v>
      </c>
      <c r="H93" s="1148"/>
      <c r="I93" s="1148"/>
      <c r="J93" s="861" t="str">
        <f t="shared" ref="J93:J96" si="2">heureDecimal2Txt(AD93)</f>
        <v>13:50:25.00(13.8402)</v>
      </c>
      <c r="K93" s="861"/>
      <c r="L93" s="862"/>
      <c r="M93" s="863" t="s">
        <v>573</v>
      </c>
      <c r="N93" s="864"/>
      <c r="O93" s="864"/>
      <c r="P93" s="864">
        <v>0</v>
      </c>
      <c r="Q93" s="864"/>
      <c r="R93" s="864"/>
      <c r="S93" s="864"/>
      <c r="T93" s="865">
        <v>2</v>
      </c>
      <c r="U93" s="865"/>
      <c r="V93" s="865"/>
      <c r="W93" s="865"/>
      <c r="X93" s="866" t="s">
        <v>553</v>
      </c>
      <c r="Y93" s="867"/>
      <c r="Z93" s="867"/>
      <c r="AA93" s="367" t="s">
        <v>582</v>
      </c>
      <c r="AB93" s="368"/>
      <c r="AC93">
        <f>AC86+2*AH86</f>
        <v>13.693037990065804</v>
      </c>
      <c r="AD93" s="263">
        <f>AE93+(AF93+AG93+AH93)/3600</f>
        <v>13.840277777777777</v>
      </c>
      <c r="AE93" s="6">
        <f>heureConvert2Decimal(M93)</f>
        <v>13.666666666666666</v>
      </c>
      <c r="AF93" s="348">
        <f>P93*3600</f>
        <v>0</v>
      </c>
      <c r="AG93" s="151">
        <f>T93</f>
        <v>2</v>
      </c>
      <c r="AH93" s="6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81" customFormat="1" ht="17.25" customHeight="1" thickTop="1" thickBot="1">
      <c r="C94" s="874" t="s">
        <v>387</v>
      </c>
      <c r="D94" s="874"/>
      <c r="E94" s="1151" t="str">
        <f>E85</f>
        <v>4°54</v>
      </c>
      <c r="F94" s="1152"/>
      <c r="G94" s="1148" t="str">
        <f t="shared" ref="G93:G96" si="3">heureDecimal2Txt(AC94)</f>
        <v>13:57:34.93(13.9597)</v>
      </c>
      <c r="H94" s="1148"/>
      <c r="I94" s="1148"/>
      <c r="J94" s="861" t="str">
        <f t="shared" si="2"/>
        <v>13:52:02.00(13.8672)</v>
      </c>
      <c r="K94" s="861"/>
      <c r="L94" s="862"/>
      <c r="M94" s="863" t="s">
        <v>572</v>
      </c>
      <c r="N94" s="864"/>
      <c r="O94" s="864"/>
      <c r="P94" s="864">
        <v>0</v>
      </c>
      <c r="Q94" s="864"/>
      <c r="R94" s="864"/>
      <c r="S94" s="864"/>
      <c r="T94" s="865">
        <v>2</v>
      </c>
      <c r="U94" s="865"/>
      <c r="V94" s="865"/>
      <c r="W94" s="865"/>
      <c r="X94" s="866" t="s">
        <v>190</v>
      </c>
      <c r="Y94" s="867"/>
      <c r="Z94" s="867"/>
      <c r="AA94" s="367" t="s">
        <v>582</v>
      </c>
      <c r="AB94" s="341"/>
      <c r="AC94">
        <f>AC85+2*AH85</f>
        <v>13.95970465673247</v>
      </c>
      <c r="AD94" s="263">
        <f>AE94+(AF94+AG94+AH94)/3600</f>
        <v>13.867222222222223</v>
      </c>
      <c r="AE94" s="6">
        <f>heureConvert2Decimal(M94)</f>
        <v>13.866666666666667</v>
      </c>
      <c r="AF94" s="348">
        <f>P94*3600</f>
        <v>0</v>
      </c>
      <c r="AG94" s="151">
        <f>T94</f>
        <v>2</v>
      </c>
      <c r="AH94" s="6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81" customFormat="1" ht="17.25" customHeight="1" thickTop="1" thickBot="1">
      <c r="C95" s="874" t="s">
        <v>385</v>
      </c>
      <c r="D95" s="874"/>
      <c r="E95" s="1151" t="str">
        <f>E84</f>
        <v>3°54</v>
      </c>
      <c r="F95" s="1152"/>
      <c r="G95" s="1148" t="str">
        <f t="shared" si="3"/>
        <v>14:16:34.93(14.2763)</v>
      </c>
      <c r="H95" s="1148"/>
      <c r="I95" s="1148"/>
      <c r="J95" s="861" t="str">
        <f>heureDecimal2Txt(AD95)</f>
        <v>14:10:02.00(14.1672)</v>
      </c>
      <c r="K95" s="861"/>
      <c r="L95" s="862"/>
      <c r="M95" s="863" t="s">
        <v>571</v>
      </c>
      <c r="N95" s="864"/>
      <c r="O95" s="864"/>
      <c r="P95" s="864">
        <v>0</v>
      </c>
      <c r="Q95" s="864"/>
      <c r="R95" s="864"/>
      <c r="S95" s="864"/>
      <c r="T95" s="865">
        <v>2</v>
      </c>
      <c r="U95" s="865"/>
      <c r="V95" s="865"/>
      <c r="W95" s="865"/>
      <c r="X95" s="866" t="s">
        <v>190</v>
      </c>
      <c r="Y95" s="867"/>
      <c r="Z95" s="867"/>
      <c r="AA95" s="367" t="s">
        <v>582</v>
      </c>
      <c r="AB95" s="341"/>
      <c r="AC95">
        <f>AC84+2*AH84</f>
        <v>14.276371323399136</v>
      </c>
      <c r="AD95" s="263">
        <f>AE95+(AF95+AG95+AH95)/3600</f>
        <v>14.167222222222222</v>
      </c>
      <c r="AE95" s="6">
        <f>heureConvert2Decimal(M95)</f>
        <v>14.166666666666666</v>
      </c>
      <c r="AF95" s="348">
        <f>P95*3600</f>
        <v>0</v>
      </c>
      <c r="AG95" s="151">
        <f>T95</f>
        <v>2</v>
      </c>
      <c r="AH95" s="6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81" customFormat="1" ht="17.25" customHeight="1" thickTop="1" thickBot="1">
      <c r="C96" s="874" t="s">
        <v>383</v>
      </c>
      <c r="D96" s="874"/>
      <c r="E96" s="1151" t="str">
        <f>E83</f>
        <v>2°54</v>
      </c>
      <c r="F96" s="1152"/>
      <c r="G96" s="1148" t="str">
        <f t="shared" si="3"/>
        <v>14:31:34.93(14.5263)</v>
      </c>
      <c r="H96" s="1148"/>
      <c r="I96" s="1148"/>
      <c r="J96" s="861" t="str">
        <f t="shared" si="2"/>
        <v>14:32:03.00(14.5341)</v>
      </c>
      <c r="K96" s="861"/>
      <c r="L96" s="862"/>
      <c r="M96" s="863" t="s">
        <v>569</v>
      </c>
      <c r="N96" s="864"/>
      <c r="O96" s="864"/>
      <c r="P96" s="864">
        <v>0</v>
      </c>
      <c r="Q96" s="864"/>
      <c r="R96" s="864"/>
      <c r="S96" s="864"/>
      <c r="T96" s="865">
        <v>2</v>
      </c>
      <c r="U96" s="865"/>
      <c r="V96" s="865"/>
      <c r="W96" s="865"/>
      <c r="X96" s="866" t="s">
        <v>190</v>
      </c>
      <c r="Y96" s="867"/>
      <c r="Z96" s="867"/>
      <c r="AA96" s="367" t="s">
        <v>582</v>
      </c>
      <c r="AB96" s="341"/>
      <c r="AC96">
        <f>AC83+2*AH83</f>
        <v>14.526371323399136</v>
      </c>
      <c r="AD96" s="263">
        <f>AE96+(AF96+AG96+AH96)/3600</f>
        <v>14.534166666666666</v>
      </c>
      <c r="AE96" s="6">
        <f>heureConvert2Decimal(M96)</f>
        <v>14.53361111111111</v>
      </c>
      <c r="AF96" s="348">
        <f>P96*3600</f>
        <v>0</v>
      </c>
      <c r="AG96" s="151">
        <f>T96</f>
        <v>2</v>
      </c>
      <c r="AH96" s="6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339" t="s">
        <v>567</v>
      </c>
      <c r="C99" s="340"/>
      <c r="D99" s="340"/>
      <c r="E99" s="340"/>
      <c r="F99" s="340"/>
      <c r="G99" s="340"/>
      <c r="H99" s="340"/>
      <c r="I99" s="340"/>
      <c r="J99" s="340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38"/>
      <c r="V99" s="338"/>
      <c r="W99" s="338"/>
      <c r="X99" s="338"/>
      <c r="Y99" s="338"/>
      <c r="Z99" s="338"/>
      <c r="AA99" s="338"/>
    </row>
    <row r="100" spans="2:30">
      <c r="B100" s="276"/>
      <c r="E100" s="849" t="s">
        <v>568</v>
      </c>
      <c r="F100" s="849"/>
      <c r="G100" s="849" t="s">
        <v>11</v>
      </c>
      <c r="H100" s="849"/>
      <c r="I100" s="849"/>
      <c r="J100" s="849"/>
      <c r="K100" s="849"/>
      <c r="L100"/>
      <c r="M100" s="301"/>
      <c r="N100" s="301"/>
      <c r="O100" s="301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</row>
    <row r="101" spans="2:30">
      <c r="B101" s="276"/>
      <c r="C101" s="346" t="s">
        <v>382</v>
      </c>
      <c r="D101" s="347"/>
      <c r="E101" s="846" t="b">
        <f>(AA96="O")</f>
        <v>0</v>
      </c>
      <c r="F101" s="847"/>
      <c r="G101" s="847">
        <f>IF(E101,(AD96+AC83)/2,0)</f>
        <v>0</v>
      </c>
      <c r="H101" s="847"/>
      <c r="I101" t="str">
        <f>heureDecimal2Txt(G101)</f>
        <v>00:00:00.00(00.0000)</v>
      </c>
      <c r="J101"/>
      <c r="K101"/>
      <c r="L101"/>
      <c r="Z101" s="276"/>
      <c r="AA101" s="276"/>
      <c r="AC101" s="277" t="s">
        <v>584</v>
      </c>
      <c r="AD101" s="277">
        <f>IF(G101&gt;0,1,0)</f>
        <v>0</v>
      </c>
    </row>
    <row r="102" spans="2:30">
      <c r="B102" s="276"/>
      <c r="C102" s="342" t="s">
        <v>384</v>
      </c>
      <c r="D102" s="343"/>
      <c r="E102" s="846" t="b">
        <f>(AA95="O")</f>
        <v>0</v>
      </c>
      <c r="F102" s="847"/>
      <c r="G102" s="847">
        <f>IF(E102,(AD95+AC84)/2,0)</f>
        <v>0</v>
      </c>
      <c r="H102" s="847"/>
      <c r="I102" t="str">
        <f t="shared" ref="I102:I107" si="4">heureDecimal2Txt(G102)</f>
        <v>00:00:00.00(00.0000)</v>
      </c>
      <c r="J102"/>
      <c r="K102"/>
      <c r="L102"/>
      <c r="Z102" s="276"/>
      <c r="AA102" s="276"/>
      <c r="AC102" s="277" t="s">
        <v>584</v>
      </c>
      <c r="AD102" s="277">
        <f t="shared" ref="AD102:AD105" si="5">IF(G102&gt;0,1,0)</f>
        <v>0</v>
      </c>
    </row>
    <row r="103" spans="2:30">
      <c r="B103" s="276"/>
      <c r="C103" s="342" t="s">
        <v>386</v>
      </c>
      <c r="D103" s="343"/>
      <c r="E103" s="846" t="b">
        <f>(AA94="O")</f>
        <v>0</v>
      </c>
      <c r="F103" s="847"/>
      <c r="G103" s="847">
        <f>IF(E103,(AD94+AC85)/2,0)</f>
        <v>0</v>
      </c>
      <c r="H103" s="847"/>
      <c r="I103" t="str">
        <f t="shared" si="4"/>
        <v>00:00:00.00(00.0000)</v>
      </c>
      <c r="J103"/>
      <c r="K103"/>
      <c r="L103"/>
      <c r="Z103" s="276"/>
      <c r="AA103" s="276"/>
      <c r="AC103" s="277" t="s">
        <v>584</v>
      </c>
      <c r="AD103" s="277">
        <f t="shared" si="5"/>
        <v>0</v>
      </c>
    </row>
    <row r="104" spans="2:30">
      <c r="C104" s="342" t="s">
        <v>388</v>
      </c>
      <c r="D104" s="343"/>
      <c r="E104" s="846" t="b">
        <f>(AA93="O")</f>
        <v>0</v>
      </c>
      <c r="F104" s="847"/>
      <c r="G104" s="847">
        <f>IF(E104,(AD93+AC86)/2,0)</f>
        <v>0</v>
      </c>
      <c r="H104" s="847"/>
      <c r="I104" t="str">
        <f t="shared" si="4"/>
        <v>00:00:00.00(00.0000)</v>
      </c>
      <c r="J104"/>
      <c r="K104"/>
      <c r="AC104" s="277" t="s">
        <v>584</v>
      </c>
      <c r="AD104" s="277">
        <f t="shared" si="5"/>
        <v>0</v>
      </c>
    </row>
    <row r="105" spans="2:30">
      <c r="C105" s="361" t="s">
        <v>390</v>
      </c>
      <c r="D105" s="362"/>
      <c r="E105" s="846" t="b">
        <f>(AA92="O")</f>
        <v>0</v>
      </c>
      <c r="F105" s="847"/>
      <c r="G105" s="847">
        <f>IF(E105,(AD92+AC87)/2,0)</f>
        <v>0</v>
      </c>
      <c r="H105" s="847"/>
      <c r="I105" t="str">
        <f t="shared" si="4"/>
        <v>00:00:00.00(00.0000)</v>
      </c>
      <c r="J105"/>
      <c r="K105"/>
      <c r="AC105" s="277" t="s">
        <v>584</v>
      </c>
      <c r="AD105" s="277">
        <f t="shared" si="5"/>
        <v>0</v>
      </c>
    </row>
    <row r="107" spans="2:30">
      <c r="E107" s="277" t="s">
        <v>570</v>
      </c>
      <c r="G107" s="848" t="e">
        <f>SUM(G101:G105)/SUM(AD101:AD105)</f>
        <v>#DIV/0!</v>
      </c>
      <c r="H107" s="848"/>
      <c r="I107" t="e">
        <f t="shared" si="4"/>
        <v>#VALUE!</v>
      </c>
      <c r="N107" s="843" t="s">
        <v>575</v>
      </c>
      <c r="O107" s="843"/>
      <c r="P107" s="843"/>
      <c r="Q107" s="843" t="e">
        <f>G107</f>
        <v>#DIV/0!</v>
      </c>
      <c r="R107" s="843"/>
      <c r="S107" s="845" t="e">
        <f>heureDecimal2Txt(Q107)</f>
        <v>#VALUE!</v>
      </c>
      <c r="T107" s="845"/>
      <c r="U107" s="845"/>
      <c r="V107" s="845"/>
      <c r="W107" s="845"/>
      <c r="X107" s="845"/>
      <c r="Y107" s="845"/>
    </row>
    <row r="108" spans="2:30">
      <c r="N108" s="843"/>
      <c r="O108" s="843"/>
      <c r="P108" s="843"/>
      <c r="Q108" s="843"/>
      <c r="R108" s="843"/>
      <c r="S108" s="845"/>
      <c r="T108" s="845"/>
      <c r="U108" s="845"/>
      <c r="V108" s="845"/>
      <c r="W108" s="845"/>
      <c r="X108" s="845"/>
      <c r="Y108" s="845"/>
    </row>
    <row r="109" spans="2:30">
      <c r="N109" s="843" t="s">
        <v>337</v>
      </c>
      <c r="O109" s="843"/>
      <c r="P109" s="843"/>
      <c r="Q109" s="844" t="e">
        <f>(F43-Q107)</f>
        <v>#DIV/0!</v>
      </c>
      <c r="R109" s="843"/>
      <c r="S109" s="845" t="e">
        <f>longitudeDecimal2Txt(Q109)</f>
        <v>#VALUE!</v>
      </c>
      <c r="T109" s="845"/>
      <c r="U109" s="845"/>
      <c r="V109" s="845"/>
      <c r="W109" s="845"/>
      <c r="X109" s="845"/>
      <c r="Y109" s="845"/>
    </row>
    <row r="110" spans="2:30">
      <c r="N110" s="843"/>
      <c r="O110" s="843"/>
      <c r="P110" s="843"/>
      <c r="Q110" s="843"/>
      <c r="R110" s="843"/>
      <c r="S110" s="845"/>
      <c r="T110" s="845"/>
      <c r="U110" s="845"/>
      <c r="V110" s="845"/>
      <c r="W110" s="845"/>
      <c r="X110" s="845"/>
      <c r="Y110" s="845"/>
    </row>
    <row r="112" spans="2:30" ht="15.75" thickBot="1"/>
    <row r="113" spans="2:66" s="276" customFormat="1" ht="17.25" customHeight="1" thickBot="1">
      <c r="B113" s="293" t="s">
        <v>0</v>
      </c>
      <c r="C113" s="294"/>
      <c r="D113" s="294"/>
      <c r="E113" s="230" t="str">
        <f>N7</f>
        <v>2025/6/30 [YYYY/MM/DD]</v>
      </c>
      <c r="F113" s="230"/>
      <c r="G113" s="283"/>
      <c r="H113" s="284"/>
      <c r="I113" s="230" t="str">
        <f>heureDecimal2Txt(E117)</f>
        <v>12:31:12.46(12.5201)</v>
      </c>
      <c r="J113" s="230"/>
      <c r="K113" s="230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351"/>
      <c r="AC113" s="277"/>
      <c r="AD113" s="277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7"/>
      <c r="BC113" s="277"/>
      <c r="BD113" s="277"/>
      <c r="BE113" s="277"/>
      <c r="BF113" s="277"/>
      <c r="BG113" s="277"/>
      <c r="BH113" s="277"/>
      <c r="BI113" s="277"/>
      <c r="BJ113" s="277"/>
      <c r="BK113" s="277"/>
      <c r="BL113" s="277"/>
      <c r="BM113" s="277"/>
      <c r="BN113" s="278"/>
    </row>
    <row r="114" spans="2:66" s="276" customFormat="1" ht="17.25" customHeight="1">
      <c r="C114" s="456" t="s">
        <v>1</v>
      </c>
      <c r="D114" s="457"/>
      <c r="E114" s="751" t="s">
        <v>464</v>
      </c>
      <c r="F114" s="752"/>
      <c r="G114" s="752"/>
      <c r="H114" s="300"/>
      <c r="I114" s="301"/>
      <c r="J114" s="301"/>
      <c r="K114" s="301"/>
      <c r="L114" s="301"/>
      <c r="M114" s="301"/>
      <c r="N114" s="301"/>
      <c r="O114" s="301"/>
      <c r="AB114" s="349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8"/>
    </row>
    <row r="115" spans="2:66" s="276" customFormat="1" ht="17.25" customHeight="1">
      <c r="C115" s="434" t="s">
        <v>11</v>
      </c>
      <c r="D115" s="436"/>
      <c r="E115" s="434" t="s">
        <v>2</v>
      </c>
      <c r="F115" s="435"/>
      <c r="G115" s="435"/>
      <c r="H115" s="436"/>
      <c r="I115" s="277"/>
      <c r="J115" s="277"/>
      <c r="K115" s="277"/>
      <c r="L115" s="277"/>
      <c r="M115" s="277"/>
      <c r="N115" s="277"/>
      <c r="O115" s="277"/>
      <c r="P115" s="277"/>
      <c r="Q115" s="277"/>
      <c r="R115" s="277"/>
      <c r="S115" s="277"/>
      <c r="T115" s="277"/>
      <c r="U115" s="277"/>
      <c r="V115" s="277"/>
      <c r="W115" s="277"/>
      <c r="X115" s="277"/>
      <c r="Y115" s="277"/>
      <c r="AB115" s="359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8"/>
    </row>
    <row r="116" spans="2:66" s="276" customFormat="1" ht="17.25" customHeight="1" thickBot="1">
      <c r="C116" s="458"/>
      <c r="D116" s="459"/>
      <c r="E116" s="437"/>
      <c r="F116" s="438"/>
      <c r="G116" s="438"/>
      <c r="H116" s="439"/>
      <c r="I116" s="277"/>
      <c r="J116" s="277"/>
      <c r="K116" s="277"/>
      <c r="L116" s="277"/>
      <c r="M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7"/>
      <c r="X116" s="277"/>
      <c r="Y116" s="277"/>
      <c r="AB116" s="349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8"/>
    </row>
    <row r="117" spans="2:66" s="276" customFormat="1" ht="17.25" customHeight="1" thickTop="1" thickBot="1">
      <c r="C117" s="437"/>
      <c r="D117" s="439"/>
      <c r="E117" s="747">
        <f>V72</f>
        <v>12.520130106144013</v>
      </c>
      <c r="F117" s="747"/>
      <c r="G117" s="747"/>
      <c r="H117" s="747"/>
      <c r="I117" s="646" t="str" cm="1">
        <f t="array" ref="I117">heureDecimal2Txt(E117)</f>
        <v>12:31:12.46(12.5201)</v>
      </c>
      <c r="J117" s="647"/>
      <c r="K117" s="647"/>
      <c r="L117" s="648"/>
      <c r="M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7"/>
      <c r="X117" s="277"/>
      <c r="Y117" s="277"/>
      <c r="AB117" s="349"/>
      <c r="AC117" s="277"/>
      <c r="AD117" s="277"/>
      <c r="AE117" s="277"/>
      <c r="AF117" s="277"/>
      <c r="AG117" s="277"/>
      <c r="AH117" s="277"/>
      <c r="AI117" s="277"/>
      <c r="AJ117" s="277"/>
      <c r="AK117" s="277"/>
      <c r="AL117" s="277"/>
      <c r="AM117" s="277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277"/>
      <c r="BJ117" s="277"/>
      <c r="BK117" s="277"/>
      <c r="BL117" s="277"/>
      <c r="BM117" s="277"/>
      <c r="BN117" s="278"/>
    </row>
    <row r="118" spans="2:66" ht="17.25" customHeight="1" thickTop="1">
      <c r="B118" s="276"/>
      <c r="I118" s="302"/>
      <c r="J118" s="302"/>
      <c r="K118" s="302"/>
      <c r="V118" s="302"/>
      <c r="W118" s="302"/>
      <c r="X118" s="302"/>
      <c r="Y118" s="302"/>
      <c r="Z118" s="276"/>
      <c r="AA118" s="276"/>
      <c r="AB118" s="349"/>
      <c r="BN118" s="278"/>
    </row>
    <row r="119" spans="2:66" s="276" customFormat="1" ht="17.25" customHeight="1" thickBot="1">
      <c r="C119" s="303"/>
      <c r="D119" s="303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5"/>
      <c r="Y119" s="285"/>
      <c r="AB119" s="349"/>
      <c r="AC119" s="277"/>
      <c r="AD119" s="277"/>
      <c r="AE119" s="277"/>
      <c r="AF119" s="277"/>
      <c r="AG119" s="277"/>
      <c r="AH119" s="277"/>
      <c r="AI119" s="277"/>
      <c r="AJ119" s="277"/>
      <c r="AK119" s="277"/>
      <c r="AL119" s="277"/>
      <c r="AM119" s="277"/>
      <c r="AN119" s="277"/>
      <c r="AO119" s="277"/>
      <c r="AP119" s="277"/>
      <c r="AQ119" s="277"/>
      <c r="AR119" s="277"/>
      <c r="AS119" s="277"/>
      <c r="AT119" s="277"/>
      <c r="AU119" s="277"/>
      <c r="AV119" s="277"/>
      <c r="AW119" s="277"/>
      <c r="AX119" s="277"/>
      <c r="AY119" s="277"/>
      <c r="AZ119" s="277"/>
      <c r="BA119" s="277"/>
      <c r="BB119" s="277"/>
      <c r="BC119" s="277"/>
      <c r="BD119" s="277"/>
      <c r="BE119" s="277"/>
      <c r="BF119" s="277"/>
      <c r="BG119" s="277"/>
      <c r="BH119" s="277"/>
      <c r="BI119" s="277"/>
      <c r="BJ119" s="277"/>
      <c r="BK119" s="277"/>
      <c r="BL119" s="277"/>
      <c r="BM119" s="277"/>
      <c r="BN119" s="278"/>
    </row>
    <row r="120" spans="2:66" s="276" customFormat="1" ht="17.25" customHeight="1" thickBot="1">
      <c r="B120" s="293" t="s">
        <v>20</v>
      </c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351"/>
      <c r="AC120" s="277"/>
      <c r="AD120" s="277"/>
      <c r="AE120" s="277"/>
      <c r="AF120" s="277"/>
      <c r="AG120" s="277"/>
      <c r="AH120" s="277"/>
      <c r="AI120" s="277"/>
      <c r="AJ120" s="277"/>
      <c r="AK120" s="277"/>
      <c r="AL120" s="277"/>
      <c r="AM120" s="277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8"/>
    </row>
    <row r="121" spans="2:66" s="276" customFormat="1" ht="18" customHeight="1" thickBot="1">
      <c r="B121" s="277"/>
      <c r="C121" s="421" t="s">
        <v>331</v>
      </c>
      <c r="D121" s="422"/>
      <c r="E121" s="422"/>
      <c r="F121" s="422"/>
      <c r="G121" s="422"/>
      <c r="H121" s="422"/>
      <c r="I121" s="423"/>
      <c r="J121" s="748" t="s">
        <v>333</v>
      </c>
      <c r="K121" s="749"/>
      <c r="L121" s="749"/>
      <c r="M121" s="749"/>
      <c r="N121" s="749"/>
      <c r="O121" s="750"/>
      <c r="P121" s="277"/>
      <c r="Q121" s="277"/>
      <c r="R121" s="277"/>
      <c r="S121" s="277"/>
      <c r="T121" s="277"/>
      <c r="U121" s="277"/>
      <c r="V121" s="277"/>
      <c r="W121" s="277"/>
      <c r="X121" s="277"/>
      <c r="Y121" s="277"/>
      <c r="Z121" s="277"/>
      <c r="AA121" s="277"/>
      <c r="AB121" s="349"/>
      <c r="AC121" s="353" t="s">
        <v>332</v>
      </c>
      <c r="AD121" s="304" t="s">
        <v>333</v>
      </c>
      <c r="AE121" s="277"/>
      <c r="AF121" s="277"/>
      <c r="AG121" s="277"/>
      <c r="AH121" s="277"/>
      <c r="AI121" s="277"/>
      <c r="AJ121" s="277"/>
      <c r="AK121" s="277"/>
      <c r="AL121" s="277"/>
      <c r="AM121" s="277"/>
      <c r="AN121" s="277"/>
      <c r="AO121" s="277"/>
      <c r="AP121" s="277"/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8"/>
    </row>
    <row r="122" spans="2:66" s="276" customFormat="1" ht="18" customHeight="1" thickTop="1" thickBot="1">
      <c r="B122" s="285"/>
      <c r="C122" s="421" t="s">
        <v>230</v>
      </c>
      <c r="D122" s="422"/>
      <c r="E122" s="422"/>
      <c r="F122" s="422"/>
      <c r="G122" s="422"/>
      <c r="H122" s="422"/>
      <c r="I122" s="423"/>
      <c r="J122" s="418" cm="1">
        <f t="array" ref="J122">angleConvert2Decimal(M122)</f>
        <v>0.9</v>
      </c>
      <c r="K122" s="419"/>
      <c r="L122" s="420"/>
      <c r="M122" s="415" t="s">
        <v>133</v>
      </c>
      <c r="N122" s="416"/>
      <c r="O122" s="417"/>
      <c r="P122" s="412" t="str" cm="1">
        <f t="array" ref="P122">angleDecimal2Txt(J122)</f>
        <v>+00°54.00 (+00.9000) [+00°54'00.00]</v>
      </c>
      <c r="Q122" s="413"/>
      <c r="R122" s="413"/>
      <c r="S122" s="413"/>
      <c r="T122" s="413"/>
      <c r="U122" s="413"/>
      <c r="V122" s="413"/>
      <c r="W122" s="413"/>
      <c r="X122" s="414"/>
      <c r="Y122" s="285"/>
      <c r="AB122" s="349"/>
      <c r="AC122" s="277"/>
      <c r="AD122" s="277"/>
      <c r="AE122" s="277"/>
      <c r="AF122" s="277"/>
      <c r="AG122" s="277"/>
      <c r="AH122" s="277"/>
      <c r="AI122" s="277"/>
      <c r="AJ122" s="277"/>
      <c r="AK122" s="277"/>
      <c r="AL122" s="277"/>
      <c r="AM122" s="277"/>
      <c r="AN122" s="277"/>
      <c r="AO122" s="277"/>
      <c r="AP122" s="277"/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8"/>
    </row>
    <row r="123" spans="2:66" s="276" customFormat="1" ht="18" customHeight="1" thickTop="1" thickBot="1">
      <c r="C123" s="541" t="s">
        <v>229</v>
      </c>
      <c r="D123" s="541"/>
      <c r="E123" s="541"/>
      <c r="F123" s="541"/>
      <c r="G123" s="541"/>
      <c r="H123" s="541"/>
      <c r="I123" s="541"/>
      <c r="J123" s="557" cm="1">
        <f t="array" ref="J123">angleConvert2Decimal(M123)</f>
        <v>33.4</v>
      </c>
      <c r="K123" s="570"/>
      <c r="L123" s="538"/>
      <c r="M123" s="471" t="s">
        <v>393</v>
      </c>
      <c r="N123" s="472"/>
      <c r="O123" s="473"/>
      <c r="P123" s="402" t="str" cm="1">
        <f t="array" ref="P123">angleDecimal2Txt(J123)</f>
        <v>+33°24.00 (+33.3999) [+33°24'00.00]</v>
      </c>
      <c r="Q123" s="402"/>
      <c r="R123" s="402"/>
      <c r="S123" s="402"/>
      <c r="T123" s="402"/>
      <c r="U123" s="402"/>
      <c r="V123" s="402"/>
      <c r="W123" s="402"/>
      <c r="X123" s="402"/>
      <c r="Y123" s="285"/>
      <c r="AB123" s="349"/>
      <c r="AC123" s="277"/>
      <c r="AD123" s="277"/>
      <c r="AE123" s="277"/>
      <c r="AF123" s="277"/>
      <c r="AG123" s="277"/>
      <c r="AH123" s="277"/>
      <c r="AI123" s="277"/>
      <c r="AJ123" s="277"/>
      <c r="AK123" s="277"/>
      <c r="AL123" s="277"/>
      <c r="AM123" s="277"/>
      <c r="AN123" s="277"/>
      <c r="AO123" s="277"/>
      <c r="AP123" s="277"/>
      <c r="AQ123" s="277"/>
      <c r="AR123" s="277"/>
      <c r="AS123" s="277"/>
      <c r="AT123" s="277"/>
      <c r="AU123" s="277"/>
      <c r="AV123" s="277"/>
      <c r="AW123" s="277"/>
      <c r="AX123" s="277"/>
      <c r="AY123" s="277"/>
      <c r="AZ123" s="277"/>
      <c r="BA123" s="277"/>
      <c r="BB123" s="277"/>
      <c r="BC123" s="277"/>
      <c r="BD123" s="277"/>
      <c r="BE123" s="277"/>
      <c r="BF123" s="277"/>
      <c r="BG123" s="277"/>
      <c r="BH123" s="277"/>
      <c r="BI123" s="277"/>
      <c r="BJ123" s="277"/>
      <c r="BK123" s="277"/>
      <c r="BL123" s="277"/>
      <c r="BM123" s="277"/>
      <c r="BN123" s="278"/>
    </row>
    <row r="124" spans="2:66" s="276" customFormat="1" ht="18" customHeight="1" thickTop="1" thickBot="1">
      <c r="C124" s="541" t="s">
        <v>239</v>
      </c>
      <c r="D124" s="541"/>
      <c r="E124" s="541"/>
      <c r="F124" s="541"/>
      <c r="G124" s="541"/>
      <c r="H124" s="541"/>
      <c r="I124" s="541"/>
      <c r="J124" s="557" cm="1">
        <f t="array" ref="J124">angleConvert2Decimal(M124)</f>
        <v>16.25</v>
      </c>
      <c r="K124" s="570"/>
      <c r="L124" s="538"/>
      <c r="M124" s="471">
        <f>(J123-J122)/2</f>
        <v>16.25</v>
      </c>
      <c r="N124" s="472"/>
      <c r="O124" s="473"/>
      <c r="P124" s="402" t="str" cm="1">
        <f t="array" ref="P124">angleDecimal2Txt(J124)</f>
        <v>+16°15.00 (+16.2500) [+16°15'00.00]</v>
      </c>
      <c r="Q124" s="402"/>
      <c r="R124" s="402"/>
      <c r="S124" s="402"/>
      <c r="T124" s="402"/>
      <c r="U124" s="402"/>
      <c r="V124" s="402"/>
      <c r="W124" s="402"/>
      <c r="X124" s="402"/>
      <c r="Y124" s="285"/>
      <c r="AB124" s="349"/>
      <c r="AC124" s="277"/>
      <c r="AD124" s="277"/>
      <c r="AE124" s="277"/>
      <c r="AF124" s="277"/>
      <c r="AG124" s="277"/>
      <c r="AH124" s="277"/>
      <c r="AI124" s="277"/>
      <c r="AJ124" s="277"/>
      <c r="AK124" s="277"/>
      <c r="AL124" s="277"/>
      <c r="AM124" s="277"/>
      <c r="AN124" s="277"/>
      <c r="AO124" s="277"/>
      <c r="AP124" s="277"/>
      <c r="AQ124" s="277"/>
      <c r="AR124" s="277"/>
      <c r="AS124" s="277"/>
      <c r="AT124" s="277"/>
      <c r="AU124" s="277"/>
      <c r="AV124" s="277"/>
      <c r="AW124" s="277"/>
      <c r="AX124" s="277"/>
      <c r="AY124" s="277"/>
      <c r="AZ124" s="277"/>
      <c r="BA124" s="277"/>
      <c r="BB124" s="277"/>
      <c r="BC124" s="277"/>
      <c r="BD124" s="277"/>
      <c r="BE124" s="277"/>
      <c r="BF124" s="277"/>
      <c r="BG124" s="277"/>
      <c r="BH124" s="277"/>
      <c r="BI124" s="277"/>
      <c r="BJ124" s="277"/>
      <c r="BK124" s="277"/>
      <c r="BL124" s="277"/>
      <c r="BM124" s="277"/>
      <c r="BN124" s="278"/>
    </row>
    <row r="125" spans="2:66" s="276" customFormat="1" ht="18" customHeight="1" thickTop="1" thickBot="1">
      <c r="C125" s="649" t="s">
        <v>21</v>
      </c>
      <c r="D125" s="649"/>
      <c r="E125" s="649"/>
      <c r="F125" s="649"/>
      <c r="G125" s="649"/>
      <c r="H125" s="649"/>
      <c r="I125" s="649"/>
      <c r="J125" s="619">
        <f>M125</f>
        <v>2</v>
      </c>
      <c r="K125" s="620"/>
      <c r="L125" s="621"/>
      <c r="M125" s="583">
        <v>2</v>
      </c>
      <c r="N125" s="583"/>
      <c r="O125" s="583"/>
      <c r="P125" s="285"/>
      <c r="Q125" s="285"/>
      <c r="R125" s="285"/>
      <c r="S125" s="285"/>
      <c r="T125" s="285"/>
      <c r="U125" s="285"/>
      <c r="V125" s="285"/>
      <c r="W125" s="285"/>
      <c r="X125" s="285"/>
      <c r="Y125" s="285"/>
      <c r="AB125" s="349"/>
      <c r="AC125" s="277"/>
      <c r="AD125" s="277"/>
      <c r="AE125" s="277"/>
      <c r="AF125" s="277"/>
      <c r="AG125" s="277"/>
      <c r="AH125" s="277"/>
      <c r="AI125" s="277"/>
      <c r="AJ125" s="277"/>
      <c r="AK125" s="277"/>
      <c r="AL125" s="277"/>
      <c r="AM125" s="277"/>
      <c r="AN125" s="277"/>
      <c r="AO125" s="277"/>
      <c r="AP125" s="277"/>
      <c r="AQ125" s="277"/>
      <c r="AR125" s="277"/>
      <c r="AS125" s="277"/>
      <c r="AT125" s="277"/>
      <c r="AU125" s="277"/>
      <c r="AV125" s="277"/>
      <c r="AW125" s="277"/>
      <c r="AX125" s="277"/>
      <c r="AY125" s="277"/>
      <c r="AZ125" s="277"/>
      <c r="BA125" s="277"/>
      <c r="BB125" s="277"/>
      <c r="BC125" s="277"/>
      <c r="BD125" s="277"/>
      <c r="BE125" s="277"/>
      <c r="BF125" s="277"/>
      <c r="BG125" s="277"/>
      <c r="BH125" s="277"/>
      <c r="BI125" s="277"/>
      <c r="BJ125" s="277"/>
      <c r="BK125" s="277"/>
      <c r="BL125" s="277"/>
      <c r="BM125" s="277"/>
      <c r="BN125" s="278"/>
    </row>
    <row r="126" spans="2:66" s="276" customFormat="1" ht="18" customHeight="1" thickTop="1" thickBot="1">
      <c r="B126" s="285"/>
      <c r="C126" s="676" t="s">
        <v>22</v>
      </c>
      <c r="D126" s="677"/>
      <c r="E126" s="677"/>
      <c r="F126" s="677"/>
      <c r="G126" s="677"/>
      <c r="H126" s="677"/>
      <c r="I126" s="678"/>
      <c r="J126" s="557" cm="1">
        <f t="array" ref="J126">angleConvert2Decimal(M126)</f>
        <v>2.1666666666666667E-2</v>
      </c>
      <c r="K126" s="570"/>
      <c r="L126" s="538"/>
      <c r="M126" s="582" t="s">
        <v>495</v>
      </c>
      <c r="N126" s="583"/>
      <c r="O126" s="583"/>
      <c r="P126" s="402" t="str" cm="1">
        <f t="array" ref="P126">angleDecimal2Txt(J126)</f>
        <v>+00°01.30 (+00.0216) [+00°01'18.00]</v>
      </c>
      <c r="Q126" s="402"/>
      <c r="R126" s="402"/>
      <c r="S126" s="402"/>
      <c r="T126" s="402"/>
      <c r="U126" s="402"/>
      <c r="V126" s="402"/>
      <c r="W126" s="402"/>
      <c r="X126" s="402"/>
      <c r="Y126" s="285"/>
      <c r="AB126" s="349"/>
      <c r="AC126" s="277"/>
      <c r="AD126" s="277"/>
      <c r="AE126" s="277"/>
      <c r="AF126" s="277"/>
      <c r="AG126" s="277"/>
      <c r="AH126" s="277"/>
      <c r="AI126" s="277"/>
      <c r="AJ126" s="277"/>
      <c r="AK126" s="277"/>
      <c r="AL126" s="277"/>
      <c r="AM126" s="277"/>
      <c r="AN126" s="277"/>
      <c r="AO126" s="277"/>
      <c r="AP126" s="277"/>
      <c r="AQ126" s="277"/>
      <c r="AR126" s="277"/>
      <c r="AS126" s="277"/>
      <c r="AT126" s="277"/>
      <c r="AU126" s="277"/>
      <c r="AV126" s="277"/>
      <c r="AW126" s="277"/>
      <c r="AX126" s="277"/>
      <c r="AY126" s="277"/>
      <c r="AZ126" s="277"/>
      <c r="BA126" s="277"/>
      <c r="BB126" s="277"/>
      <c r="BC126" s="277"/>
      <c r="BD126" s="277"/>
      <c r="BE126" s="277"/>
      <c r="BF126" s="277"/>
      <c r="BG126" s="277"/>
      <c r="BH126" s="277"/>
      <c r="BI126" s="277"/>
      <c r="BJ126" s="277"/>
      <c r="BK126" s="277"/>
      <c r="BL126" s="277"/>
      <c r="BM126" s="277"/>
      <c r="BN126" s="278"/>
    </row>
    <row r="127" spans="2:66" s="276" customFormat="1" ht="18" customHeight="1" thickTop="1" thickBot="1">
      <c r="C127" s="683" t="s">
        <v>32</v>
      </c>
      <c r="D127" s="683"/>
      <c r="E127" s="683"/>
      <c r="F127" s="683"/>
      <c r="G127" s="683"/>
      <c r="H127" s="683"/>
      <c r="I127" s="683"/>
      <c r="J127" s="733" cm="1">
        <f t="array" ref="J127">IF(J121=AC121,J124,angleConvert2Decimal(M127))</f>
        <v>66.95</v>
      </c>
      <c r="K127" s="734"/>
      <c r="L127" s="735"/>
      <c r="M127" s="582" t="s">
        <v>506</v>
      </c>
      <c r="N127" s="583"/>
      <c r="O127" s="583"/>
      <c r="P127" s="402" t="str" cm="1">
        <f t="array" ref="P127">angleDecimal2Txt(J127)</f>
        <v>+66°57.00 (+66.9500) [+66°57'00.00]</v>
      </c>
      <c r="Q127" s="402"/>
      <c r="R127" s="402"/>
      <c r="S127" s="402"/>
      <c r="T127" s="402"/>
      <c r="U127" s="402"/>
      <c r="V127" s="402"/>
      <c r="W127" s="402"/>
      <c r="X127" s="402"/>
      <c r="Y127" s="285"/>
      <c r="AB127" s="349"/>
      <c r="AC127" s="277"/>
      <c r="AD127" s="277"/>
      <c r="AE127" s="277"/>
      <c r="AF127" s="277"/>
      <c r="AG127" s="277"/>
      <c r="AH127" s="277"/>
      <c r="AI127" s="277"/>
      <c r="AJ127" s="277"/>
      <c r="AK127" s="277"/>
      <c r="AL127" s="277"/>
      <c r="AM127" s="277"/>
      <c r="AN127" s="277"/>
      <c r="AO127" s="277"/>
      <c r="AP127" s="277"/>
      <c r="AQ127" s="277"/>
      <c r="AR127" s="277"/>
      <c r="AS127" s="277"/>
      <c r="AT127" s="277"/>
      <c r="AU127" s="277"/>
      <c r="AV127" s="277"/>
      <c r="AW127" s="277"/>
      <c r="AX127" s="277"/>
      <c r="AY127" s="277"/>
      <c r="AZ127" s="277"/>
      <c r="BA127" s="277"/>
      <c r="BB127" s="277"/>
      <c r="BC127" s="277"/>
      <c r="BD127" s="277"/>
      <c r="BE127" s="277"/>
      <c r="BF127" s="277"/>
      <c r="BG127" s="277"/>
      <c r="BH127" s="277"/>
      <c r="BI127" s="277"/>
      <c r="BJ127" s="277"/>
      <c r="BK127" s="277"/>
      <c r="BL127" s="277"/>
      <c r="BM127" s="277"/>
      <c r="BN127" s="278"/>
    </row>
    <row r="128" spans="2:66" s="276" customFormat="1" ht="18" customHeight="1" thickTop="1">
      <c r="C128" s="679" t="s">
        <v>37</v>
      </c>
      <c r="D128" s="679"/>
      <c r="E128" s="679"/>
      <c r="F128" s="679"/>
      <c r="G128" s="679"/>
      <c r="H128" s="679"/>
      <c r="I128" s="679"/>
      <c r="J128" s="680" t="str">
        <f>M128</f>
        <v>Soleil</v>
      </c>
      <c r="K128" s="681"/>
      <c r="L128" s="682"/>
      <c r="M128" s="743" t="s">
        <v>38</v>
      </c>
      <c r="N128" s="744"/>
      <c r="O128" s="745"/>
      <c r="P128" s="285"/>
      <c r="Q128" s="285"/>
      <c r="R128" s="285"/>
      <c r="S128" s="285"/>
      <c r="T128" s="285"/>
      <c r="U128" s="285"/>
      <c r="V128" s="285"/>
      <c r="W128" s="285"/>
      <c r="X128" s="285"/>
      <c r="Y128" s="285"/>
      <c r="AB128" s="349"/>
      <c r="AC128" s="277"/>
      <c r="AD128" s="277"/>
      <c r="AE128" s="277"/>
      <c r="AF128" s="277"/>
      <c r="AI128" s="277"/>
      <c r="AJ128" s="277"/>
      <c r="AK128" s="277"/>
      <c r="AL128" s="277"/>
      <c r="AM128" s="277"/>
      <c r="AN128" s="277"/>
      <c r="AO128" s="277"/>
      <c r="AP128" s="277"/>
      <c r="AQ128" s="277"/>
      <c r="AR128" s="277"/>
      <c r="AS128" s="277"/>
      <c r="AT128" s="277"/>
      <c r="AU128" s="277"/>
      <c r="AV128" s="277"/>
      <c r="AW128" s="277"/>
      <c r="AX128" s="277"/>
      <c r="AY128" s="277"/>
      <c r="AZ128" s="277"/>
      <c r="BA128" s="277"/>
      <c r="BB128" s="277"/>
      <c r="BC128" s="277"/>
      <c r="BD128" s="277"/>
      <c r="BE128" s="277"/>
      <c r="BF128" s="277"/>
      <c r="BG128" s="277"/>
      <c r="BH128" s="277"/>
      <c r="BI128" s="277"/>
      <c r="BJ128" s="277"/>
      <c r="BK128" s="277"/>
      <c r="BL128" s="277"/>
      <c r="BM128" s="277"/>
      <c r="BN128" s="278"/>
    </row>
    <row r="129" spans="1:66" s="276" customFormat="1" ht="18" customHeight="1">
      <c r="C129" s="679" t="s">
        <v>84</v>
      </c>
      <c r="D129" s="679"/>
      <c r="E129" s="679"/>
      <c r="F129" s="679"/>
      <c r="G129" s="679"/>
      <c r="H129" s="679"/>
      <c r="I129" s="679"/>
      <c r="J129" s="680" t="str">
        <f>M129</f>
        <v>BordInf</v>
      </c>
      <c r="K129" s="681"/>
      <c r="L129" s="682"/>
      <c r="M129" s="578" t="s">
        <v>85</v>
      </c>
      <c r="N129" s="578"/>
      <c r="O129" s="578"/>
      <c r="P129" s="285"/>
      <c r="Q129" s="285"/>
      <c r="R129" s="285"/>
      <c r="S129" s="285"/>
      <c r="T129" s="285"/>
      <c r="U129" s="285"/>
      <c r="V129" s="285"/>
      <c r="W129" s="285"/>
      <c r="X129" s="285"/>
      <c r="Y129" s="285"/>
      <c r="AB129" s="349"/>
      <c r="AC129" s="354" t="s">
        <v>357</v>
      </c>
      <c r="AD129" s="306" t="s">
        <v>39</v>
      </c>
      <c r="AE129" s="306" t="s">
        <v>40</v>
      </c>
      <c r="AF129" s="306" t="s">
        <v>38</v>
      </c>
      <c r="AI129" s="277"/>
      <c r="AJ129" s="277"/>
      <c r="AK129" s="277"/>
      <c r="AL129" s="277"/>
      <c r="AM129" s="277"/>
      <c r="AN129" s="277"/>
      <c r="AO129" s="277"/>
      <c r="AP129" s="277"/>
      <c r="AQ129" s="277"/>
      <c r="AR129" s="277"/>
      <c r="AS129" s="277"/>
      <c r="AT129" s="277"/>
      <c r="AU129" s="277"/>
      <c r="AV129" s="277"/>
      <c r="AW129" s="277"/>
      <c r="AX129" s="277"/>
      <c r="AY129" s="277"/>
      <c r="AZ129" s="277"/>
      <c r="BA129" s="277"/>
      <c r="BB129" s="277"/>
      <c r="BC129" s="277"/>
      <c r="BD129" s="277"/>
      <c r="BE129" s="277"/>
      <c r="BF129" s="277"/>
      <c r="BG129" s="277"/>
      <c r="BH129" s="277"/>
      <c r="BI129" s="277"/>
      <c r="BJ129" s="277"/>
      <c r="BK129" s="277"/>
      <c r="BL129" s="277"/>
      <c r="BM129" s="277"/>
      <c r="BN129" s="278"/>
    </row>
    <row r="130" spans="1:66" s="276" customFormat="1" ht="17.25" customHeight="1">
      <c r="C130" s="684" t="s">
        <v>314</v>
      </c>
      <c r="D130" s="685"/>
      <c r="E130" s="109"/>
      <c r="F130" s="109"/>
      <c r="G130" s="109"/>
      <c r="H130" s="109"/>
      <c r="I130" s="110"/>
      <c r="J130" s="603" cm="1">
        <f t="array" ref="J130">angleConvert2Decimal(M130)</f>
        <v>2.8833333333333332E-3</v>
      </c>
      <c r="K130" s="394"/>
      <c r="L130" s="395"/>
      <c r="M130" s="609" t="str">
        <f>P132</f>
        <v>0.173'</v>
      </c>
      <c r="N130" s="610"/>
      <c r="O130" s="610"/>
      <c r="P130" s="615" t="s">
        <v>129</v>
      </c>
      <c r="Q130" s="615"/>
      <c r="R130" s="615"/>
      <c r="S130" s="285"/>
      <c r="T130" s="285"/>
      <c r="U130" s="285"/>
      <c r="V130" s="285"/>
      <c r="W130" s="285"/>
      <c r="X130" s="285"/>
      <c r="Y130" s="285"/>
      <c r="AB130" s="349"/>
      <c r="AC130" s="354" t="s">
        <v>131</v>
      </c>
      <c r="AD130" s="307" t="s">
        <v>132</v>
      </c>
      <c r="AE130" s="307" t="s">
        <v>133</v>
      </c>
      <c r="AF130" s="307" t="s">
        <v>104</v>
      </c>
      <c r="AI130" s="277"/>
      <c r="AJ130" s="277"/>
      <c r="AK130" s="277"/>
      <c r="AL130" s="277"/>
      <c r="AM130" s="277"/>
      <c r="AN130" s="277"/>
      <c r="AO130" s="277"/>
      <c r="AP130" s="277"/>
      <c r="AQ130" s="277"/>
      <c r="AR130" s="277"/>
      <c r="AS130" s="277"/>
      <c r="AT130" s="277"/>
      <c r="AU130" s="277"/>
      <c r="AV130" s="277"/>
      <c r="AW130" s="277"/>
      <c r="AX130" s="277"/>
      <c r="AY130" s="277"/>
      <c r="AZ130" s="277"/>
      <c r="BA130" s="277"/>
      <c r="BB130" s="277"/>
      <c r="BC130" s="277"/>
      <c r="BD130" s="277"/>
      <c r="BE130" s="277"/>
      <c r="BF130" s="277"/>
      <c r="BG130" s="277"/>
      <c r="BH130" s="277"/>
      <c r="BI130" s="277"/>
      <c r="BJ130" s="277"/>
      <c r="BK130" s="277"/>
      <c r="BL130" s="277"/>
      <c r="BM130" s="277"/>
      <c r="BN130" s="278"/>
    </row>
    <row r="131" spans="1:66" s="276" customFormat="1" ht="17.25" customHeight="1" thickBot="1">
      <c r="C131" s="111"/>
      <c r="D131" s="652" t="s">
        <v>315</v>
      </c>
      <c r="E131" s="652"/>
      <c r="F131" s="652"/>
      <c r="G131" s="652"/>
      <c r="H131" s="652"/>
      <c r="I131" s="653"/>
      <c r="J131" s="604"/>
      <c r="K131" s="461"/>
      <c r="L131" s="605"/>
      <c r="M131" s="611"/>
      <c r="N131" s="612"/>
      <c r="O131" s="612"/>
      <c r="P131" s="615"/>
      <c r="Q131" s="615"/>
      <c r="R131" s="615"/>
      <c r="S131" s="285"/>
      <c r="T131" s="285"/>
      <c r="U131" s="285"/>
      <c r="V131" s="285"/>
      <c r="W131" s="285"/>
      <c r="X131" s="285"/>
      <c r="Y131" s="285"/>
      <c r="AB131" s="349"/>
      <c r="AC131" s="354" t="s">
        <v>135</v>
      </c>
      <c r="AD131" s="307" t="s">
        <v>132</v>
      </c>
      <c r="AE131" s="307" t="s">
        <v>136</v>
      </c>
      <c r="AF131" s="307" t="s">
        <v>103</v>
      </c>
      <c r="AI131" s="277"/>
      <c r="AJ131" s="277"/>
      <c r="AK131" s="277"/>
      <c r="AL131" s="277"/>
      <c r="AM131" s="277"/>
      <c r="AN131" s="277"/>
      <c r="AO131" s="277"/>
      <c r="AP131" s="277"/>
      <c r="AQ131" s="277"/>
      <c r="AR131" s="277"/>
      <c r="AS131" s="277"/>
      <c r="AT131" s="277"/>
      <c r="AU131" s="277"/>
      <c r="AV131" s="277"/>
      <c r="AW131" s="277"/>
      <c r="AX131" s="277"/>
      <c r="AY131" s="277"/>
      <c r="AZ131" s="277"/>
      <c r="BA131" s="277"/>
      <c r="BB131" s="277"/>
      <c r="BC131" s="277"/>
      <c r="BD131" s="277"/>
      <c r="BE131" s="277"/>
      <c r="BF131" s="277"/>
      <c r="BG131" s="277"/>
      <c r="BH131" s="277"/>
      <c r="BI131" s="277"/>
      <c r="BJ131" s="277"/>
      <c r="BK131" s="277"/>
      <c r="BL131" s="277"/>
      <c r="BM131" s="277"/>
      <c r="BN131" s="278"/>
    </row>
    <row r="132" spans="1:66" s="276" customFormat="1" ht="17.25" customHeight="1" thickTop="1" thickBot="1">
      <c r="C132" s="111"/>
      <c r="D132" s="652"/>
      <c r="E132" s="652"/>
      <c r="F132" s="652"/>
      <c r="G132" s="652"/>
      <c r="H132" s="652"/>
      <c r="I132" s="653"/>
      <c r="J132" s="604"/>
      <c r="K132" s="461"/>
      <c r="L132" s="605"/>
      <c r="M132" s="611"/>
      <c r="N132" s="612"/>
      <c r="O132" s="612"/>
      <c r="P132" s="584" t="str">
        <f>HLOOKUP(M128,AD129:AF131,2,FALSE)</f>
        <v>0.173'</v>
      </c>
      <c r="Q132" s="584"/>
      <c r="R132" s="584"/>
      <c r="S132" s="479" t="str" cm="1">
        <f t="array" ref="S132">angleDecimal2Txt(angleConvert2Decimal(P132))</f>
        <v>+00°00.17 (+00.0028) [+00°00'10.37]</v>
      </c>
      <c r="T132" s="479"/>
      <c r="U132" s="479"/>
      <c r="V132" s="479"/>
      <c r="W132" s="479"/>
      <c r="X132" s="480"/>
      <c r="Y132" s="285"/>
      <c r="AB132" s="349"/>
      <c r="AC132" s="277"/>
      <c r="AD132" s="277"/>
      <c r="AE132" s="277"/>
      <c r="AF132" s="277"/>
      <c r="AG132" s="277"/>
      <c r="AH132" s="277"/>
      <c r="AI132" s="277"/>
      <c r="AJ132" s="277"/>
      <c r="AK132" s="277"/>
      <c r="AL132" s="277"/>
      <c r="AM132" s="277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/>
      <c r="AY132" s="277"/>
      <c r="AZ132" s="277"/>
      <c r="BA132" s="277"/>
      <c r="BB132" s="277"/>
      <c r="BC132" s="277"/>
      <c r="BD132" s="277"/>
      <c r="BE132" s="277"/>
      <c r="BF132" s="277"/>
      <c r="BG132" s="277"/>
      <c r="BH132" s="277"/>
      <c r="BI132" s="277"/>
      <c r="BJ132" s="277"/>
      <c r="BK132" s="277"/>
      <c r="BL132" s="277"/>
      <c r="BM132" s="277"/>
      <c r="BN132" s="278"/>
    </row>
    <row r="133" spans="1:66" s="276" customFormat="1" ht="17.25" customHeight="1" thickTop="1" thickBot="1">
      <c r="C133" s="112"/>
      <c r="D133" s="654"/>
      <c r="E133" s="654"/>
      <c r="F133" s="654"/>
      <c r="G133" s="654"/>
      <c r="H133" s="654"/>
      <c r="I133" s="655"/>
      <c r="J133" s="746"/>
      <c r="K133" s="396"/>
      <c r="L133" s="397"/>
      <c r="M133" s="613"/>
      <c r="N133" s="614"/>
      <c r="O133" s="614"/>
      <c r="P133" s="581" t="str" cm="1">
        <f t="array" ref="P133">angleDecimal2Txt(J130)</f>
        <v>+00°00.17 (+00.0028) [+00°00'10.37]</v>
      </c>
      <c r="Q133" s="581"/>
      <c r="R133" s="581"/>
      <c r="S133" s="402"/>
      <c r="T133" s="402"/>
      <c r="U133" s="402"/>
      <c r="V133" s="402"/>
      <c r="W133" s="402"/>
      <c r="X133" s="402"/>
      <c r="Y133" s="285"/>
      <c r="AB133" s="349"/>
      <c r="AC133" s="354" t="s">
        <v>130</v>
      </c>
      <c r="AD133" s="306" t="s">
        <v>85</v>
      </c>
      <c r="AE133" s="306" t="s">
        <v>355</v>
      </c>
      <c r="AF133" s="306" t="s">
        <v>86</v>
      </c>
      <c r="AG133" s="277"/>
      <c r="AH133" s="277"/>
      <c r="AI133" s="277"/>
      <c r="AJ133" s="277"/>
      <c r="AK133" s="277"/>
      <c r="AL133" s="277"/>
      <c r="AM133" s="277"/>
      <c r="AN133" s="277"/>
      <c r="AO133" s="277"/>
      <c r="AP133" s="277"/>
      <c r="AQ133" s="277"/>
      <c r="AR133" s="277"/>
      <c r="AS133" s="277"/>
      <c r="AT133" s="277"/>
      <c r="AU133" s="277"/>
      <c r="AV133" s="277"/>
      <c r="AW133" s="277"/>
      <c r="AX133" s="277"/>
      <c r="AY133" s="277"/>
      <c r="AZ133" s="277"/>
      <c r="BA133" s="277"/>
      <c r="BB133" s="277"/>
      <c r="BC133" s="277"/>
      <c r="BD133" s="277"/>
      <c r="BE133" s="277"/>
      <c r="BF133" s="277"/>
      <c r="BG133" s="277"/>
      <c r="BH133" s="277"/>
      <c r="BI133" s="277"/>
      <c r="BJ133" s="277"/>
      <c r="BK133" s="277"/>
      <c r="BL133" s="277"/>
      <c r="BM133" s="277"/>
      <c r="BN133" s="278"/>
    </row>
    <row r="134" spans="1:66" s="276" customFormat="1" ht="17.25" customHeight="1" thickTop="1">
      <c r="C134" s="595" t="s">
        <v>134</v>
      </c>
      <c r="D134" s="596"/>
      <c r="E134" s="596"/>
      <c r="F134" s="596"/>
      <c r="G134" s="596"/>
      <c r="H134" s="596"/>
      <c r="I134" s="597"/>
      <c r="J134" s="603" cm="1">
        <f t="array" ref="J134">angleConvert2Decimal(M134)</f>
        <v>0.53333333333333333</v>
      </c>
      <c r="K134" s="394"/>
      <c r="L134" s="395"/>
      <c r="M134" s="609" t="str">
        <f>P136</f>
        <v>32'</v>
      </c>
      <c r="N134" s="610"/>
      <c r="O134" s="610"/>
      <c r="P134" s="615" t="s">
        <v>129</v>
      </c>
      <c r="Q134" s="615"/>
      <c r="R134" s="615"/>
      <c r="S134" s="285"/>
      <c r="T134" s="285"/>
      <c r="U134" s="285"/>
      <c r="V134" s="285"/>
      <c r="W134" s="285"/>
      <c r="X134" s="285"/>
      <c r="Y134" s="285"/>
      <c r="AB134" s="349"/>
      <c r="AC134" s="354" t="s">
        <v>356</v>
      </c>
      <c r="AD134" s="308">
        <v>0.5</v>
      </c>
      <c r="AE134" s="308">
        <v>-0.5</v>
      </c>
      <c r="AF134" s="308">
        <v>0</v>
      </c>
      <c r="AG134" s="277"/>
      <c r="AH134" s="277"/>
      <c r="AI134" s="277"/>
      <c r="AJ134" s="277"/>
      <c r="AK134" s="277"/>
      <c r="AL134" s="277"/>
      <c r="AM134" s="277"/>
      <c r="AN134" s="277"/>
      <c r="AO134" s="277"/>
      <c r="AP134" s="277"/>
      <c r="AQ134" s="277"/>
      <c r="AR134" s="277"/>
      <c r="AS134" s="277"/>
      <c r="AT134" s="277"/>
      <c r="AU134" s="277"/>
      <c r="AV134" s="277"/>
      <c r="AW134" s="277"/>
      <c r="AX134" s="277"/>
      <c r="AY134" s="277"/>
      <c r="AZ134" s="277"/>
      <c r="BA134" s="277"/>
      <c r="BB134" s="277"/>
      <c r="BC134" s="277"/>
      <c r="BD134" s="277"/>
      <c r="BE134" s="277"/>
      <c r="BF134" s="277"/>
      <c r="BG134" s="277"/>
      <c r="BH134" s="277"/>
      <c r="BI134" s="277"/>
      <c r="BJ134" s="277"/>
      <c r="BK134" s="277"/>
      <c r="BL134" s="277"/>
      <c r="BM134" s="277"/>
      <c r="BN134" s="278"/>
    </row>
    <row r="135" spans="1:66" s="276" customFormat="1" ht="17.25" customHeight="1" thickBot="1">
      <c r="C135" s="598"/>
      <c r="D135" s="466"/>
      <c r="E135" s="466"/>
      <c r="F135" s="466"/>
      <c r="G135" s="466"/>
      <c r="H135" s="466"/>
      <c r="I135" s="599"/>
      <c r="J135" s="604"/>
      <c r="K135" s="461"/>
      <c r="L135" s="605"/>
      <c r="M135" s="611"/>
      <c r="N135" s="612"/>
      <c r="O135" s="612"/>
      <c r="P135" s="615"/>
      <c r="Q135" s="615"/>
      <c r="R135" s="615"/>
      <c r="S135" s="285"/>
      <c r="T135" s="285"/>
      <c r="U135" s="285"/>
      <c r="V135" s="285"/>
      <c r="W135" s="285"/>
      <c r="X135" s="285"/>
      <c r="Y135" s="285"/>
      <c r="AB135" s="349"/>
      <c r="AC135" s="277"/>
      <c r="AD135" s="277"/>
      <c r="AE135" s="277"/>
      <c r="AF135" s="277"/>
      <c r="AG135" s="277"/>
      <c r="AH135" s="277"/>
      <c r="AI135" s="277"/>
      <c r="AJ135" s="277"/>
      <c r="AK135" s="277"/>
      <c r="AL135" s="277"/>
      <c r="AM135" s="277"/>
      <c r="AN135" s="277"/>
      <c r="AO135" s="277"/>
      <c r="AP135" s="277"/>
      <c r="AQ135" s="277"/>
      <c r="AR135" s="277"/>
      <c r="AS135" s="277"/>
      <c r="AT135" s="277"/>
      <c r="AU135" s="277"/>
      <c r="AV135" s="277"/>
      <c r="AW135" s="277"/>
      <c r="AX135" s="277"/>
      <c r="AY135" s="277"/>
      <c r="AZ135" s="277"/>
      <c r="BA135" s="277"/>
      <c r="BB135" s="277"/>
      <c r="BC135" s="277"/>
      <c r="BD135" s="277"/>
      <c r="BE135" s="277"/>
      <c r="BF135" s="277"/>
      <c r="BG135" s="277"/>
      <c r="BH135" s="277"/>
      <c r="BI135" s="277"/>
      <c r="BJ135" s="277"/>
      <c r="BK135" s="277"/>
      <c r="BL135" s="277"/>
      <c r="BM135" s="277"/>
      <c r="BN135" s="278"/>
    </row>
    <row r="136" spans="1:66" s="276" customFormat="1" ht="17.25" customHeight="1" thickTop="1" thickBot="1">
      <c r="C136" s="598"/>
      <c r="D136" s="466"/>
      <c r="E136" s="466"/>
      <c r="F136" s="466"/>
      <c r="G136" s="466"/>
      <c r="H136" s="466"/>
      <c r="I136" s="599"/>
      <c r="J136" s="604"/>
      <c r="K136" s="461"/>
      <c r="L136" s="605"/>
      <c r="M136" s="611"/>
      <c r="N136" s="612"/>
      <c r="O136" s="612"/>
      <c r="P136" s="584" t="str">
        <f>HLOOKUP(M128,AD129:AF131,3,FALSE)</f>
        <v>32'</v>
      </c>
      <c r="Q136" s="584"/>
      <c r="R136" s="584"/>
      <c r="S136" s="479" t="str" cm="1">
        <f t="array" ref="S136">angleDecimal2Txt(angleConvert2Decimal(P136))</f>
        <v>+00°32.00 (+00.5333) [+00°32'00.00]</v>
      </c>
      <c r="T136" s="479"/>
      <c r="U136" s="479"/>
      <c r="V136" s="479"/>
      <c r="W136" s="479"/>
      <c r="X136" s="480"/>
      <c r="Y136" s="285"/>
      <c r="AB136" s="349"/>
      <c r="AC136" s="277"/>
      <c r="AD136" s="277"/>
      <c r="AE136" s="277"/>
      <c r="AF136" s="277"/>
      <c r="AG136" s="277"/>
      <c r="AH136" s="277"/>
      <c r="AI136" s="277"/>
      <c r="AJ136" s="277"/>
      <c r="AK136" s="277"/>
      <c r="AL136" s="277"/>
      <c r="AM136" s="277"/>
      <c r="AN136" s="277"/>
      <c r="AO136" s="277"/>
      <c r="AP136" s="277"/>
      <c r="AQ136" s="277"/>
      <c r="AR136" s="277"/>
      <c r="AS136" s="277"/>
      <c r="AT136" s="277"/>
      <c r="AU136" s="277"/>
      <c r="AV136" s="277"/>
      <c r="AW136" s="277"/>
      <c r="AX136" s="277"/>
      <c r="AY136" s="277"/>
      <c r="AZ136" s="277"/>
      <c r="BA136" s="277"/>
      <c r="BB136" s="277"/>
      <c r="BC136" s="277"/>
      <c r="BD136" s="277"/>
      <c r="BE136" s="277"/>
      <c r="BF136" s="277"/>
      <c r="BG136" s="277"/>
      <c r="BH136" s="277"/>
      <c r="BI136" s="277"/>
      <c r="BJ136" s="277"/>
      <c r="BK136" s="277"/>
      <c r="BL136" s="277"/>
      <c r="BM136" s="277"/>
      <c r="BN136" s="278"/>
    </row>
    <row r="137" spans="1:66" s="276" customFormat="1" ht="17.25" customHeight="1" thickTop="1" thickBot="1">
      <c r="C137" s="600"/>
      <c r="D137" s="601"/>
      <c r="E137" s="601"/>
      <c r="F137" s="601"/>
      <c r="G137" s="601"/>
      <c r="H137" s="601"/>
      <c r="I137" s="602"/>
      <c r="J137" s="606"/>
      <c r="K137" s="607"/>
      <c r="L137" s="608"/>
      <c r="M137" s="613"/>
      <c r="N137" s="614"/>
      <c r="O137" s="614"/>
      <c r="P137" s="581" t="str" cm="1">
        <f t="array" ref="P137">angleDecimal2Txt(J134)</f>
        <v>+00°32.00 (+00.5333) [+00°32'00.00]</v>
      </c>
      <c r="Q137" s="581"/>
      <c r="R137" s="581"/>
      <c r="S137" s="402"/>
      <c r="T137" s="402"/>
      <c r="U137" s="402"/>
      <c r="V137" s="402"/>
      <c r="W137" s="402"/>
      <c r="X137" s="402"/>
      <c r="Y137" s="285"/>
      <c r="AB137" s="349"/>
      <c r="AC137" s="277"/>
      <c r="AD137" s="277"/>
      <c r="AE137" s="277"/>
      <c r="AF137" s="277"/>
      <c r="AG137" s="277"/>
      <c r="AH137" s="277"/>
      <c r="AI137" s="277"/>
      <c r="AJ137" s="277"/>
      <c r="AK137" s="277"/>
      <c r="AL137" s="277"/>
      <c r="AM137" s="277"/>
      <c r="AN137" s="277"/>
      <c r="AO137" s="277"/>
      <c r="AP137" s="277"/>
      <c r="AQ137" s="277"/>
      <c r="AR137" s="277"/>
      <c r="AS137" s="277"/>
      <c r="AT137" s="277"/>
      <c r="AU137" s="277"/>
      <c r="AV137" s="277"/>
      <c r="AW137" s="277"/>
      <c r="AX137" s="277"/>
      <c r="AY137" s="277"/>
      <c r="AZ137" s="277"/>
      <c r="BA137" s="277"/>
      <c r="BB137" s="277"/>
      <c r="BC137" s="277"/>
      <c r="BD137" s="277"/>
      <c r="BE137" s="277"/>
      <c r="BF137" s="277"/>
      <c r="BG137" s="277"/>
      <c r="BH137" s="277"/>
      <c r="BI137" s="277"/>
      <c r="BJ137" s="277"/>
      <c r="BK137" s="277"/>
      <c r="BL137" s="277"/>
      <c r="BM137" s="277"/>
      <c r="BN137" s="278"/>
    </row>
    <row r="138" spans="1:66" s="276" customFormat="1" ht="17.25" customHeight="1" thickTop="1" thickBot="1">
      <c r="C138" s="285"/>
      <c r="D138" s="285"/>
      <c r="E138" s="285"/>
      <c r="F138" s="285"/>
      <c r="G138" s="285"/>
      <c r="H138" s="285"/>
      <c r="I138" s="285"/>
      <c r="J138" s="285"/>
      <c r="K138" s="285"/>
      <c r="L138" s="285"/>
      <c r="M138" s="285"/>
      <c r="N138" s="285"/>
      <c r="O138" s="285"/>
      <c r="P138" s="285"/>
      <c r="Q138" s="285"/>
      <c r="R138" s="285"/>
      <c r="S138" s="285"/>
      <c r="T138" s="285"/>
      <c r="U138" s="285"/>
      <c r="V138" s="285"/>
      <c r="W138" s="285"/>
      <c r="X138" s="285"/>
      <c r="Y138" s="285"/>
      <c r="AB138" s="349"/>
      <c r="AC138" s="277"/>
      <c r="AD138" s="277"/>
      <c r="AE138" s="277"/>
      <c r="AF138" s="277"/>
      <c r="AG138" s="277"/>
      <c r="AH138" s="277"/>
      <c r="AI138" s="277"/>
      <c r="AJ138" s="277"/>
      <c r="AK138" s="277"/>
      <c r="AL138" s="277"/>
      <c r="AM138" s="277"/>
      <c r="AN138" s="277"/>
      <c r="AO138" s="277"/>
      <c r="AP138" s="277"/>
      <c r="AQ138" s="277"/>
      <c r="AR138" s="277"/>
      <c r="AS138" s="277"/>
      <c r="AT138" s="277"/>
      <c r="AU138" s="277"/>
      <c r="AV138" s="277"/>
      <c r="AW138" s="277"/>
      <c r="AX138" s="277"/>
      <c r="AY138" s="277"/>
      <c r="AZ138" s="277"/>
      <c r="BA138" s="277"/>
      <c r="BB138" s="277"/>
      <c r="BC138" s="277"/>
      <c r="BD138" s="277"/>
      <c r="BE138" s="277"/>
      <c r="BF138" s="277"/>
      <c r="BG138" s="277"/>
      <c r="BH138" s="277"/>
      <c r="BI138" s="277"/>
      <c r="BJ138" s="277"/>
      <c r="BK138" s="277"/>
      <c r="BL138" s="277"/>
      <c r="BM138" s="277"/>
      <c r="BN138" s="278"/>
    </row>
    <row r="139" spans="1:66" s="276" customFormat="1" ht="17.25" customHeight="1" thickBot="1">
      <c r="B139" s="293" t="s">
        <v>381</v>
      </c>
      <c r="C139" s="294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351"/>
      <c r="AC139" s="277"/>
      <c r="AD139" s="277"/>
      <c r="AE139" s="277"/>
      <c r="AF139" s="277"/>
      <c r="AG139" s="277"/>
      <c r="AH139" s="277"/>
      <c r="AI139" s="277"/>
      <c r="AJ139" s="277"/>
      <c r="AK139" s="277"/>
      <c r="AL139" s="277"/>
      <c r="AM139" s="277"/>
      <c r="AN139" s="277"/>
      <c r="AO139" s="277"/>
      <c r="AP139" s="277"/>
      <c r="AQ139" s="277"/>
      <c r="AR139" s="277"/>
      <c r="AS139" s="277"/>
      <c r="AT139" s="277"/>
      <c r="AU139" s="277"/>
      <c r="AV139" s="277"/>
      <c r="AW139" s="277"/>
      <c r="AX139" s="277"/>
      <c r="AY139" s="277"/>
      <c r="AZ139" s="277"/>
      <c r="BA139" s="277"/>
      <c r="BB139" s="277"/>
      <c r="BC139" s="277"/>
      <c r="BD139" s="277"/>
      <c r="BE139" s="277"/>
      <c r="BF139" s="277"/>
      <c r="BG139" s="277"/>
      <c r="BH139" s="277"/>
      <c r="BI139" s="277"/>
      <c r="BJ139" s="277"/>
      <c r="BK139" s="277"/>
      <c r="BL139" s="277"/>
      <c r="BM139" s="277"/>
      <c r="BN139" s="278"/>
    </row>
    <row r="140" spans="1:66" s="276" customFormat="1" ht="17.25" customHeight="1">
      <c r="C140" s="285"/>
      <c r="D140" s="285"/>
      <c r="E140" s="686" t="s">
        <v>7</v>
      </c>
      <c r="F140" s="686"/>
      <c r="G140" s="686"/>
      <c r="H140" s="686"/>
      <c r="I140" s="285"/>
      <c r="J140" s="285"/>
      <c r="K140" s="285"/>
      <c r="L140" s="285"/>
      <c r="M140" s="285"/>
      <c r="N140" s="285"/>
      <c r="O140" s="285"/>
      <c r="P140" s="285"/>
      <c r="Q140" s="285"/>
      <c r="R140" s="285"/>
      <c r="S140" s="285"/>
      <c r="T140" s="285"/>
      <c r="U140" s="285"/>
      <c r="V140" s="285"/>
      <c r="AB140" s="349"/>
      <c r="AC140" s="277"/>
      <c r="AD140" s="277"/>
      <c r="AE140" s="277"/>
      <c r="AF140" s="277"/>
      <c r="AG140" s="277"/>
      <c r="AH140" s="277"/>
      <c r="AI140" s="277"/>
      <c r="AJ140" s="277"/>
      <c r="AK140" s="277"/>
      <c r="AL140" s="277"/>
      <c r="AM140" s="277"/>
      <c r="AN140" s="277"/>
      <c r="AO140" s="277"/>
      <c r="AP140" s="277"/>
      <c r="AQ140" s="277"/>
      <c r="AR140" s="277"/>
      <c r="AS140" s="277"/>
      <c r="AT140" s="277"/>
      <c r="AU140" s="277"/>
      <c r="AV140" s="277"/>
      <c r="AW140" s="277"/>
      <c r="AX140" s="277"/>
      <c r="AY140" s="277"/>
      <c r="AZ140" s="277"/>
      <c r="BA140" s="277"/>
      <c r="BB140" s="277"/>
      <c r="BC140" s="277"/>
      <c r="BD140" s="277"/>
      <c r="BE140" s="277"/>
      <c r="BF140" s="277"/>
      <c r="BG140" s="277"/>
      <c r="BH140" s="277"/>
      <c r="BI140" s="277"/>
      <c r="BJ140" s="277"/>
      <c r="BK140" s="277"/>
      <c r="BL140" s="277"/>
      <c r="BM140" s="277"/>
      <c r="BN140" s="278"/>
    </row>
    <row r="141" spans="1:66" s="276" customFormat="1" ht="17.25" customHeight="1">
      <c r="C141" s="285"/>
      <c r="D141" s="285"/>
      <c r="E141" s="686"/>
      <c r="F141" s="686"/>
      <c r="G141" s="686"/>
      <c r="H141" s="686"/>
      <c r="I141" s="277"/>
      <c r="J141" s="277"/>
      <c r="K141" s="277"/>
      <c r="L141" s="277"/>
      <c r="M141" s="277"/>
      <c r="N141" s="277"/>
      <c r="O141" s="277"/>
      <c r="P141" s="277"/>
      <c r="Q141" s="277"/>
      <c r="R141" s="277"/>
      <c r="S141" s="277"/>
      <c r="T141" s="277"/>
      <c r="U141" s="277"/>
      <c r="V141" s="277"/>
      <c r="W141" s="277"/>
      <c r="X141" s="277"/>
      <c r="AB141" s="349"/>
      <c r="AC141" s="277"/>
      <c r="AD141" s="277"/>
      <c r="AE141" s="277"/>
      <c r="AF141" s="277"/>
      <c r="AG141" s="277"/>
      <c r="AH141" s="277"/>
      <c r="AI141" s="277"/>
      <c r="AJ141" s="277"/>
      <c r="AK141" s="277"/>
      <c r="AL141" s="277"/>
      <c r="AM141" s="277"/>
      <c r="AN141" s="277"/>
      <c r="AO141" s="277"/>
      <c r="AP141" s="277"/>
      <c r="AQ141" s="277"/>
      <c r="AR141" s="277"/>
      <c r="AS141" s="277"/>
      <c r="AT141" s="277"/>
      <c r="AU141" s="277"/>
      <c r="AV141" s="277"/>
      <c r="AW141" s="277"/>
      <c r="AX141" s="277"/>
      <c r="AY141" s="277"/>
      <c r="AZ141" s="277"/>
      <c r="BA141" s="277"/>
      <c r="BB141" s="277"/>
      <c r="BC141" s="277"/>
      <c r="BD141" s="277"/>
      <c r="BE141" s="277"/>
      <c r="BF141" s="277"/>
      <c r="BG141" s="277"/>
      <c r="BH141" s="277"/>
      <c r="BI141" s="277"/>
      <c r="BJ141" s="277"/>
      <c r="BK141" s="277"/>
      <c r="BL141" s="277"/>
      <c r="BM141" s="277"/>
      <c r="BN141" s="278"/>
    </row>
    <row r="142" spans="1:66" s="276" customFormat="1" ht="17.25" customHeight="1">
      <c r="A142" s="277"/>
      <c r="B142" s="277"/>
      <c r="C142" s="277"/>
      <c r="D142" s="285"/>
      <c r="E142" s="285"/>
      <c r="F142" s="741">
        <f>F36</f>
        <v>46.1</v>
      </c>
      <c r="G142" s="742"/>
      <c r="H142" s="742"/>
      <c r="I142" s="277"/>
      <c r="J142" s="277"/>
      <c r="K142" s="277"/>
      <c r="L142" s="277"/>
      <c r="M142" s="277"/>
      <c r="N142" s="277"/>
      <c r="O142" s="277"/>
      <c r="P142" s="277"/>
      <c r="Q142" s="277"/>
      <c r="R142" s="277"/>
      <c r="S142" s="277"/>
      <c r="T142" s="277"/>
      <c r="U142" s="277"/>
      <c r="V142" s="277"/>
      <c r="W142" s="277"/>
      <c r="X142" s="277"/>
      <c r="Y142" s="285"/>
      <c r="Z142" s="285"/>
      <c r="AB142" s="349"/>
      <c r="AC142" s="277"/>
      <c r="AD142" s="277"/>
      <c r="AE142" s="277"/>
      <c r="AF142" s="277"/>
      <c r="AG142" s="277"/>
      <c r="AH142" s="277"/>
      <c r="AI142" s="277"/>
      <c r="AJ142" s="277"/>
      <c r="AK142" s="277"/>
      <c r="AL142" s="277"/>
      <c r="AM142" s="277"/>
      <c r="AN142" s="277"/>
      <c r="AO142" s="277"/>
      <c r="AP142" s="277"/>
      <c r="AQ142" s="277"/>
      <c r="AR142" s="277"/>
      <c r="AS142" s="277"/>
      <c r="AT142" s="277"/>
      <c r="AU142" s="277"/>
      <c r="AV142" s="277"/>
      <c r="AW142" s="277"/>
      <c r="AX142" s="277"/>
      <c r="AY142" s="277"/>
      <c r="AZ142" s="277"/>
      <c r="BA142" s="277"/>
      <c r="BB142" s="277"/>
      <c r="BC142" s="277"/>
      <c r="BD142" s="277"/>
      <c r="BE142" s="277"/>
      <c r="BF142" s="277"/>
      <c r="BG142" s="277"/>
      <c r="BH142" s="277"/>
      <c r="BI142" s="277"/>
      <c r="BJ142" s="277"/>
      <c r="BK142" s="277"/>
      <c r="BL142" s="277"/>
      <c r="BM142" s="277"/>
      <c r="BN142" s="286"/>
    </row>
    <row r="143" spans="1:66" s="276" customFormat="1" ht="17.25" customHeight="1">
      <c r="A143" s="277"/>
      <c r="B143" s="277"/>
      <c r="C143" s="277"/>
      <c r="D143" s="285"/>
      <c r="E143" s="285"/>
      <c r="F143" s="742"/>
      <c r="G143" s="742"/>
      <c r="H143" s="742"/>
      <c r="I143" s="277"/>
      <c r="J143" s="277"/>
      <c r="K143" s="277"/>
      <c r="L143" s="277"/>
      <c r="M143" s="277"/>
      <c r="N143" s="277"/>
      <c r="O143" s="277"/>
      <c r="P143" s="277"/>
      <c r="Q143" s="277"/>
      <c r="R143" s="277"/>
      <c r="S143" s="277"/>
      <c r="T143" s="277"/>
      <c r="U143" s="277"/>
      <c r="V143" s="277"/>
      <c r="W143" s="277"/>
      <c r="X143" s="277"/>
      <c r="Y143" s="285"/>
      <c r="Z143" s="285"/>
      <c r="AB143" s="349"/>
      <c r="AC143" s="277"/>
      <c r="AD143" s="277"/>
      <c r="AE143" s="277"/>
      <c r="AF143" s="277"/>
      <c r="AG143" s="277"/>
      <c r="AH143" s="277"/>
      <c r="AI143" s="277"/>
      <c r="AJ143" s="277"/>
      <c r="AK143" s="277"/>
      <c r="AL143" s="277"/>
      <c r="AM143" s="277"/>
      <c r="AN143" s="277"/>
      <c r="AO143" s="277"/>
      <c r="AP143" s="277"/>
      <c r="AQ143" s="277"/>
      <c r="AR143" s="277"/>
      <c r="AS143" s="277"/>
      <c r="AT143" s="277"/>
      <c r="AU143" s="277"/>
      <c r="AV143" s="277"/>
      <c r="AW143" s="277"/>
      <c r="AX143" s="277"/>
      <c r="AY143" s="277"/>
      <c r="AZ143" s="277"/>
      <c r="BA143" s="277"/>
      <c r="BB143" s="277"/>
      <c r="BC143" s="277"/>
      <c r="BD143" s="277"/>
      <c r="BE143" s="277"/>
      <c r="BF143" s="277"/>
      <c r="BG143" s="277"/>
      <c r="BH143" s="277"/>
      <c r="BI143" s="277"/>
      <c r="BJ143" s="277"/>
      <c r="BK143" s="277"/>
      <c r="BL143" s="277"/>
      <c r="BM143" s="277"/>
      <c r="BN143" s="286"/>
    </row>
    <row r="144" spans="1:66" s="276" customFormat="1" ht="17.25" customHeight="1">
      <c r="A144" s="277"/>
      <c r="B144" s="277"/>
      <c r="C144" s="277"/>
      <c r="D144" s="285"/>
      <c r="E144" s="285"/>
      <c r="F144" s="285"/>
      <c r="G144" s="285"/>
      <c r="H144" s="285"/>
      <c r="AB144" s="349"/>
      <c r="AC144" s="277"/>
      <c r="AD144" s="277"/>
      <c r="AE144" s="277"/>
      <c r="AF144" s="277"/>
      <c r="AG144" s="277"/>
      <c r="AH144" s="277"/>
      <c r="AI144" s="277"/>
      <c r="AJ144" s="277"/>
      <c r="AK144" s="277"/>
      <c r="AL144" s="277"/>
      <c r="AM144" s="277"/>
      <c r="AN144" s="277"/>
      <c r="AO144" s="277"/>
      <c r="AP144" s="277"/>
      <c r="AQ144" s="277"/>
      <c r="AR144" s="277"/>
      <c r="AS144" s="277"/>
      <c r="AT144" s="277"/>
      <c r="AU144" s="277"/>
      <c r="AV144" s="277"/>
      <c r="AW144" s="277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86"/>
    </row>
    <row r="145" spans="2:66" s="276" customFormat="1" ht="17.25" customHeight="1" thickBot="1">
      <c r="C145" s="279"/>
      <c r="D145" s="279"/>
      <c r="E145" s="279"/>
      <c r="F145" s="279"/>
      <c r="G145" s="279"/>
      <c r="AB145" s="349"/>
      <c r="AC145" s="277"/>
      <c r="AD145" s="277"/>
      <c r="AE145" s="277"/>
      <c r="AF145" s="277"/>
      <c r="AG145" s="277"/>
      <c r="AH145" s="277"/>
      <c r="AI145" s="277"/>
      <c r="AJ145" s="277"/>
      <c r="AK145" s="277"/>
      <c r="AL145" s="277"/>
      <c r="AM145" s="277"/>
      <c r="AN145" s="277"/>
      <c r="AO145" s="277"/>
      <c r="AP145" s="277"/>
      <c r="AQ145" s="277"/>
      <c r="AR145" s="277"/>
      <c r="AS145" s="277"/>
      <c r="AT145" s="277"/>
      <c r="AU145" s="277"/>
      <c r="AV145" s="277"/>
      <c r="AW145" s="277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</row>
    <row r="146" spans="2:66" s="276" customFormat="1" ht="17.25" customHeight="1" thickBot="1">
      <c r="B146" s="293" t="s">
        <v>9</v>
      </c>
      <c r="C146" s="294"/>
      <c r="D146" s="294"/>
      <c r="E146" s="294"/>
      <c r="F146" s="468">
        <f>IF(G147=AD147,F151,F159)</f>
        <v>23.13413311648976</v>
      </c>
      <c r="G146" s="468"/>
      <c r="H146" s="468"/>
      <c r="I146" s="294"/>
      <c r="J146" s="294"/>
      <c r="K146" s="294" t="str" cm="1">
        <f t="array" ref="K146">angleDecimal2Txt(F146)</f>
        <v>+23°08.04 (+23.1341) [+23°08'02.87]</v>
      </c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351"/>
      <c r="AC146" s="277"/>
      <c r="AD146" s="277"/>
      <c r="AE146" s="277"/>
      <c r="AF146" s="277"/>
      <c r="AG146" s="277"/>
      <c r="AH146" s="277"/>
      <c r="AI146" s="277"/>
      <c r="AJ146" s="277"/>
      <c r="AK146" s="277"/>
      <c r="AL146" s="277"/>
      <c r="AM146" s="277"/>
      <c r="AN146" s="277"/>
      <c r="AO146" s="277"/>
      <c r="AP146" s="277"/>
      <c r="AQ146" s="277"/>
      <c r="AR146" s="277"/>
      <c r="AS146" s="277"/>
      <c r="AT146" s="277"/>
      <c r="AU146" s="277"/>
      <c r="AV146" s="277"/>
      <c r="AW146" s="277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</row>
    <row r="147" spans="2:66" s="309" customFormat="1" ht="17.25" customHeight="1">
      <c r="C147" s="466" t="s">
        <v>42</v>
      </c>
      <c r="D147" s="466"/>
      <c r="E147" s="466"/>
      <c r="F147" s="466"/>
      <c r="G147" s="470" t="s">
        <v>10</v>
      </c>
      <c r="H147" s="470"/>
      <c r="I147" s="470"/>
      <c r="AB147" s="360"/>
      <c r="AC147" s="889" t="s">
        <v>43</v>
      </c>
      <c r="AD147" s="304" t="s">
        <v>10</v>
      </c>
      <c r="AE147" s="277"/>
      <c r="AH147" s="277"/>
      <c r="AI147" s="277"/>
      <c r="AJ147" s="277"/>
      <c r="AK147" s="277"/>
      <c r="AL147" s="277"/>
      <c r="AM147" s="277"/>
      <c r="AN147" s="277"/>
      <c r="AO147" s="277"/>
      <c r="AP147" s="277"/>
      <c r="AQ147" s="277"/>
      <c r="AR147" s="277"/>
      <c r="AS147" s="277"/>
      <c r="AT147" s="277"/>
      <c r="AU147" s="277"/>
      <c r="AV147" s="277"/>
      <c r="AW147" s="277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</row>
    <row r="148" spans="2:66" s="276" customFormat="1" ht="17.25" customHeight="1">
      <c r="C148" s="310" t="s">
        <v>10</v>
      </c>
      <c r="D148" s="310"/>
      <c r="E148" s="311"/>
      <c r="F148" s="311"/>
      <c r="G148" s="285"/>
      <c r="H148" s="285"/>
      <c r="I148" s="285"/>
      <c r="AB148" s="349"/>
      <c r="AC148" s="889"/>
      <c r="AD148" s="304" t="s">
        <v>16</v>
      </c>
      <c r="AE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</row>
    <row r="149" spans="2:66" s="276" customFormat="1" ht="17.25" customHeight="1">
      <c r="C149" s="279"/>
      <c r="D149" s="279"/>
      <c r="E149" s="279"/>
      <c r="F149" s="476" t="s">
        <v>9</v>
      </c>
      <c r="G149" s="476"/>
      <c r="H149" s="476"/>
      <c r="I149" s="434" t="s">
        <v>12</v>
      </c>
      <c r="J149" s="435"/>
      <c r="K149" s="435"/>
      <c r="L149" s="436"/>
      <c r="M149" s="469" t="s">
        <v>13</v>
      </c>
      <c r="N149" s="469"/>
      <c r="O149" s="469"/>
      <c r="P149" s="478" t="s">
        <v>17</v>
      </c>
      <c r="Q149" s="478"/>
      <c r="R149" s="478"/>
      <c r="S149" s="478"/>
      <c r="T149" s="478"/>
      <c r="U149" s="285"/>
      <c r="AB149" s="349"/>
      <c r="AC149" s="277"/>
      <c r="AD149" s="157" t="s">
        <v>101</v>
      </c>
      <c r="AE149" s="6" t="s">
        <v>347</v>
      </c>
      <c r="AF149" s="277"/>
      <c r="AG149" s="277"/>
      <c r="AH149" s="277"/>
      <c r="AI149" s="277"/>
      <c r="AJ149" s="277"/>
      <c r="AK149" s="277"/>
      <c r="AL149" s="277"/>
      <c r="AM149" s="277"/>
      <c r="AN149" s="277"/>
      <c r="AO149" s="277"/>
      <c r="AP149" s="277"/>
      <c r="AQ149" s="277"/>
      <c r="AR149" s="277"/>
      <c r="AS149" s="277"/>
      <c r="AT149" s="277"/>
      <c r="AU149" s="277"/>
      <c r="AV149" s="277"/>
      <c r="AW149" s="277"/>
      <c r="AX149" s="277"/>
      <c r="AY149" s="277"/>
      <c r="AZ149" s="277"/>
      <c r="BA149" s="277"/>
      <c r="BB149" s="277"/>
      <c r="BC149" s="277"/>
      <c r="BD149" s="277"/>
      <c r="BE149" s="277"/>
      <c r="BF149" s="277"/>
      <c r="BG149" s="277"/>
      <c r="BH149" s="277"/>
      <c r="BI149" s="277"/>
      <c r="BJ149" s="277"/>
      <c r="BK149" s="277"/>
      <c r="BL149" s="277"/>
      <c r="BM149" s="277"/>
      <c r="BN149" s="278"/>
    </row>
    <row r="150" spans="2:66" s="276" customFormat="1" ht="17.25" customHeight="1" thickBot="1">
      <c r="C150" s="279"/>
      <c r="D150" s="279"/>
      <c r="E150" s="279"/>
      <c r="F150" s="476"/>
      <c r="G150" s="476"/>
      <c r="H150" s="476"/>
      <c r="I150" s="437"/>
      <c r="J150" s="438"/>
      <c r="K150" s="438"/>
      <c r="L150" s="439"/>
      <c r="M150" s="469"/>
      <c r="N150" s="469"/>
      <c r="O150" s="469"/>
      <c r="P150" s="478"/>
      <c r="Q150" s="478"/>
      <c r="R150" s="478"/>
      <c r="S150" s="478"/>
      <c r="T150" s="478"/>
      <c r="U150" s="285"/>
      <c r="AB150" s="349"/>
      <c r="AC150" s="263" t="s">
        <v>338</v>
      </c>
      <c r="AD150" s="6">
        <f>VLOOKUP(P151,Outils!C15:E16,3)</f>
        <v>1</v>
      </c>
      <c r="AE150" s="6" cm="1">
        <f t="array" ref="AE150">AD150*angleConvert2Decimal(Q151)</f>
        <v>23.135000000000002</v>
      </c>
      <c r="AF150" s="277"/>
      <c r="AG150" s="277"/>
      <c r="AH150" s="277"/>
      <c r="AI150" s="277"/>
      <c r="AJ150" s="277"/>
      <c r="AK150" s="277"/>
      <c r="AL150" s="277"/>
      <c r="AM150" s="277"/>
      <c r="AN150" s="277"/>
      <c r="AO150" s="277"/>
      <c r="AP150" s="277"/>
      <c r="AQ150" s="277"/>
      <c r="AR150" s="277"/>
      <c r="AS150" s="277"/>
      <c r="AT150" s="277"/>
      <c r="AU150" s="277"/>
      <c r="AV150" s="277"/>
      <c r="AW150" s="277"/>
      <c r="AX150" s="277"/>
      <c r="AY150" s="277"/>
      <c r="AZ150" s="277"/>
      <c r="BA150" s="277"/>
      <c r="BB150" s="277"/>
      <c r="BC150" s="277"/>
      <c r="BD150" s="277"/>
      <c r="BE150" s="277"/>
      <c r="BF150" s="277"/>
      <c r="BG150" s="277"/>
      <c r="BH150" s="277"/>
      <c r="BI150" s="277"/>
      <c r="BJ150" s="277"/>
      <c r="BK150" s="277"/>
      <c r="BL150" s="277"/>
      <c r="BM150" s="277"/>
      <c r="BN150" s="278"/>
    </row>
    <row r="151" spans="2:66" s="276" customFormat="1" ht="17.25" customHeight="1" thickTop="1" thickBot="1">
      <c r="C151" s="279"/>
      <c r="D151" s="279"/>
      <c r="F151" s="555">
        <f>IF(G147=AD148,"---",AD155)</f>
        <v>23.13413311648976</v>
      </c>
      <c r="G151" s="555"/>
      <c r="H151" s="555"/>
      <c r="I151" s="546">
        <f>E117</f>
        <v>12.520130106144013</v>
      </c>
      <c r="J151" s="547"/>
      <c r="K151" s="547"/>
      <c r="L151" s="548"/>
      <c r="M151" s="658">
        <v>12</v>
      </c>
      <c r="N151" s="474"/>
      <c r="O151" s="474"/>
      <c r="P151" s="474" t="s">
        <v>3</v>
      </c>
      <c r="Q151" s="585" t="s">
        <v>507</v>
      </c>
      <c r="R151" s="656"/>
      <c r="S151" s="656"/>
      <c r="T151" s="656"/>
      <c r="U151" s="400" t="str" cm="1">
        <f t="array" ref="U151">angleDecimal2Txt(AE150)</f>
        <v>+23°08.09 (+23.1350) [+23°08'06.00]</v>
      </c>
      <c r="V151" s="577"/>
      <c r="W151" s="577"/>
      <c r="X151" s="577"/>
      <c r="Y151" s="577"/>
      <c r="AB151" s="349"/>
      <c r="AC151" s="263" t="s">
        <v>339</v>
      </c>
      <c r="AD151" s="6">
        <f>VLOOKUP(P153,Outils!C15:E16,3)</f>
        <v>1</v>
      </c>
      <c r="AE151" s="6" cm="1">
        <f t="array" ref="AE151">AD151*angleConvert2Decimal(Q153)</f>
        <v>23.133333333333333</v>
      </c>
      <c r="AF151" s="277"/>
      <c r="AG151" s="277"/>
      <c r="AH151" s="277"/>
      <c r="AI151" s="277"/>
      <c r="AJ151" s="277"/>
      <c r="AK151" s="277"/>
      <c r="AL151" s="277"/>
      <c r="AM151" s="277"/>
      <c r="AN151" s="277"/>
      <c r="AO151" s="277"/>
      <c r="AP151" s="277"/>
      <c r="AQ151" s="277"/>
      <c r="AR151" s="277"/>
      <c r="AS151" s="277"/>
      <c r="AT151" s="277"/>
      <c r="AU151" s="277"/>
      <c r="AV151" s="277"/>
      <c r="AW151" s="277"/>
      <c r="AX151" s="277"/>
      <c r="AY151" s="277"/>
      <c r="AZ151" s="277"/>
      <c r="BA151" s="277"/>
      <c r="BB151" s="277"/>
      <c r="BC151" s="277"/>
      <c r="BD151" s="277"/>
      <c r="BE151" s="277"/>
      <c r="BF151" s="277"/>
      <c r="BG151" s="277"/>
      <c r="BH151" s="277"/>
      <c r="BI151" s="277"/>
      <c r="BJ151" s="277"/>
      <c r="BK151" s="277"/>
      <c r="BL151" s="277"/>
      <c r="BM151" s="277"/>
      <c r="BN151" s="278"/>
    </row>
    <row r="152" spans="2:66" s="276" customFormat="1" ht="17.25" customHeight="1" thickTop="1" thickBot="1">
      <c r="C152" s="279"/>
      <c r="D152" s="279"/>
      <c r="E152" s="279"/>
      <c r="F152" s="556"/>
      <c r="G152" s="556"/>
      <c r="H152" s="556"/>
      <c r="I152" s="484"/>
      <c r="J152" s="549"/>
      <c r="K152" s="549"/>
      <c r="L152" s="550"/>
      <c r="M152" s="659"/>
      <c r="N152" s="475"/>
      <c r="O152" s="475"/>
      <c r="P152" s="475"/>
      <c r="Q152" s="657"/>
      <c r="R152" s="657"/>
      <c r="S152" s="657"/>
      <c r="T152" s="657"/>
      <c r="U152" s="577"/>
      <c r="V152" s="577"/>
      <c r="W152" s="577"/>
      <c r="X152" s="577"/>
      <c r="Y152" s="577"/>
      <c r="AB152" s="349"/>
      <c r="AC152" s="263" t="s">
        <v>45</v>
      </c>
      <c r="AD152" s="8">
        <f>AE151-AE150</f>
        <v>-1.6666666666687036E-3</v>
      </c>
      <c r="AE152" s="277"/>
      <c r="AF152" s="277"/>
      <c r="AG152" s="277"/>
      <c r="AH152" s="277"/>
      <c r="AI152" s="277"/>
      <c r="AJ152" s="277"/>
      <c r="AK152" s="277"/>
      <c r="AL152" s="277"/>
      <c r="AM152" s="277"/>
      <c r="AN152" s="277"/>
      <c r="AO152" s="277"/>
      <c r="AP152" s="277"/>
      <c r="AQ152" s="277"/>
      <c r="AR152" s="277"/>
      <c r="AS152" s="277"/>
      <c r="AT152" s="277"/>
      <c r="AU152" s="277"/>
      <c r="AV152" s="277"/>
      <c r="AW152" s="277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</row>
    <row r="153" spans="2:66" s="276" customFormat="1" ht="17.25" customHeight="1" thickTop="1" thickBot="1">
      <c r="C153" s="279"/>
      <c r="D153" s="279"/>
      <c r="E153" s="279"/>
      <c r="F153" s="556"/>
      <c r="G153" s="556"/>
      <c r="H153" s="556"/>
      <c r="I153" s="484"/>
      <c r="J153" s="549"/>
      <c r="K153" s="549"/>
      <c r="L153" s="550"/>
      <c r="M153" s="659">
        <v>13</v>
      </c>
      <c r="N153" s="475"/>
      <c r="O153" s="475"/>
      <c r="P153" s="475" t="s">
        <v>3</v>
      </c>
      <c r="Q153" s="663" t="s">
        <v>512</v>
      </c>
      <c r="R153" s="657"/>
      <c r="S153" s="657"/>
      <c r="T153" s="657"/>
      <c r="U153" s="400" t="str" cm="1">
        <f t="array" ref="U153">angleDecimal2Txt((AE151))</f>
        <v>+23°08.00 (+23.1333) [+23°08'00.00]</v>
      </c>
      <c r="V153" s="577"/>
      <c r="W153" s="577"/>
      <c r="X153" s="577"/>
      <c r="Y153" s="577"/>
      <c r="AB153" s="349"/>
      <c r="AC153" s="263" t="s">
        <v>341</v>
      </c>
      <c r="AD153" s="8">
        <f>M153-M151</f>
        <v>1</v>
      </c>
      <c r="AI153" s="277"/>
      <c r="AJ153" s="277"/>
      <c r="AK153" s="277"/>
      <c r="AL153" s="277"/>
      <c r="AM153" s="277"/>
      <c r="AN153" s="277"/>
      <c r="AO153" s="277"/>
      <c r="AP153" s="277"/>
      <c r="AQ153" s="277"/>
      <c r="AR153" s="277"/>
      <c r="AS153" s="277"/>
      <c r="AT153" s="277"/>
      <c r="AU153" s="277"/>
      <c r="AV153" s="277"/>
      <c r="AW153" s="277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</row>
    <row r="154" spans="2:66" s="276" customFormat="1" ht="17.25" customHeight="1" thickTop="1" thickBot="1">
      <c r="C154" s="279"/>
      <c r="D154" s="279"/>
      <c r="E154" s="279"/>
      <c r="F154" s="556"/>
      <c r="G154" s="556"/>
      <c r="H154" s="556"/>
      <c r="I154" s="644"/>
      <c r="J154" s="730"/>
      <c r="K154" s="730"/>
      <c r="L154" s="645"/>
      <c r="M154" s="659"/>
      <c r="N154" s="475"/>
      <c r="O154" s="475"/>
      <c r="P154" s="475"/>
      <c r="Q154" s="657"/>
      <c r="R154" s="657"/>
      <c r="S154" s="657"/>
      <c r="T154" s="657"/>
      <c r="U154" s="577"/>
      <c r="V154" s="577"/>
      <c r="W154" s="577"/>
      <c r="X154" s="577"/>
      <c r="Y154" s="577"/>
      <c r="AB154" s="349"/>
      <c r="AC154" s="263" t="s">
        <v>46</v>
      </c>
      <c r="AD154" s="8">
        <f>I151-M151</f>
        <v>0.52013010614401267</v>
      </c>
      <c r="AE154" s="277"/>
      <c r="AF154" s="277"/>
      <c r="AG154" s="277"/>
      <c r="AH154" s="277"/>
      <c r="AI154" s="302"/>
      <c r="AJ154" s="277"/>
      <c r="AK154" s="277"/>
      <c r="AL154" s="277"/>
      <c r="AM154" s="277"/>
      <c r="AN154" s="277"/>
      <c r="AO154" s="277"/>
      <c r="AP154" s="277"/>
      <c r="AQ154" s="277"/>
      <c r="AR154" s="277"/>
      <c r="AS154" s="277"/>
      <c r="AT154" s="277"/>
      <c r="AU154" s="277"/>
      <c r="AV154" s="277"/>
      <c r="AW154" s="277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</row>
    <row r="155" spans="2:66" s="276" customFormat="1" ht="17.25" customHeight="1" thickTop="1" thickBot="1">
      <c r="C155" s="279"/>
      <c r="D155" s="279"/>
      <c r="E155" s="279"/>
      <c r="F155" s="402" t="str" cm="1">
        <f t="array" ref="F155">angleDecimal2Txt(F151)</f>
        <v>+23°08.04 (+23.1341) [+23°08'02.87]</v>
      </c>
      <c r="G155" s="402"/>
      <c r="H155" s="402"/>
      <c r="I155" s="581"/>
      <c r="J155" s="581"/>
      <c r="K155" s="581"/>
      <c r="AA155" s="285"/>
      <c r="AB155" s="349"/>
      <c r="AC155" s="263" t="s">
        <v>44</v>
      </c>
      <c r="AD155" s="6">
        <f>AE150+(AD152/AD153)*AD154</f>
        <v>23.13413311648976</v>
      </c>
      <c r="AE155" s="277"/>
      <c r="AF155" s="277"/>
      <c r="AG155" s="277"/>
      <c r="AH155" s="277"/>
      <c r="AI155" s="277"/>
      <c r="AJ155" s="277"/>
      <c r="AK155" s="277"/>
      <c r="AL155" s="277"/>
      <c r="AM155" s="277"/>
      <c r="AN155" s="277"/>
      <c r="AO155" s="277"/>
      <c r="AP155" s="277"/>
      <c r="AQ155" s="277"/>
      <c r="AR155" s="277"/>
      <c r="AS155" s="277"/>
      <c r="AT155" s="277"/>
      <c r="AU155" s="277"/>
      <c r="AV155" s="277"/>
      <c r="AW155" s="277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</row>
    <row r="156" spans="2:66" s="276" customFormat="1" ht="17.25" customHeight="1" thickTop="1">
      <c r="C156" s="310" t="s">
        <v>16</v>
      </c>
      <c r="D156" s="310"/>
      <c r="E156" s="311"/>
      <c r="F156" s="311"/>
      <c r="G156" s="285"/>
      <c r="H156" s="285"/>
      <c r="I156" s="285"/>
      <c r="AA156" s="285"/>
      <c r="AB156" s="349"/>
      <c r="AC156" s="277"/>
      <c r="AD156" s="277"/>
      <c r="AE156" s="277"/>
      <c r="AF156" s="277"/>
      <c r="AG156" s="277"/>
      <c r="AH156" s="277"/>
      <c r="AI156" s="277"/>
      <c r="AJ156" s="277"/>
      <c r="AK156" s="277"/>
      <c r="AL156" s="277"/>
      <c r="AM156" s="277"/>
      <c r="AN156" s="277"/>
      <c r="AO156" s="277"/>
      <c r="AP156" s="277"/>
      <c r="AQ156" s="277"/>
      <c r="AR156" s="277"/>
      <c r="AS156" s="277"/>
      <c r="AT156" s="277"/>
      <c r="AU156" s="277"/>
      <c r="AV156" s="277"/>
      <c r="AW156" s="277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</row>
    <row r="157" spans="2:66" s="276" customFormat="1" ht="17.25" customHeight="1">
      <c r="C157" s="285"/>
      <c r="D157" s="285"/>
      <c r="E157" s="285"/>
      <c r="F157" s="476" t="s">
        <v>9</v>
      </c>
      <c r="G157" s="476"/>
      <c r="H157" s="476"/>
      <c r="I157" s="434" t="s">
        <v>12</v>
      </c>
      <c r="J157" s="435"/>
      <c r="K157" s="435"/>
      <c r="L157" s="436"/>
      <c r="M157" s="469" t="s">
        <v>13</v>
      </c>
      <c r="N157" s="469"/>
      <c r="O157" s="469"/>
      <c r="P157" s="478" t="s">
        <v>18</v>
      </c>
      <c r="Q157" s="478"/>
      <c r="R157" s="478"/>
      <c r="S157" s="478"/>
      <c r="T157" s="478"/>
      <c r="U157" s="478" t="s">
        <v>235</v>
      </c>
      <c r="V157" s="478"/>
      <c r="W157" s="478"/>
      <c r="X157" s="478"/>
      <c r="Y157" s="478"/>
      <c r="AA157" s="285"/>
      <c r="AB157" s="349"/>
      <c r="AC157" s="263" t="s">
        <v>342</v>
      </c>
      <c r="AD157" s="6">
        <f>VLOOKUP(P159,Outils!C15:E16,3)</f>
        <v>-1</v>
      </c>
      <c r="AE157" s="277"/>
      <c r="AF157" s="277"/>
      <c r="AG157" s="277"/>
      <c r="AH157" s="277"/>
      <c r="AI157" s="277"/>
      <c r="AJ157" s="277"/>
      <c r="AK157" s="277"/>
      <c r="AL157" s="277"/>
      <c r="AM157" s="277"/>
      <c r="AN157" s="277"/>
      <c r="AO157" s="277"/>
      <c r="AP157" s="277"/>
      <c r="AQ157" s="277"/>
      <c r="AR157" s="277"/>
      <c r="AS157" s="277"/>
      <c r="AT157" s="277"/>
      <c r="AU157" s="277"/>
      <c r="AV157" s="277"/>
      <c r="AW157" s="277"/>
      <c r="AX157" s="277"/>
      <c r="AY157" s="277"/>
      <c r="AZ157" s="277"/>
      <c r="BA157" s="277"/>
      <c r="BB157" s="277"/>
      <c r="BC157" s="277"/>
      <c r="BD157" s="277"/>
      <c r="BE157" s="277"/>
      <c r="BF157" s="277"/>
      <c r="BG157" s="277"/>
      <c r="BH157" s="277"/>
      <c r="BI157" s="277"/>
      <c r="BJ157" s="277"/>
      <c r="BK157" s="277"/>
      <c r="BL157" s="277"/>
      <c r="BM157" s="277"/>
      <c r="BN157" s="278"/>
    </row>
    <row r="158" spans="2:66" s="276" customFormat="1" ht="17.25" customHeight="1">
      <c r="C158" s="279"/>
      <c r="D158" s="279"/>
      <c r="E158" s="279"/>
      <c r="F158" s="476"/>
      <c r="G158" s="476"/>
      <c r="H158" s="476"/>
      <c r="I158" s="437"/>
      <c r="J158" s="438"/>
      <c r="K158" s="438"/>
      <c r="L158" s="439"/>
      <c r="M158" s="469"/>
      <c r="N158" s="469"/>
      <c r="O158" s="469"/>
      <c r="P158" s="478"/>
      <c r="Q158" s="478"/>
      <c r="R158" s="478"/>
      <c r="S158" s="478"/>
      <c r="T158" s="478"/>
      <c r="U158" s="478"/>
      <c r="V158" s="478"/>
      <c r="W158" s="478"/>
      <c r="X158" s="478"/>
      <c r="Y158" s="478"/>
      <c r="Z158" s="285"/>
      <c r="AA158" s="285"/>
      <c r="AB158" s="349"/>
      <c r="AC158" s="263" t="s">
        <v>343</v>
      </c>
      <c r="AD158" s="6" cm="1">
        <f t="array" ref="AD158">angleConvert2Decimal(Q159)*AD157</f>
        <v>-12.24</v>
      </c>
      <c r="AE158" s="277"/>
      <c r="AF158" s="277"/>
      <c r="AG158" s="277"/>
      <c r="AH158" s="277"/>
      <c r="AI158" s="277"/>
      <c r="AJ158" s="277"/>
      <c r="AK158" s="277"/>
      <c r="AL158" s="277"/>
      <c r="AM158" s="277"/>
      <c r="AN158" s="277"/>
      <c r="AO158" s="277"/>
      <c r="AP158" s="277"/>
      <c r="AQ158" s="277"/>
      <c r="AR158" s="277"/>
      <c r="AS158" s="277"/>
      <c r="AT158" s="277"/>
      <c r="AU158" s="277"/>
      <c r="AV158" s="277"/>
      <c r="AW158" s="277"/>
      <c r="AX158" s="277"/>
      <c r="AY158" s="277"/>
      <c r="AZ158" s="277"/>
      <c r="BA158" s="277"/>
      <c r="BB158" s="277"/>
      <c r="BC158" s="277"/>
      <c r="BD158" s="277"/>
      <c r="BE158" s="277"/>
      <c r="BF158" s="277"/>
      <c r="BG158" s="277"/>
      <c r="BH158" s="277"/>
      <c r="BI158" s="277"/>
      <c r="BJ158" s="277"/>
      <c r="BK158" s="277"/>
      <c r="BL158" s="277"/>
      <c r="BM158" s="277"/>
      <c r="BN158" s="278"/>
    </row>
    <row r="159" spans="2:66" s="276" customFormat="1" ht="17.25" customHeight="1">
      <c r="C159" s="279"/>
      <c r="D159" s="279"/>
      <c r="F159" s="555" t="str">
        <f>IF(G147=AD148,AD161,"---")</f>
        <v>---</v>
      </c>
      <c r="G159" s="555"/>
      <c r="H159" s="555"/>
      <c r="I159" s="546">
        <f>E117</f>
        <v>12.520130106144013</v>
      </c>
      <c r="J159" s="547"/>
      <c r="K159" s="547"/>
      <c r="L159" s="548"/>
      <c r="M159" s="658">
        <v>0</v>
      </c>
      <c r="N159" s="474"/>
      <c r="O159" s="474"/>
      <c r="P159" s="474" t="s">
        <v>4</v>
      </c>
      <c r="Q159" s="669" t="s">
        <v>227</v>
      </c>
      <c r="R159" s="474"/>
      <c r="S159" s="474"/>
      <c r="T159" s="474"/>
      <c r="U159" s="474" t="s">
        <v>3</v>
      </c>
      <c r="V159" s="669" t="s">
        <v>173</v>
      </c>
      <c r="W159" s="474"/>
      <c r="X159" s="474"/>
      <c r="Y159" s="474"/>
      <c r="Z159" s="285"/>
      <c r="AB159" s="349"/>
      <c r="AC159" s="263" t="s">
        <v>344</v>
      </c>
      <c r="AD159" s="6">
        <f>VLOOKUP(U159,Outils!C15:E16,3)</f>
        <v>1</v>
      </c>
      <c r="AE159" s="277"/>
      <c r="AF159" s="277"/>
      <c r="AG159" s="277"/>
      <c r="AH159" s="277"/>
      <c r="AI159" s="277"/>
      <c r="AJ159" s="277"/>
      <c r="AK159" s="277"/>
      <c r="AL159" s="277"/>
      <c r="AM159" s="277"/>
      <c r="AN159" s="277"/>
      <c r="AO159" s="277"/>
      <c r="AP159" s="277"/>
      <c r="AQ159" s="277"/>
      <c r="AR159" s="277"/>
      <c r="AS159" s="277"/>
      <c r="AT159" s="277"/>
      <c r="AU159" s="277"/>
      <c r="AV159" s="277"/>
      <c r="AW159" s="277"/>
      <c r="AX159" s="277"/>
      <c r="AY159" s="277"/>
      <c r="AZ159" s="277"/>
      <c r="BA159" s="277"/>
      <c r="BB159" s="277"/>
      <c r="BC159" s="277"/>
      <c r="BD159" s="277"/>
      <c r="BE159" s="277"/>
      <c r="BF159" s="277"/>
      <c r="BG159" s="277"/>
      <c r="BH159" s="277"/>
      <c r="BI159" s="277"/>
      <c r="BJ159" s="277"/>
      <c r="BK159" s="277"/>
      <c r="BL159" s="277"/>
      <c r="BM159" s="277"/>
      <c r="BN159" s="278"/>
    </row>
    <row r="160" spans="2:66" s="276" customFormat="1" ht="17.25" customHeight="1" collapsed="1" thickBot="1">
      <c r="C160" s="279"/>
      <c r="D160" s="279"/>
      <c r="E160" s="279"/>
      <c r="F160" s="556"/>
      <c r="G160" s="556"/>
      <c r="H160" s="556"/>
      <c r="I160" s="644"/>
      <c r="J160" s="730"/>
      <c r="K160" s="730"/>
      <c r="L160" s="645"/>
      <c r="M160" s="659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/>
      <c r="Z160" s="285"/>
      <c r="AB160" s="349"/>
      <c r="AC160" s="263" t="s">
        <v>345</v>
      </c>
      <c r="AD160" s="6" cm="1">
        <f t="array" ref="AD160">angleConvert2Decimal(V159)*AD159</f>
        <v>1.6E-2</v>
      </c>
      <c r="AE160" s="277"/>
      <c r="AF160" s="277"/>
      <c r="AG160" s="277"/>
      <c r="AH160" s="277"/>
      <c r="AI160" s="277"/>
      <c r="AJ160" s="277"/>
      <c r="AK160" s="277"/>
      <c r="AL160" s="277"/>
      <c r="AM160" s="277"/>
      <c r="AN160" s="277"/>
      <c r="AO160" s="277"/>
      <c r="AP160" s="277"/>
      <c r="AQ160" s="277"/>
      <c r="AR160" s="277"/>
      <c r="AS160" s="277"/>
      <c r="AT160" s="277"/>
      <c r="AU160" s="277"/>
      <c r="AV160" s="277"/>
      <c r="AW160" s="277"/>
      <c r="AX160" s="277"/>
      <c r="AY160" s="277"/>
      <c r="AZ160" s="277"/>
      <c r="BA160" s="277"/>
      <c r="BB160" s="277"/>
      <c r="BC160" s="277"/>
      <c r="BD160" s="277"/>
      <c r="BE160" s="277"/>
      <c r="BF160" s="277"/>
      <c r="BG160" s="277"/>
      <c r="BH160" s="277"/>
      <c r="BI160" s="277"/>
      <c r="BJ160" s="277"/>
      <c r="BK160" s="277"/>
      <c r="BL160" s="277"/>
      <c r="BM160" s="277"/>
      <c r="BN160" s="278"/>
    </row>
    <row r="161" spans="1:67" s="276" customFormat="1" ht="17.25" customHeight="1" thickTop="1" thickBot="1">
      <c r="C161" s="279"/>
      <c r="D161" s="279"/>
      <c r="E161" s="279"/>
      <c r="F161" s="402" t="e" cm="1">
        <f t="array" ref="F161">angleDecimal2Txt(F159)</f>
        <v>#VALUE!</v>
      </c>
      <c r="G161" s="402"/>
      <c r="H161" s="402"/>
      <c r="I161" s="581"/>
      <c r="J161" s="581"/>
      <c r="K161" s="581"/>
      <c r="P161" s="402" t="str" cm="1">
        <f t="array" ref="P161">angleDecimal2Txt(AD158)</f>
        <v>-12°14.40 (-12.2400) [-12°14'24.00]</v>
      </c>
      <c r="Q161" s="402"/>
      <c r="R161" s="402"/>
      <c r="S161" s="402"/>
      <c r="T161" s="402"/>
      <c r="U161" s="402" t="str" cm="1">
        <f t="array" ref="U161">angleDecimal2Txt(AD160)</f>
        <v>+00°00.96 (+00.0160) [+00°00'57.60]</v>
      </c>
      <c r="V161" s="588"/>
      <c r="W161" s="588"/>
      <c r="X161" s="588"/>
      <c r="Y161" s="588"/>
      <c r="AB161" s="349"/>
      <c r="AC161" s="263" t="s">
        <v>346</v>
      </c>
      <c r="AD161" s="6">
        <f>AD158+AD160*(I159-M159)</f>
        <v>-12.039677918301695</v>
      </c>
      <c r="AE161" s="277"/>
      <c r="AF161" s="277"/>
      <c r="AG161" s="277"/>
      <c r="AH161" s="277"/>
      <c r="AI161" s="277"/>
      <c r="AJ161" s="277"/>
      <c r="AK161" s="277"/>
      <c r="AL161" s="277"/>
      <c r="AM161" s="277"/>
      <c r="AN161" s="277"/>
      <c r="AO161" s="277"/>
      <c r="AP161" s="277"/>
      <c r="AQ161" s="277"/>
      <c r="AR161" s="277"/>
      <c r="AS161" s="277"/>
      <c r="AT161" s="277"/>
      <c r="AU161" s="277"/>
      <c r="AV161" s="277"/>
      <c r="AW161" s="277"/>
      <c r="AX161" s="277"/>
      <c r="AY161" s="277"/>
      <c r="AZ161" s="277"/>
      <c r="BA161" s="277"/>
      <c r="BB161" s="277"/>
      <c r="BC161" s="277"/>
      <c r="BD161" s="277"/>
      <c r="BE161" s="277"/>
      <c r="BF161" s="277"/>
      <c r="BG161" s="277"/>
      <c r="BH161" s="277"/>
      <c r="BI161" s="277"/>
      <c r="BJ161" s="277"/>
      <c r="BK161" s="277"/>
      <c r="BL161" s="277"/>
      <c r="BM161" s="277"/>
      <c r="BN161" s="278"/>
    </row>
    <row r="162" spans="1:67" s="276" customFormat="1" ht="17.25" customHeight="1" thickTop="1">
      <c r="C162" s="279"/>
      <c r="D162" s="279"/>
      <c r="E162" s="279"/>
      <c r="F162" s="279"/>
      <c r="G162" s="279"/>
      <c r="S162" s="285"/>
      <c r="T162" s="285"/>
      <c r="U162" s="285"/>
      <c r="V162" s="285"/>
      <c r="W162" s="285"/>
      <c r="X162" s="285"/>
      <c r="AB162" s="349"/>
      <c r="AC162" s="277"/>
      <c r="AD162" s="277"/>
      <c r="AE162" s="277"/>
      <c r="AF162" s="277"/>
      <c r="AG162" s="277"/>
      <c r="AH162" s="277"/>
      <c r="AI162" s="277"/>
      <c r="AJ162" s="277"/>
      <c r="AK162" s="277"/>
      <c r="AL162" s="277"/>
      <c r="AM162" s="277"/>
      <c r="AN162" s="277"/>
      <c r="AO162" s="277"/>
      <c r="AP162" s="277"/>
      <c r="AQ162" s="277"/>
      <c r="AR162" s="277"/>
      <c r="AS162" s="277"/>
      <c r="AT162" s="277"/>
      <c r="AU162" s="277"/>
      <c r="AV162" s="277"/>
      <c r="AW162" s="277"/>
      <c r="AX162" s="277"/>
      <c r="AY162" s="277"/>
      <c r="AZ162" s="277"/>
      <c r="BA162" s="277"/>
      <c r="BB162" s="277"/>
      <c r="BC162" s="277"/>
      <c r="BD162" s="277"/>
      <c r="BE162" s="277"/>
      <c r="BF162" s="277"/>
      <c r="BG162" s="277"/>
      <c r="BH162" s="277"/>
      <c r="BI162" s="277"/>
      <c r="BJ162" s="277"/>
      <c r="BK162" s="277"/>
      <c r="BL162" s="277"/>
      <c r="BM162" s="277"/>
      <c r="BN162" s="278"/>
    </row>
    <row r="163" spans="1:67" s="276" customFormat="1" ht="17.25" customHeight="1" thickBot="1">
      <c r="C163" s="279"/>
      <c r="D163" s="279"/>
      <c r="E163" s="279"/>
      <c r="F163" s="279"/>
      <c r="G163" s="279"/>
      <c r="S163" s="285"/>
      <c r="T163" s="285"/>
      <c r="U163" s="285"/>
      <c r="V163" s="285"/>
      <c r="W163" s="285"/>
      <c r="X163" s="285"/>
      <c r="AB163" s="349"/>
      <c r="AC163" s="277"/>
      <c r="AD163" s="277"/>
      <c r="AE163" s="277"/>
      <c r="AF163" s="277"/>
      <c r="AG163" s="277"/>
      <c r="AH163" s="277"/>
      <c r="AI163" s="277"/>
      <c r="AJ163" s="277"/>
      <c r="AK163" s="277"/>
      <c r="AL163" s="277"/>
      <c r="AM163" s="277"/>
      <c r="AN163" s="277"/>
      <c r="AO163" s="277"/>
      <c r="AP163" s="277"/>
      <c r="AQ163" s="277"/>
      <c r="AR163" s="277"/>
      <c r="AS163" s="277"/>
      <c r="AT163" s="277"/>
      <c r="AU163" s="277"/>
      <c r="AV163" s="277"/>
      <c r="AW163" s="277"/>
      <c r="AX163" s="277"/>
      <c r="AY163" s="277"/>
      <c r="AZ163" s="277"/>
      <c r="BA163" s="277"/>
      <c r="BB163" s="277"/>
      <c r="BC163" s="277"/>
      <c r="BD163" s="277"/>
      <c r="BE163" s="277"/>
      <c r="BF163" s="277"/>
      <c r="BG163" s="277"/>
      <c r="BH163" s="277"/>
      <c r="BI163" s="277"/>
      <c r="BJ163" s="277"/>
      <c r="BK163" s="277"/>
      <c r="BL163" s="277"/>
      <c r="BM163" s="277"/>
      <c r="BN163" s="278"/>
    </row>
    <row r="164" spans="1:67" s="276" customFormat="1" ht="17.25" customHeight="1" thickBot="1">
      <c r="B164" s="293" t="s">
        <v>25</v>
      </c>
      <c r="C164" s="294"/>
      <c r="D164" s="736" t="s">
        <v>100</v>
      </c>
      <c r="E164" s="737"/>
      <c r="F164" s="468">
        <f>IF(G165=AD165,O204,O194)</f>
        <v>67.147622184360216</v>
      </c>
      <c r="G164" s="468"/>
      <c r="H164" s="468"/>
      <c r="I164" s="294"/>
      <c r="J164" s="294"/>
      <c r="K164" s="294"/>
      <c r="L164" s="294" t="s">
        <v>88</v>
      </c>
      <c r="M164" s="736">
        <f>O167</f>
        <v>66.95</v>
      </c>
      <c r="N164" s="736"/>
      <c r="O164" s="294"/>
      <c r="P164" s="312"/>
      <c r="Q164" s="294" t="s">
        <v>127</v>
      </c>
      <c r="R164" s="294"/>
      <c r="S164" s="672">
        <f>-O181+O176+O185</f>
        <v>0.260725308404401</v>
      </c>
      <c r="T164" s="673"/>
      <c r="U164" s="674"/>
      <c r="V164" s="738" t="str" cm="1">
        <f t="array" ref="V164">angleDecimal2Txt(S164)</f>
        <v>+00°15.64 (+00.2607) [+00°15'38.61]</v>
      </c>
      <c r="W164" s="739"/>
      <c r="X164" s="739"/>
      <c r="Y164" s="739"/>
      <c r="Z164" s="740"/>
      <c r="AA164" s="294"/>
      <c r="AB164" s="351"/>
      <c r="AC164" s="277"/>
      <c r="AD164" s="277"/>
      <c r="AE164" s="277"/>
      <c r="AF164" s="277"/>
      <c r="AG164" s="277"/>
      <c r="AH164" s="277"/>
      <c r="AI164" s="277"/>
      <c r="AJ164" s="277"/>
      <c r="AK164" s="277"/>
      <c r="AL164" s="277"/>
      <c r="AM164" s="277"/>
      <c r="AN164" s="277"/>
      <c r="AO164" s="277"/>
      <c r="AP164" s="277"/>
      <c r="AQ164" s="277"/>
      <c r="AR164" s="277"/>
      <c r="AS164" s="277"/>
      <c r="AT164" s="277"/>
      <c r="AU164" s="277"/>
      <c r="AV164" s="277"/>
      <c r="AW164" s="277"/>
      <c r="AX164" s="277"/>
      <c r="AY164" s="277"/>
      <c r="AZ164" s="277"/>
      <c r="BA164" s="277"/>
      <c r="BB164" s="277"/>
      <c r="BC164" s="277"/>
      <c r="BD164" s="277"/>
      <c r="BE164" s="277"/>
      <c r="BF164" s="277"/>
      <c r="BG164" s="277"/>
      <c r="BH164" s="277"/>
      <c r="BI164" s="277"/>
      <c r="BJ164" s="277"/>
      <c r="BK164" s="277"/>
      <c r="BL164" s="277"/>
      <c r="BM164" s="277"/>
      <c r="BN164" s="278"/>
    </row>
    <row r="165" spans="1:67" s="276" customFormat="1" ht="17.25" customHeight="1">
      <c r="C165" s="466" t="s">
        <v>42</v>
      </c>
      <c r="D165" s="466"/>
      <c r="E165" s="466"/>
      <c r="F165" s="466"/>
      <c r="G165" s="587" t="s">
        <v>59</v>
      </c>
      <c r="H165" s="587"/>
      <c r="I165" s="587"/>
      <c r="P165" s="276" t="s">
        <v>97</v>
      </c>
      <c r="V165" s="285"/>
      <c r="W165" s="285"/>
      <c r="X165" s="285"/>
      <c r="Y165" s="285"/>
      <c r="Z165" s="285"/>
      <c r="AB165" s="349"/>
      <c r="AC165" s="889" t="s">
        <v>43</v>
      </c>
      <c r="AD165" s="304" t="s">
        <v>58</v>
      </c>
      <c r="AE165" s="277"/>
      <c r="AF165" s="277"/>
      <c r="AG165" s="277"/>
      <c r="AH165" s="277"/>
      <c r="AI165" s="277"/>
      <c r="AJ165" s="277"/>
      <c r="AK165" s="277"/>
      <c r="AL165" s="277"/>
      <c r="AM165" s="277"/>
      <c r="AN165" s="277"/>
      <c r="AO165" s="277"/>
      <c r="AP165" s="277"/>
      <c r="AQ165" s="277"/>
      <c r="AR165" s="277"/>
      <c r="AS165" s="277"/>
      <c r="AT165" s="277"/>
      <c r="AU165" s="277"/>
      <c r="AV165" s="277"/>
      <c r="AW165" s="277"/>
      <c r="AX165" s="277"/>
      <c r="AY165" s="277"/>
      <c r="AZ165" s="277"/>
      <c r="BA165" s="277"/>
      <c r="BB165" s="277"/>
      <c r="BC165" s="277"/>
      <c r="BD165" s="277"/>
      <c r="BE165" s="277"/>
      <c r="BF165" s="277"/>
      <c r="BG165" s="277"/>
      <c r="BH165" s="277"/>
      <c r="BI165" s="277"/>
      <c r="BJ165" s="277"/>
      <c r="BK165" s="277"/>
      <c r="BL165" s="277"/>
      <c r="BM165" s="277"/>
      <c r="BN165" s="278"/>
    </row>
    <row r="166" spans="1:67" s="276" customFormat="1" ht="17.25" customHeight="1" thickBot="1">
      <c r="C166" s="309"/>
      <c r="D166" s="309"/>
      <c r="E166" s="309"/>
      <c r="F166" s="725" t="s">
        <v>90</v>
      </c>
      <c r="G166" s="725"/>
      <c r="H166" s="732"/>
      <c r="I166" s="732"/>
      <c r="J166" s="733">
        <f>IF(G165=AD165,"---",O194)</f>
        <v>67.147622184360216</v>
      </c>
      <c r="K166" s="734"/>
      <c r="L166" s="735"/>
      <c r="M166" s="313"/>
      <c r="N166" s="313"/>
      <c r="O166" s="313"/>
      <c r="P166" s="313"/>
      <c r="Q166" s="313"/>
      <c r="R166" s="313"/>
      <c r="S166" s="313"/>
      <c r="T166" s="313"/>
      <c r="U166" s="313"/>
      <c r="V166" s="314"/>
      <c r="W166" s="314"/>
      <c r="X166" s="314"/>
      <c r="Y166" s="314"/>
      <c r="Z166" s="314"/>
      <c r="AB166" s="349"/>
      <c r="AC166" s="889"/>
      <c r="AD166" s="304" t="s">
        <v>59</v>
      </c>
      <c r="AE166" s="277"/>
      <c r="AF166" s="277"/>
      <c r="AG166" s="277"/>
      <c r="AH166" s="277"/>
      <c r="AI166" s="277"/>
      <c r="AJ166" s="277"/>
      <c r="AK166" s="277"/>
      <c r="AL166" s="277"/>
      <c r="AM166" s="277"/>
      <c r="AN166" s="277"/>
      <c r="AO166" s="277"/>
      <c r="AP166" s="277"/>
      <c r="AQ166" s="277"/>
      <c r="AR166" s="277"/>
      <c r="AS166" s="277"/>
      <c r="AT166" s="277"/>
      <c r="AU166" s="277"/>
      <c r="AV166" s="277"/>
      <c r="AW166" s="277"/>
      <c r="AX166" s="277"/>
      <c r="AY166" s="277"/>
      <c r="AZ166" s="277"/>
      <c r="BA166" s="277"/>
      <c r="BB166" s="277"/>
      <c r="BC166" s="277"/>
      <c r="BD166" s="277"/>
      <c r="BE166" s="277"/>
      <c r="BF166" s="277"/>
      <c r="BG166" s="277"/>
      <c r="BH166" s="277"/>
      <c r="BI166" s="277"/>
      <c r="BJ166" s="277"/>
      <c r="BK166" s="277"/>
      <c r="BL166" s="277"/>
      <c r="BM166" s="277"/>
      <c r="BN166" s="278"/>
    </row>
    <row r="167" spans="1:67" s="276" customFormat="1" ht="17.25" customHeight="1" thickTop="1" thickBot="1">
      <c r="H167" s="726" t="s">
        <v>55</v>
      </c>
      <c r="I167" s="727"/>
      <c r="J167" s="727"/>
      <c r="K167" s="727"/>
      <c r="L167" s="727"/>
      <c r="M167" s="727"/>
      <c r="N167" s="728"/>
      <c r="O167" s="389">
        <f>J127</f>
        <v>66.95</v>
      </c>
      <c r="P167" s="389"/>
      <c r="Q167" s="389"/>
      <c r="R167" s="389"/>
      <c r="S167" s="276" t="s">
        <v>71</v>
      </c>
      <c r="U167" s="412" t="str" cm="1">
        <f t="array" ref="U167">angleDecimal2Txt(O167)</f>
        <v>+66°57.00 (+66.9500) [+66°57'00.00]</v>
      </c>
      <c r="V167" s="413"/>
      <c r="W167" s="413"/>
      <c r="X167" s="413"/>
      <c r="Y167" s="413"/>
      <c r="Z167" s="414"/>
      <c r="AB167" s="349"/>
      <c r="AC167" s="277"/>
      <c r="AD167" s="277"/>
      <c r="AE167" s="277"/>
      <c r="AF167" s="277"/>
      <c r="AG167" s="277"/>
      <c r="AH167" s="277"/>
      <c r="AI167" s="277"/>
      <c r="AJ167" s="277"/>
      <c r="AK167" s="277"/>
      <c r="AL167" s="277"/>
      <c r="AM167" s="277"/>
      <c r="AN167" s="277"/>
      <c r="AO167" s="277"/>
      <c r="AP167" s="277"/>
      <c r="AQ167" s="277"/>
      <c r="AR167" s="277"/>
      <c r="AS167" s="277"/>
      <c r="AT167" s="277"/>
      <c r="AU167" s="277"/>
      <c r="AV167" s="277"/>
      <c r="AW167" s="277"/>
      <c r="AX167" s="277"/>
      <c r="AY167" s="277"/>
      <c r="AZ167" s="277"/>
      <c r="BA167" s="277"/>
      <c r="BB167" s="277"/>
      <c r="BC167" s="277"/>
      <c r="BD167" s="277"/>
      <c r="BE167" s="277"/>
      <c r="BF167" s="277"/>
      <c r="BG167" s="277"/>
      <c r="BH167" s="277"/>
      <c r="BI167" s="277"/>
      <c r="BJ167" s="277"/>
      <c r="BK167" s="277"/>
      <c r="BL167" s="277"/>
      <c r="BM167" s="277"/>
      <c r="BN167" s="278"/>
    </row>
    <row r="168" spans="1:67" s="276" customFormat="1" ht="17.25" customHeight="1" thickTop="1" thickBot="1">
      <c r="H168" s="726" t="s">
        <v>26</v>
      </c>
      <c r="I168" s="727"/>
      <c r="J168" s="727"/>
      <c r="K168" s="727"/>
      <c r="L168" s="727"/>
      <c r="M168" s="727"/>
      <c r="N168" s="728"/>
      <c r="O168" s="389">
        <f>J126</f>
        <v>2.1666666666666667E-2</v>
      </c>
      <c r="P168" s="389"/>
      <c r="Q168" s="389"/>
      <c r="R168" s="389"/>
      <c r="S168" s="276" t="s">
        <v>71</v>
      </c>
      <c r="U168" s="412" t="str" cm="1">
        <f t="array" ref="U168">angleDecimal2Txt(O168)</f>
        <v>+00°01.30 (+00.0216) [+00°01'18.00]</v>
      </c>
      <c r="V168" s="413"/>
      <c r="W168" s="413"/>
      <c r="X168" s="413"/>
      <c r="Y168" s="413"/>
      <c r="Z168" s="414"/>
      <c r="AB168" s="349"/>
      <c r="AC168" s="263" t="s">
        <v>87</v>
      </c>
      <c r="AD168" s="8">
        <f>O168</f>
        <v>2.1666666666666667E-2</v>
      </c>
      <c r="AE168" s="277"/>
      <c r="AF168" s="277"/>
      <c r="AG168" s="277"/>
      <c r="AH168" s="277"/>
      <c r="AI168" s="277"/>
      <c r="AJ168" s="277"/>
      <c r="AK168" s="277"/>
      <c r="AL168" s="277"/>
      <c r="AM168" s="277"/>
      <c r="AN168" s="277"/>
      <c r="AO168" s="277"/>
      <c r="AP168" s="277"/>
      <c r="AQ168" s="277"/>
      <c r="AR168" s="277"/>
      <c r="AS168" s="277"/>
      <c r="AT168" s="277"/>
      <c r="AU168" s="277"/>
      <c r="AV168" s="277"/>
      <c r="AW168" s="277"/>
      <c r="AX168" s="277"/>
      <c r="AY168" s="277"/>
      <c r="AZ168" s="277"/>
      <c r="BA168" s="277"/>
      <c r="BB168" s="277"/>
      <c r="BC168" s="277"/>
      <c r="BD168" s="277"/>
      <c r="BE168" s="277"/>
      <c r="BF168" s="277"/>
      <c r="BG168" s="277"/>
      <c r="BH168" s="277"/>
      <c r="BI168" s="277"/>
      <c r="BJ168" s="277"/>
      <c r="BK168" s="277"/>
      <c r="BL168" s="277"/>
      <c r="BM168" s="277"/>
      <c r="BN168" s="278"/>
    </row>
    <row r="169" spans="1:67" s="276" customFormat="1" ht="17.25" customHeight="1" thickTop="1" thickBot="1">
      <c r="C169" s="279"/>
      <c r="D169" s="279"/>
      <c r="E169" s="279"/>
      <c r="F169" s="279"/>
      <c r="H169" s="726" t="s">
        <v>96</v>
      </c>
      <c r="I169" s="727"/>
      <c r="J169" s="727"/>
      <c r="K169" s="727"/>
      <c r="L169" s="727"/>
      <c r="M169" s="727"/>
      <c r="N169" s="728"/>
      <c r="O169" s="398">
        <f>AD170</f>
        <v>4.1436457377531689E-2</v>
      </c>
      <c r="P169" s="398"/>
      <c r="Q169" s="398"/>
      <c r="R169" s="398"/>
      <c r="S169" s="276" t="s">
        <v>71</v>
      </c>
      <c r="U169" s="412" t="str" cm="1">
        <f t="array" ref="U169">angleDecimal2Txt(O169)</f>
        <v>+00°02.48 (+00.0414) [+00°02'29.17]</v>
      </c>
      <c r="V169" s="413"/>
      <c r="W169" s="413"/>
      <c r="X169" s="413"/>
      <c r="Y169" s="413"/>
      <c r="Z169" s="414"/>
      <c r="AB169" s="349"/>
      <c r="AC169" s="263" t="s">
        <v>54</v>
      </c>
      <c r="AD169" s="6">
        <f>J125</f>
        <v>2</v>
      </c>
      <c r="AE169" s="277"/>
      <c r="AF169" s="277"/>
      <c r="AG169" s="277"/>
      <c r="AH169" s="277"/>
      <c r="AI169" s="277"/>
      <c r="AJ169" s="277"/>
      <c r="AK169" s="277"/>
      <c r="AL169" s="277"/>
      <c r="AM169" s="277"/>
      <c r="AN169" s="277"/>
      <c r="AO169" s="277"/>
      <c r="AP169" s="277"/>
      <c r="AQ169" s="277"/>
      <c r="AR169" s="277"/>
      <c r="AS169" s="277"/>
      <c r="AT169" s="277"/>
      <c r="AU169" s="277"/>
      <c r="AV169" s="277"/>
      <c r="AW169" s="277"/>
      <c r="AX169" s="277"/>
      <c r="AY169" s="277"/>
      <c r="AZ169" s="277"/>
      <c r="BA169" s="277"/>
      <c r="BB169" s="277"/>
      <c r="BC169" s="277"/>
      <c r="BD169" s="277"/>
      <c r="BE169" s="277"/>
      <c r="BF169" s="277"/>
      <c r="BG169" s="277"/>
      <c r="BH169" s="277"/>
      <c r="BI169" s="277"/>
      <c r="BJ169" s="277"/>
      <c r="BK169" s="277"/>
      <c r="BL169" s="277"/>
      <c r="BM169" s="277"/>
      <c r="BN169" s="278"/>
    </row>
    <row r="170" spans="1:67" s="276" customFormat="1" ht="17.25" customHeight="1" thickTop="1" thickBot="1">
      <c r="C170" s="279"/>
      <c r="D170" s="279"/>
      <c r="E170" s="279"/>
      <c r="F170" s="279"/>
      <c r="G170" s="279"/>
      <c r="K170" s="285"/>
      <c r="L170" s="285"/>
      <c r="M170" s="643" t="s">
        <v>178</v>
      </c>
      <c r="N170" s="643"/>
      <c r="O170" s="643"/>
      <c r="P170" s="643"/>
      <c r="Q170" s="285"/>
      <c r="R170" s="285"/>
      <c r="U170" s="285"/>
      <c r="V170" s="285"/>
      <c r="W170" s="285"/>
      <c r="X170" s="285"/>
      <c r="Y170" s="285"/>
      <c r="Z170" s="285"/>
      <c r="AB170" s="349"/>
      <c r="AC170" s="355" t="s">
        <v>95</v>
      </c>
      <c r="AD170" s="6">
        <f>0.0293 * SQRT(AD169)</f>
        <v>4.1436457377531689E-2</v>
      </c>
      <c r="AE170" s="277"/>
      <c r="AF170" s="277"/>
      <c r="AG170" s="277"/>
      <c r="AH170" s="277"/>
      <c r="AI170" s="277"/>
      <c r="AJ170" s="277"/>
      <c r="AK170" s="277"/>
      <c r="AL170" s="277"/>
      <c r="AM170" s="277"/>
      <c r="AN170" s="277"/>
      <c r="AO170" s="277"/>
      <c r="AP170" s="277"/>
      <c r="AQ170" s="277"/>
      <c r="AR170" s="277"/>
      <c r="AS170" s="277"/>
      <c r="AT170" s="277"/>
      <c r="AU170" s="277"/>
      <c r="AV170" s="277"/>
      <c r="AW170" s="277"/>
      <c r="AX170" s="277"/>
      <c r="AY170" s="277"/>
      <c r="AZ170" s="277"/>
      <c r="BA170" s="277"/>
      <c r="BB170" s="277"/>
      <c r="BC170" s="277"/>
      <c r="BD170" s="277"/>
      <c r="BE170" s="277"/>
      <c r="BF170" s="277"/>
      <c r="BG170" s="277"/>
      <c r="BH170" s="277"/>
      <c r="BI170" s="277"/>
      <c r="BJ170" s="277"/>
      <c r="BK170" s="277"/>
      <c r="BL170" s="277"/>
      <c r="BM170" s="277"/>
      <c r="BN170" s="278"/>
    </row>
    <row r="171" spans="1:67" s="276" customFormat="1" ht="17.25" customHeight="1" thickTop="1" thickBot="1">
      <c r="C171" s="279"/>
      <c r="D171" s="279"/>
      <c r="E171" s="279"/>
      <c r="F171" s="279"/>
      <c r="H171" s="729" t="s">
        <v>56</v>
      </c>
      <c r="I171" s="527"/>
      <c r="J171" s="527"/>
      <c r="K171" s="527"/>
      <c r="L171" s="527"/>
      <c r="M171" s="527"/>
      <c r="N171" s="528"/>
      <c r="O171" s="557">
        <f>O167-O168-O169</f>
        <v>66.886896875955813</v>
      </c>
      <c r="P171" s="538"/>
      <c r="Q171" s="276" t="s">
        <v>71</v>
      </c>
      <c r="R171" s="563">
        <f>O171*Outils!F10</f>
        <v>1.1673965769273382</v>
      </c>
      <c r="S171" s="563"/>
      <c r="T171" s="119" t="s">
        <v>92</v>
      </c>
      <c r="U171" s="412" t="str" cm="1">
        <f t="array" ref="U171">angleDecimal2Txt(O171)</f>
        <v>+66°53.21 (+66.8868) [+66°53'12.82]</v>
      </c>
      <c r="V171" s="413"/>
      <c r="W171" s="413"/>
      <c r="X171" s="413"/>
      <c r="Y171" s="413"/>
      <c r="Z171" s="414"/>
      <c r="AB171" s="349"/>
      <c r="AC171" s="277"/>
      <c r="AD171" s="277"/>
      <c r="AE171" s="277"/>
      <c r="AF171" s="277"/>
      <c r="AG171" s="277"/>
      <c r="AH171" s="277"/>
      <c r="AI171" s="277"/>
      <c r="AJ171" s="277"/>
      <c r="AK171" s="277"/>
      <c r="AL171" s="277"/>
      <c r="AM171" s="277"/>
      <c r="AN171" s="277"/>
      <c r="AO171" s="277"/>
      <c r="AP171" s="277"/>
      <c r="AQ171" s="277"/>
      <c r="AR171" s="277"/>
      <c r="AS171" s="277"/>
      <c r="AT171" s="277"/>
      <c r="AU171" s="277"/>
      <c r="AV171" s="277"/>
      <c r="AW171" s="277"/>
      <c r="AX171" s="277"/>
      <c r="AY171" s="277"/>
      <c r="AZ171" s="277"/>
      <c r="BA171" s="277"/>
      <c r="BB171" s="277"/>
      <c r="BC171" s="277"/>
      <c r="BD171" s="277"/>
      <c r="BE171" s="277"/>
      <c r="BF171" s="277"/>
      <c r="BG171" s="277"/>
      <c r="BH171" s="277"/>
      <c r="BI171" s="277"/>
      <c r="BJ171" s="277"/>
      <c r="BK171" s="277"/>
      <c r="BL171" s="277"/>
      <c r="BM171" s="277"/>
      <c r="BN171" s="278"/>
    </row>
    <row r="172" spans="1:67" s="276" customFormat="1" ht="17.25" customHeight="1" thickTop="1">
      <c r="H172" s="285"/>
      <c r="I172" s="285"/>
      <c r="J172" s="285"/>
      <c r="K172" s="285"/>
      <c r="L172" s="285"/>
      <c r="M172" s="285"/>
      <c r="N172" s="285"/>
      <c r="O172" s="285"/>
      <c r="P172" s="285"/>
      <c r="Q172" s="285"/>
      <c r="R172" s="285"/>
      <c r="U172" s="285"/>
      <c r="V172" s="285"/>
      <c r="W172" s="285"/>
      <c r="X172" s="285"/>
      <c r="Y172" s="285"/>
      <c r="Z172" s="285"/>
      <c r="AB172" s="349"/>
      <c r="AC172" s="277"/>
      <c r="AD172" s="277"/>
      <c r="AE172" s="277"/>
      <c r="AF172" s="277"/>
      <c r="AG172" s="277"/>
      <c r="AH172" s="277"/>
      <c r="AI172" s="277"/>
      <c r="AJ172" s="277"/>
      <c r="AK172" s="277"/>
      <c r="AL172" s="277"/>
      <c r="AM172" s="277"/>
      <c r="AN172" s="277"/>
      <c r="AO172" s="277"/>
      <c r="AP172" s="277"/>
      <c r="AQ172" s="277"/>
      <c r="AR172" s="277"/>
      <c r="AS172" s="277"/>
      <c r="AT172" s="277"/>
      <c r="AU172" s="277"/>
      <c r="AV172" s="277"/>
      <c r="AW172" s="277"/>
      <c r="AX172" s="277"/>
      <c r="AY172" s="277"/>
      <c r="AZ172" s="277"/>
      <c r="BA172" s="277"/>
      <c r="BB172" s="277"/>
      <c r="BC172" s="277"/>
      <c r="BD172" s="277"/>
      <c r="BE172" s="277"/>
      <c r="BF172" s="277"/>
      <c r="BG172" s="277"/>
      <c r="BH172" s="277"/>
      <c r="BI172" s="277"/>
      <c r="BJ172" s="277"/>
      <c r="BK172" s="277"/>
      <c r="BL172" s="277"/>
      <c r="BM172" s="277"/>
      <c r="BN172" s="278"/>
    </row>
    <row r="173" spans="1:67" s="276" customFormat="1" ht="17.25" customHeight="1">
      <c r="C173" s="279"/>
      <c r="D173" s="279"/>
      <c r="E173" s="279"/>
      <c r="F173" s="279"/>
      <c r="H173" s="285"/>
      <c r="I173" s="285"/>
      <c r="J173" s="285"/>
      <c r="K173" s="285"/>
      <c r="L173" s="285"/>
      <c r="M173" s="559" t="s">
        <v>89</v>
      </c>
      <c r="N173" s="559"/>
      <c r="O173" s="559"/>
      <c r="P173" s="559"/>
      <c r="Q173" s="285"/>
      <c r="R173" s="285"/>
      <c r="U173" s="285"/>
      <c r="V173" s="285"/>
      <c r="W173" s="285"/>
      <c r="X173" s="285"/>
      <c r="Y173" s="285"/>
      <c r="Z173" s="285"/>
      <c r="AB173" s="349"/>
      <c r="AC173" s="277"/>
      <c r="AD173" s="277"/>
      <c r="AE173" s="277"/>
      <c r="AF173" s="277"/>
      <c r="AG173" s="277"/>
      <c r="AH173" s="277"/>
      <c r="AI173" s="277"/>
      <c r="AJ173" s="277"/>
      <c r="AK173" s="277"/>
      <c r="AL173" s="277"/>
      <c r="AM173" s="277"/>
      <c r="AN173" s="277"/>
      <c r="AO173" s="277"/>
      <c r="AP173" s="277"/>
      <c r="AQ173" s="277"/>
      <c r="AR173" s="277"/>
      <c r="AS173" s="277"/>
      <c r="AT173" s="277"/>
      <c r="AU173" s="277"/>
      <c r="AV173" s="277"/>
      <c r="AW173" s="277"/>
      <c r="AX173" s="277"/>
      <c r="AY173" s="277"/>
      <c r="AZ173" s="277"/>
      <c r="BA173" s="277"/>
      <c r="BB173" s="277"/>
      <c r="BC173" s="277"/>
      <c r="BD173" s="277"/>
      <c r="BE173" s="277"/>
      <c r="BF173" s="277"/>
      <c r="BG173" s="277"/>
      <c r="BH173" s="277"/>
      <c r="BI173" s="277"/>
      <c r="BJ173" s="277"/>
      <c r="BK173" s="277"/>
      <c r="BL173" s="277"/>
      <c r="BM173" s="277"/>
      <c r="BN173" s="278"/>
    </row>
    <row r="174" spans="1:67" s="276" customFormat="1" ht="17.25" customHeight="1" thickBot="1">
      <c r="M174" s="560" t="s">
        <v>243</v>
      </c>
      <c r="N174" s="560"/>
      <c r="O174" s="559"/>
      <c r="P174" s="559"/>
      <c r="AB174" s="349"/>
      <c r="AC174" s="277"/>
      <c r="AD174" s="277"/>
      <c r="AE174" s="277"/>
      <c r="AF174" s="277"/>
      <c r="AG174" s="277"/>
      <c r="AH174" s="277"/>
      <c r="AI174" s="277"/>
      <c r="AJ174" s="277"/>
      <c r="AK174" s="277"/>
      <c r="AL174" s="277"/>
      <c r="AM174" s="277"/>
      <c r="AN174" s="277"/>
      <c r="AO174" s="277"/>
      <c r="AP174" s="277"/>
      <c r="AQ174" s="277"/>
      <c r="AR174" s="277"/>
      <c r="AS174" s="277"/>
      <c r="AT174" s="277"/>
      <c r="AU174" s="277"/>
      <c r="AV174" s="277"/>
      <c r="AW174" s="277"/>
      <c r="AX174" s="277"/>
      <c r="AY174" s="277"/>
      <c r="AZ174" s="277"/>
      <c r="BA174" s="277"/>
      <c r="BB174" s="277"/>
      <c r="BC174" s="277"/>
      <c r="BD174" s="277"/>
      <c r="BE174" s="277"/>
      <c r="BF174" s="277"/>
      <c r="BG174" s="277"/>
      <c r="BH174" s="277"/>
      <c r="BI174" s="277"/>
      <c r="BJ174" s="277"/>
      <c r="BK174" s="277"/>
      <c r="BL174" s="277"/>
      <c r="BM174" s="277"/>
      <c r="BN174" s="278"/>
    </row>
    <row r="175" spans="1:67" ht="17.25" customHeight="1" thickTop="1" thickBot="1">
      <c r="A175" s="285"/>
      <c r="B175" s="285"/>
      <c r="C175" s="285"/>
      <c r="D175" s="285"/>
      <c r="E175" s="285"/>
      <c r="F175" s="276"/>
      <c r="G175" s="276"/>
      <c r="H175" s="680" t="s">
        <v>60</v>
      </c>
      <c r="I175" s="681"/>
      <c r="J175" s="681"/>
      <c r="K175" s="681"/>
      <c r="L175" s="681"/>
      <c r="M175" s="681"/>
      <c r="N175" s="682"/>
      <c r="O175" s="561">
        <f>J130</f>
        <v>2.8833333333333332E-3</v>
      </c>
      <c r="P175" s="562"/>
      <c r="Q175" s="562"/>
      <c r="R175" s="562"/>
      <c r="S175" s="276" t="s">
        <v>71</v>
      </c>
      <c r="T175" s="276"/>
      <c r="U175" s="412" t="str" cm="1">
        <f t="array" ref="U175">angleDecimal2Txt(O175)</f>
        <v>+00°00.17 (+00.0028) [+00°00'10.37]</v>
      </c>
      <c r="V175" s="413"/>
      <c r="W175" s="413"/>
      <c r="X175" s="413"/>
      <c r="Y175" s="413"/>
      <c r="Z175" s="414"/>
      <c r="AA175" s="276"/>
      <c r="AB175" s="349"/>
      <c r="AC175" s="263" t="s">
        <v>350</v>
      </c>
      <c r="AD175" s="6">
        <f>O175*COS(R171)</f>
        <v>1.1318451843031962E-3</v>
      </c>
      <c r="BN175" s="278"/>
      <c r="BO175" s="276"/>
    </row>
    <row r="176" spans="1:67" ht="17.25" customHeight="1" thickTop="1" thickBot="1">
      <c r="A176" s="285"/>
      <c r="B176" s="285"/>
      <c r="C176" s="285"/>
      <c r="D176" s="285"/>
      <c r="E176" s="285"/>
      <c r="F176" s="276"/>
      <c r="G176" s="276"/>
      <c r="H176" s="526" t="s">
        <v>244</v>
      </c>
      <c r="I176" s="527"/>
      <c r="J176" s="527"/>
      <c r="K176" s="527"/>
      <c r="L176" s="527"/>
      <c r="M176" s="527"/>
      <c r="N176" s="528"/>
      <c r="O176" s="390">
        <f>AD175</f>
        <v>1.1318451843031962E-3</v>
      </c>
      <c r="P176" s="390"/>
      <c r="Q176" s="390"/>
      <c r="R176" s="390"/>
      <c r="S176" s="276" t="s">
        <v>71</v>
      </c>
      <c r="T176" s="276"/>
      <c r="U176" s="412" t="str" cm="1">
        <f t="array" ref="U176">angleDecimal2Txt(O176)</f>
        <v>+00°00.06 (+00.0011) [+00°00'04.07]</v>
      </c>
      <c r="V176" s="413"/>
      <c r="W176" s="413"/>
      <c r="X176" s="413"/>
      <c r="Y176" s="413"/>
      <c r="Z176" s="414"/>
      <c r="AA176" s="276"/>
      <c r="AB176" s="349"/>
      <c r="BN176" s="278"/>
      <c r="BO176" s="276"/>
    </row>
    <row r="177" spans="1:67" ht="17.25" customHeight="1" thickTop="1">
      <c r="A177" s="285"/>
      <c r="B177" s="285"/>
      <c r="C177" s="285"/>
      <c r="D177" s="285"/>
      <c r="E177" s="285"/>
      <c r="F177" s="276"/>
      <c r="G177" s="276"/>
      <c r="H177" s="285"/>
      <c r="I177" s="285"/>
      <c r="J177" s="285"/>
      <c r="K177" s="285"/>
      <c r="L177" s="285"/>
      <c r="M177" s="285"/>
      <c r="N177" s="285"/>
      <c r="O177" s="285"/>
      <c r="P177" s="285"/>
      <c r="Q177" s="285"/>
      <c r="R177" s="285"/>
      <c r="S177" s="285"/>
      <c r="T177" s="285"/>
      <c r="U177" s="285"/>
      <c r="V177" s="285"/>
      <c r="W177" s="285"/>
      <c r="X177" s="285"/>
      <c r="Y177" s="285"/>
      <c r="Z177" s="285"/>
      <c r="AA177" s="276"/>
      <c r="AB177" s="349"/>
      <c r="BN177" s="278"/>
      <c r="BO177" s="276"/>
    </row>
    <row r="178" spans="1:67" ht="17.25" customHeight="1">
      <c r="A178" s="285"/>
      <c r="B178" s="285"/>
      <c r="C178" s="285"/>
      <c r="D178" s="285"/>
      <c r="E178" s="279"/>
      <c r="F178" s="276"/>
      <c r="G178" s="276"/>
      <c r="H178" s="285"/>
      <c r="I178" s="285"/>
      <c r="J178" s="285"/>
      <c r="K178" s="285"/>
      <c r="L178" s="285"/>
      <c r="M178" s="285"/>
      <c r="N178" s="285"/>
      <c r="O178" s="285"/>
      <c r="P178" s="276"/>
      <c r="Q178" s="276"/>
      <c r="R178" s="276"/>
      <c r="S178" s="512" t="s">
        <v>195</v>
      </c>
      <c r="T178" s="513"/>
      <c r="U178" s="514"/>
      <c r="V178" s="276"/>
      <c r="W178" s="276"/>
      <c r="X178" s="276"/>
      <c r="Y178" s="285"/>
      <c r="Z178" s="285"/>
      <c r="AA178" s="276"/>
      <c r="AB178" s="349"/>
      <c r="AC178" s="263" t="s">
        <v>57</v>
      </c>
      <c r="AD178" s="6" t="s">
        <v>352</v>
      </c>
      <c r="BN178" s="278"/>
      <c r="BO178" s="276"/>
    </row>
    <row r="179" spans="1:67" ht="17.25" customHeight="1">
      <c r="A179" s="285"/>
      <c r="B179" s="285"/>
      <c r="C179" s="285"/>
      <c r="D179" s="285"/>
      <c r="E179" s="279"/>
      <c r="F179" s="276"/>
      <c r="G179" s="276"/>
      <c r="H179" s="680" t="s">
        <v>93</v>
      </c>
      <c r="I179" s="681"/>
      <c r="J179" s="681"/>
      <c r="K179" s="681"/>
      <c r="L179" s="681"/>
      <c r="M179" s="681"/>
      <c r="N179" s="682"/>
      <c r="O179" s="529">
        <f>S179</f>
        <v>10</v>
      </c>
      <c r="P179" s="530"/>
      <c r="Q179" s="530"/>
      <c r="R179" s="530"/>
      <c r="S179" s="640">
        <v>10</v>
      </c>
      <c r="T179" s="641"/>
      <c r="U179" s="642"/>
      <c r="V179" s="276"/>
      <c r="W179" s="276"/>
      <c r="X179" s="276"/>
      <c r="Y179" s="285"/>
      <c r="Z179" s="285"/>
      <c r="AA179" s="276"/>
      <c r="AB179" s="349"/>
      <c r="AC179" s="263" t="s">
        <v>353</v>
      </c>
      <c r="AD179" s="6">
        <f>1/TAN((O171 + 7.31 / (O171 + 4.4)) * Outils!F10)</f>
        <v>0.4246923427253872</v>
      </c>
      <c r="BN179" s="278"/>
      <c r="BO179" s="276"/>
    </row>
    <row r="180" spans="1:67" ht="17.25" customHeight="1" thickBot="1">
      <c r="A180" s="285"/>
      <c r="B180" s="285"/>
      <c r="C180" s="285"/>
      <c r="D180" s="285"/>
      <c r="E180" s="285"/>
      <c r="F180" s="276"/>
      <c r="G180" s="276"/>
      <c r="H180" s="680" t="s">
        <v>94</v>
      </c>
      <c r="I180" s="681"/>
      <c r="J180" s="681"/>
      <c r="K180" s="681"/>
      <c r="L180" s="681"/>
      <c r="M180" s="681"/>
      <c r="N180" s="682"/>
      <c r="O180" s="529">
        <f>S180</f>
        <v>1010</v>
      </c>
      <c r="P180" s="530"/>
      <c r="Q180" s="530"/>
      <c r="R180" s="530"/>
      <c r="S180" s="640">
        <v>1010</v>
      </c>
      <c r="T180" s="641"/>
      <c r="U180" s="642"/>
      <c r="V180" s="276"/>
      <c r="W180" s="276"/>
      <c r="X180" s="276"/>
      <c r="Y180" s="285"/>
      <c r="Z180" s="285"/>
      <c r="AA180" s="276"/>
      <c r="AB180" s="349"/>
      <c r="AC180" s="263" t="s">
        <v>354</v>
      </c>
      <c r="AD180" s="6">
        <f>AD179/60</f>
        <v>7.0782057120897862E-3</v>
      </c>
      <c r="BN180" s="278"/>
      <c r="BO180" s="276"/>
    </row>
    <row r="181" spans="1:67" ht="17.25" customHeight="1" thickTop="1" thickBot="1">
      <c r="A181" s="285"/>
      <c r="B181" s="285"/>
      <c r="C181" s="285"/>
      <c r="D181" s="285"/>
      <c r="E181" s="285"/>
      <c r="F181" s="276"/>
      <c r="G181" s="276"/>
      <c r="H181" s="526" t="s">
        <v>245</v>
      </c>
      <c r="I181" s="527"/>
      <c r="J181" s="527"/>
      <c r="K181" s="527"/>
      <c r="L181" s="527"/>
      <c r="M181" s="527"/>
      <c r="N181" s="528"/>
      <c r="O181" s="390">
        <f>AD182</f>
        <v>7.0732034465688749E-3</v>
      </c>
      <c r="P181" s="390"/>
      <c r="Q181" s="390"/>
      <c r="R181" s="390"/>
      <c r="S181" s="276" t="s">
        <v>71</v>
      </c>
      <c r="T181" s="276"/>
      <c r="U181" s="412" t="str" cm="1">
        <f t="array" ref="U181">angleDecimal2Txt(O181)</f>
        <v>+00°00.42 (+00.0070) [+00°00'25.46]</v>
      </c>
      <c r="V181" s="413"/>
      <c r="W181" s="413"/>
      <c r="X181" s="413"/>
      <c r="Y181" s="413"/>
      <c r="Z181" s="414"/>
      <c r="AA181" s="276"/>
      <c r="AB181" s="349"/>
      <c r="AC181" s="263" t="s">
        <v>128</v>
      </c>
      <c r="AD181" s="6">
        <f xml:space="preserve"> 0.28 * O180 / (273 + O179)</f>
        <v>0.99929328621908131</v>
      </c>
      <c r="BN181" s="278"/>
      <c r="BO181" s="276"/>
    </row>
    <row r="182" spans="1:67" ht="17.25" customHeight="1" thickTop="1">
      <c r="A182" s="285"/>
      <c r="B182" s="285"/>
      <c r="C182" s="285"/>
      <c r="D182" s="285"/>
      <c r="E182" s="285"/>
      <c r="F182" s="276"/>
      <c r="G182" s="276"/>
      <c r="H182" s="285"/>
      <c r="I182" s="285"/>
      <c r="J182" s="285"/>
      <c r="K182" s="285"/>
      <c r="L182" s="285"/>
      <c r="M182" s="285"/>
      <c r="N182" s="285"/>
      <c r="O182" s="285"/>
      <c r="P182" s="276"/>
      <c r="Q182" s="276"/>
      <c r="R182" s="276"/>
      <c r="S182" s="276"/>
      <c r="T182" s="276"/>
      <c r="U182" s="276"/>
      <c r="V182" s="276"/>
      <c r="W182" s="276"/>
      <c r="X182" s="276"/>
      <c r="Y182" s="285"/>
      <c r="Z182" s="285"/>
      <c r="AA182" s="276"/>
      <c r="AB182" s="349"/>
      <c r="AC182" s="263" t="s">
        <v>351</v>
      </c>
      <c r="AD182" s="6">
        <f>AD181*AD180</f>
        <v>7.0732034465688749E-3</v>
      </c>
      <c r="BN182" s="278"/>
      <c r="BO182" s="276"/>
    </row>
    <row r="183" spans="1:67" ht="17.25" customHeight="1">
      <c r="A183" s="285"/>
      <c r="B183" s="285"/>
      <c r="C183" s="285"/>
      <c r="D183" s="285"/>
      <c r="E183" s="285"/>
      <c r="F183" s="276"/>
      <c r="G183" s="276"/>
      <c r="H183" s="680" t="s">
        <v>134</v>
      </c>
      <c r="I183" s="681"/>
      <c r="J183" s="681"/>
      <c r="K183" s="681"/>
      <c r="L183" s="681"/>
      <c r="M183" s="681"/>
      <c r="N183" s="682"/>
      <c r="O183" s="515">
        <f>J134</f>
        <v>0.53333333333333333</v>
      </c>
      <c r="P183" s="515"/>
      <c r="Q183" s="515"/>
      <c r="R183" s="515"/>
      <c r="S183" s="276"/>
      <c r="T183" s="276"/>
      <c r="U183" s="276"/>
      <c r="V183" s="276"/>
      <c r="W183" s="276"/>
      <c r="X183" s="276"/>
      <c r="Y183" s="276"/>
      <c r="Z183" s="276"/>
      <c r="AA183" s="276"/>
      <c r="AB183" s="349"/>
      <c r="BN183" s="278"/>
      <c r="BO183" s="276"/>
    </row>
    <row r="184" spans="1:67" ht="17.25" customHeight="1" thickBot="1">
      <c r="A184" s="276"/>
      <c r="B184" s="285"/>
      <c r="C184" s="285"/>
      <c r="D184" s="285"/>
      <c r="E184" s="279"/>
      <c r="F184" s="279"/>
      <c r="G184" s="279"/>
      <c r="H184" s="680" t="s">
        <v>98</v>
      </c>
      <c r="I184" s="681"/>
      <c r="J184" s="681"/>
      <c r="K184" s="681"/>
      <c r="L184" s="681"/>
      <c r="M184" s="681"/>
      <c r="N184" s="682"/>
      <c r="O184" s="515" t="str">
        <f>J129</f>
        <v>BordInf</v>
      </c>
      <c r="P184" s="515"/>
      <c r="Q184" s="515"/>
      <c r="R184" s="515"/>
      <c r="S184" s="276"/>
      <c r="T184" s="276"/>
      <c r="U184" s="276"/>
      <c r="V184" s="276"/>
      <c r="W184" s="276"/>
      <c r="X184" s="276"/>
      <c r="Y184" s="276"/>
      <c r="Z184" s="276"/>
      <c r="AA184" s="276"/>
      <c r="AB184" s="349"/>
      <c r="AC184" s="263" t="s">
        <v>37</v>
      </c>
      <c r="AD184" s="378" t="str">
        <f>J128</f>
        <v>Soleil</v>
      </c>
      <c r="AE184" s="378"/>
      <c r="BN184" s="278"/>
      <c r="BO184" s="276"/>
    </row>
    <row r="185" spans="1:67" ht="17.25" customHeight="1" thickTop="1" thickBot="1">
      <c r="A185" s="276"/>
      <c r="B185" s="276"/>
      <c r="C185" s="279"/>
      <c r="D185" s="279"/>
      <c r="E185" s="279"/>
      <c r="F185" s="279"/>
      <c r="G185" s="279"/>
      <c r="H185" s="526" t="s">
        <v>99</v>
      </c>
      <c r="I185" s="527"/>
      <c r="J185" s="527"/>
      <c r="K185" s="527"/>
      <c r="L185" s="527"/>
      <c r="M185" s="527"/>
      <c r="N185" s="528"/>
      <c r="O185" s="534">
        <f>AD188</f>
        <v>0.26666666666666666</v>
      </c>
      <c r="P185" s="534"/>
      <c r="Q185" s="534"/>
      <c r="R185" s="534"/>
      <c r="S185" s="276" t="s">
        <v>71</v>
      </c>
      <c r="T185" s="276"/>
      <c r="U185" s="412" t="str" cm="1">
        <f t="array" ref="U185">angleDecimal2Txt(O185)</f>
        <v>+00°16.00 (+00.2666) [+00°16'00.00]</v>
      </c>
      <c r="V185" s="413"/>
      <c r="W185" s="413"/>
      <c r="X185" s="413"/>
      <c r="Y185" s="413"/>
      <c r="Z185" s="414"/>
      <c r="AA185" s="276"/>
      <c r="AB185" s="349"/>
      <c r="AC185" s="263" t="s">
        <v>358</v>
      </c>
      <c r="AD185" s="378" t="str">
        <f>O184</f>
        <v>BordInf</v>
      </c>
      <c r="AE185" s="378"/>
      <c r="BN185" s="278"/>
      <c r="BO185" s="276"/>
    </row>
    <row r="186" spans="1:67" ht="17.25" customHeight="1" thickTop="1">
      <c r="A186" s="276"/>
      <c r="B186" s="276"/>
      <c r="C186" s="279"/>
      <c r="D186" s="279"/>
      <c r="E186" s="279"/>
      <c r="F186" s="279"/>
      <c r="G186" s="279"/>
      <c r="H186" s="285"/>
      <c r="I186" s="285"/>
      <c r="J186" s="285"/>
      <c r="K186" s="285"/>
      <c r="L186" s="285"/>
      <c r="M186" s="285"/>
      <c r="N186" s="285"/>
      <c r="O186" s="285"/>
      <c r="P186" s="285"/>
      <c r="Q186" s="285"/>
      <c r="R186" s="285"/>
      <c r="S186" s="285"/>
      <c r="T186" s="285"/>
      <c r="U186" s="285"/>
      <c r="V186" s="285"/>
      <c r="W186" s="285"/>
      <c r="X186" s="285"/>
      <c r="Y186" s="285"/>
      <c r="Z186" s="285"/>
      <c r="AA186" s="276"/>
      <c r="AB186" s="349"/>
      <c r="AC186" s="263" t="s">
        <v>359</v>
      </c>
      <c r="AD186" s="636">
        <f>HLOOKUP(AD185,AD133:AF134,2)</f>
        <v>0.5</v>
      </c>
      <c r="AE186" s="636"/>
      <c r="BN186" s="278"/>
      <c r="BO186" s="276"/>
    </row>
    <row r="187" spans="1:67" ht="17.25" customHeight="1">
      <c r="A187" s="276"/>
      <c r="B187" s="276"/>
      <c r="C187" s="279"/>
      <c r="D187" s="279"/>
      <c r="E187" s="279"/>
      <c r="F187" s="279"/>
      <c r="G187" s="542" t="s">
        <v>170</v>
      </c>
      <c r="H187" s="543"/>
      <c r="I187" s="543"/>
      <c r="J187" s="543"/>
      <c r="K187" s="543"/>
      <c r="L187" s="543"/>
      <c r="M187" s="543"/>
      <c r="N187" s="543"/>
      <c r="O187" s="543"/>
      <c r="P187" s="543"/>
      <c r="Q187" s="543"/>
      <c r="R187" s="543"/>
      <c r="S187" s="544"/>
      <c r="T187" s="285"/>
      <c r="U187" s="285"/>
      <c r="V187" s="285"/>
      <c r="W187" s="285"/>
      <c r="X187" s="285"/>
      <c r="Y187" s="285"/>
      <c r="Z187" s="285"/>
      <c r="AA187" s="276"/>
      <c r="AB187" s="349"/>
      <c r="AC187" s="263" t="s">
        <v>134</v>
      </c>
      <c r="AD187" s="6" t="str">
        <f>HLOOKUP(AD184,AD129:AF131,3)</f>
        <v>32'</v>
      </c>
      <c r="AE187" s="6" cm="1">
        <f t="array" ref="AE187">angleConvert2Decimal(AD187)</f>
        <v>0.53333333333333333</v>
      </c>
      <c r="BN187" s="278"/>
      <c r="BO187" s="276"/>
    </row>
    <row r="188" spans="1:67" ht="17.25" customHeight="1">
      <c r="A188" s="276"/>
      <c r="B188" s="276"/>
      <c r="C188" s="279"/>
      <c r="D188" s="279"/>
      <c r="E188" s="279"/>
      <c r="F188" s="279"/>
      <c r="G188" s="546" t="s">
        <v>183</v>
      </c>
      <c r="H188" s="548"/>
      <c r="I188" s="564" t="s">
        <v>175</v>
      </c>
      <c r="J188" s="565"/>
      <c r="K188" s="565"/>
      <c r="L188" s="565"/>
      <c r="M188" s="565"/>
      <c r="N188" s="566"/>
      <c r="O188" s="517">
        <f>(O176-O181-O169+O183/2) * 60</f>
        <v>13.157331061612158</v>
      </c>
      <c r="P188" s="518"/>
      <c r="Q188" s="518"/>
      <c r="R188" s="518"/>
      <c r="S188" s="521" t="s">
        <v>171</v>
      </c>
      <c r="T188" s="285"/>
      <c r="U188" s="285"/>
      <c r="V188" s="285"/>
      <c r="W188" s="285"/>
      <c r="X188" s="285"/>
      <c r="Y188" s="285"/>
      <c r="Z188" s="285"/>
      <c r="AA188" s="276"/>
      <c r="AB188" s="349"/>
      <c r="AC188" s="263" t="s">
        <v>359</v>
      </c>
      <c r="AD188" s="636">
        <f>AE187*AD186</f>
        <v>0.26666666666666666</v>
      </c>
      <c r="AE188" s="636"/>
      <c r="BN188" s="278"/>
      <c r="BO188" s="276"/>
    </row>
    <row r="189" spans="1:67" ht="17.25" customHeight="1">
      <c r="A189" s="276"/>
      <c r="B189" s="276"/>
      <c r="C189" s="279"/>
      <c r="D189" s="279"/>
      <c r="E189" s="279"/>
      <c r="F189" s="279"/>
      <c r="G189" s="644"/>
      <c r="H189" s="645"/>
      <c r="I189" s="523" t="s">
        <v>179</v>
      </c>
      <c r="J189" s="524"/>
      <c r="K189" s="524"/>
      <c r="L189" s="524"/>
      <c r="M189" s="524"/>
      <c r="N189" s="525"/>
      <c r="O189" s="519"/>
      <c r="P189" s="520"/>
      <c r="Q189" s="520"/>
      <c r="R189" s="520"/>
      <c r="S189" s="522"/>
      <c r="T189" s="285"/>
      <c r="U189" s="285"/>
      <c r="V189" s="285"/>
      <c r="W189" s="285"/>
      <c r="X189" s="285"/>
      <c r="Y189" s="285"/>
      <c r="Z189" s="285"/>
      <c r="AA189" s="276"/>
      <c r="AB189" s="349"/>
      <c r="BN189" s="278"/>
      <c r="BO189" s="276"/>
    </row>
    <row r="190" spans="1:67" ht="17.25" customHeight="1">
      <c r="A190" s="276"/>
      <c r="B190" s="276"/>
      <c r="C190" s="279"/>
      <c r="D190" s="279"/>
      <c r="E190" s="279"/>
      <c r="F190" s="279"/>
      <c r="G190" s="279"/>
      <c r="H190" s="285"/>
      <c r="I190" s="564" t="s">
        <v>176</v>
      </c>
      <c r="J190" s="565"/>
      <c r="K190" s="565"/>
      <c r="L190" s="565"/>
      <c r="M190" s="565"/>
      <c r="N190" s="566"/>
      <c r="O190" s="518">
        <f>(O176-O181+O183/2)*60</f>
        <v>15.64351850426406</v>
      </c>
      <c r="P190" s="518"/>
      <c r="Q190" s="518"/>
      <c r="R190" s="518"/>
      <c r="S190" s="521" t="s">
        <v>171</v>
      </c>
      <c r="T190" s="285"/>
      <c r="U190" s="285"/>
      <c r="V190" s="285"/>
      <c r="W190" s="285"/>
      <c r="X190" s="285"/>
      <c r="Y190" s="285"/>
      <c r="Z190" s="285"/>
      <c r="AA190" s="276"/>
      <c r="AB190" s="349"/>
      <c r="BN190" s="278"/>
      <c r="BO190" s="276"/>
    </row>
    <row r="191" spans="1:67" ht="17.25" customHeight="1">
      <c r="A191" s="276"/>
      <c r="B191" s="276"/>
      <c r="C191" s="279"/>
      <c r="D191" s="279"/>
      <c r="E191" s="279"/>
      <c r="F191" s="279"/>
      <c r="G191" s="279"/>
      <c r="H191" s="285"/>
      <c r="I191" s="523" t="s">
        <v>177</v>
      </c>
      <c r="J191" s="524"/>
      <c r="K191" s="524"/>
      <c r="L191" s="524"/>
      <c r="M191" s="524"/>
      <c r="N191" s="525"/>
      <c r="O191" s="520"/>
      <c r="P191" s="520"/>
      <c r="Q191" s="520"/>
      <c r="R191" s="520"/>
      <c r="S191" s="522"/>
      <c r="T191" s="285"/>
      <c r="U191" s="285"/>
      <c r="V191" s="285"/>
      <c r="W191" s="285"/>
      <c r="X191" s="285"/>
      <c r="Y191" s="285"/>
      <c r="Z191" s="285"/>
      <c r="AA191" s="276"/>
      <c r="AB191" s="349"/>
      <c r="BN191" s="278"/>
      <c r="BO191" s="276"/>
    </row>
    <row r="192" spans="1:67" ht="17.25" customHeight="1">
      <c r="A192" s="276"/>
      <c r="B192" s="276"/>
      <c r="C192" s="279"/>
      <c r="D192" s="279"/>
      <c r="E192" s="279"/>
      <c r="F192" s="279"/>
      <c r="G192" s="279"/>
      <c r="H192" s="285"/>
      <c r="I192" s="690" t="s">
        <v>99</v>
      </c>
      <c r="J192" s="691"/>
      <c r="K192" s="691"/>
      <c r="L192" s="691"/>
      <c r="M192" s="691"/>
      <c r="N192" s="692"/>
      <c r="O192" s="490">
        <f>O185*60</f>
        <v>16</v>
      </c>
      <c r="P192" s="491"/>
      <c r="Q192" s="491"/>
      <c r="R192" s="491"/>
      <c r="S192" s="159" t="s">
        <v>171</v>
      </c>
      <c r="T192" s="285"/>
      <c r="U192" s="285"/>
      <c r="V192" s="285"/>
      <c r="W192" s="285"/>
      <c r="X192" s="285"/>
      <c r="Y192" s="285"/>
      <c r="Z192" s="285"/>
      <c r="AA192" s="276"/>
      <c r="AB192" s="349"/>
      <c r="BN192" s="278"/>
      <c r="BO192" s="276"/>
    </row>
    <row r="193" spans="1:67" ht="17.25" customHeight="1" thickBot="1">
      <c r="A193" s="276"/>
      <c r="B193" s="276"/>
      <c r="C193" s="279"/>
      <c r="D193" s="279"/>
      <c r="E193" s="279"/>
      <c r="F193" s="279"/>
      <c r="G193" s="279"/>
      <c r="H193" s="285"/>
      <c r="I193" s="285"/>
      <c r="J193" s="285"/>
      <c r="K193" s="285"/>
      <c r="L193" s="285"/>
      <c r="M193" s="285"/>
      <c r="N193" s="285"/>
      <c r="O193" s="285"/>
      <c r="P193" s="285"/>
      <c r="Q193" s="285"/>
      <c r="R193" s="285"/>
      <c r="S193" s="276"/>
      <c r="T193" s="276"/>
      <c r="U193" s="276"/>
      <c r="V193" s="276"/>
      <c r="W193" s="276"/>
      <c r="X193" s="276"/>
      <c r="Y193" s="276"/>
      <c r="Z193" s="276"/>
      <c r="AA193" s="276"/>
      <c r="AB193" s="349"/>
      <c r="BN193" s="278"/>
      <c r="BO193" s="276"/>
    </row>
    <row r="194" spans="1:67" ht="17.25" customHeight="1" thickTop="1" thickBot="1">
      <c r="A194" s="276"/>
      <c r="B194" s="276"/>
      <c r="C194" s="279"/>
      <c r="D194" s="279"/>
      <c r="E194" s="279"/>
      <c r="F194" s="279"/>
      <c r="G194" s="279"/>
      <c r="H194" s="722" t="s">
        <v>246</v>
      </c>
      <c r="I194" s="723"/>
      <c r="J194" s="723"/>
      <c r="K194" s="723"/>
      <c r="L194" s="723"/>
      <c r="M194" s="723"/>
      <c r="N194" s="724"/>
      <c r="O194" s="538">
        <f>O171-O181+O176+O185</f>
        <v>67.147622184360216</v>
      </c>
      <c r="P194" s="390"/>
      <c r="Q194" s="390"/>
      <c r="R194" s="390"/>
      <c r="S194" s="276" t="s">
        <v>71</v>
      </c>
      <c r="T194" s="276"/>
      <c r="U194" s="412" t="str" cm="1">
        <f t="array" ref="U194">angleDecimal2Txt(O194)</f>
        <v>+67°08.85 (+67.1476) [+67°08'51.43]</v>
      </c>
      <c r="V194" s="413"/>
      <c r="W194" s="413"/>
      <c r="X194" s="413"/>
      <c r="Y194" s="413"/>
      <c r="Z194" s="414"/>
      <c r="AA194" s="276"/>
      <c r="AB194" s="349"/>
      <c r="BN194" s="278"/>
      <c r="BO194" s="276"/>
    </row>
    <row r="195" spans="1:67" ht="17.25" customHeight="1" thickTop="1">
      <c r="A195" s="276"/>
      <c r="B195" s="276"/>
      <c r="C195" s="279"/>
      <c r="D195" s="279"/>
      <c r="E195" s="279"/>
      <c r="F195" s="279"/>
      <c r="G195" s="279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349"/>
      <c r="BN195" s="278"/>
      <c r="BO195" s="276"/>
    </row>
    <row r="196" spans="1:67" ht="17.25" customHeight="1">
      <c r="A196" s="276"/>
      <c r="B196" s="276"/>
      <c r="C196" s="279"/>
      <c r="D196" s="279"/>
      <c r="E196" s="279"/>
      <c r="F196" s="725" t="s">
        <v>91</v>
      </c>
      <c r="G196" s="725"/>
      <c r="H196" s="725"/>
      <c r="I196" s="725"/>
      <c r="J196" s="557" t="str">
        <f>IF(G165=AD165,O204,"---")</f>
        <v>---</v>
      </c>
      <c r="K196" s="570"/>
      <c r="L196" s="538"/>
      <c r="M196" s="313"/>
      <c r="N196" s="313"/>
      <c r="O196" s="313"/>
      <c r="P196" s="313"/>
      <c r="Q196" s="313"/>
      <c r="R196" s="313"/>
      <c r="S196" s="313"/>
      <c r="T196" s="313"/>
      <c r="U196" s="313"/>
      <c r="V196" s="313"/>
      <c r="W196" s="313"/>
      <c r="X196" s="313"/>
      <c r="Y196" s="313"/>
      <c r="Z196" s="313"/>
      <c r="AA196" s="276"/>
      <c r="AB196" s="349"/>
      <c r="BN196" s="278"/>
      <c r="BO196" s="276"/>
    </row>
    <row r="197" spans="1:67" ht="17.25" customHeight="1">
      <c r="A197" s="276"/>
      <c r="B197" s="276"/>
      <c r="C197" s="279"/>
      <c r="D197" s="279"/>
      <c r="E197" s="279"/>
      <c r="M197" s="276"/>
      <c r="N197" s="276"/>
      <c r="O197" s="276"/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349"/>
      <c r="BN197" s="278"/>
      <c r="BO197" s="276"/>
    </row>
    <row r="198" spans="1:67" ht="17.25" customHeight="1">
      <c r="A198" s="276"/>
      <c r="B198" s="276"/>
      <c r="C198" s="279"/>
      <c r="D198" s="279"/>
      <c r="E198" s="279"/>
      <c r="M198" s="276"/>
      <c r="N198" s="276"/>
      <c r="O198" s="276"/>
      <c r="P198" s="276"/>
      <c r="Q198" s="276"/>
      <c r="R198" s="276"/>
      <c r="S198" s="276"/>
      <c r="T198" s="315" t="s">
        <v>112</v>
      </c>
      <c r="U198" s="719" t="s">
        <v>40</v>
      </c>
      <c r="V198" s="719"/>
      <c r="W198" s="276"/>
      <c r="X198" s="276"/>
      <c r="Y198" s="276"/>
      <c r="Z198" s="276"/>
      <c r="AA198" s="276"/>
      <c r="AB198" s="349"/>
      <c r="BN198" s="278"/>
      <c r="BO198" s="276"/>
    </row>
    <row r="199" spans="1:67" ht="17.25" customHeight="1">
      <c r="A199" s="276"/>
      <c r="B199" s="276"/>
      <c r="C199" s="279"/>
      <c r="D199" s="279"/>
      <c r="E199" s="279"/>
      <c r="F199" s="279"/>
      <c r="G199" s="279"/>
      <c r="H199" s="276"/>
      <c r="I199" s="276"/>
      <c r="J199" s="276"/>
      <c r="K199" s="276"/>
      <c r="L199" s="276"/>
      <c r="M199" s="276"/>
      <c r="N199" s="276"/>
      <c r="O199" s="276"/>
      <c r="P199" s="276"/>
      <c r="Q199" s="276"/>
      <c r="R199" s="276"/>
      <c r="S199" s="276"/>
      <c r="T199" s="316" t="s">
        <v>108</v>
      </c>
      <c r="U199" s="719" t="s">
        <v>110</v>
      </c>
      <c r="V199" s="719"/>
      <c r="W199" s="276"/>
      <c r="X199" s="276"/>
      <c r="Y199" s="276"/>
      <c r="Z199" s="276"/>
      <c r="AA199" s="276"/>
      <c r="AB199" s="349"/>
      <c r="BN199" s="278"/>
      <c r="BO199" s="276"/>
    </row>
    <row r="200" spans="1:67" ht="17.25" customHeight="1">
      <c r="A200" s="276"/>
      <c r="B200" s="276"/>
      <c r="C200" s="279"/>
      <c r="D200" s="279"/>
      <c r="E200" s="279"/>
      <c r="F200" s="279"/>
      <c r="G200" s="279"/>
      <c r="H200" s="276" t="s">
        <v>100</v>
      </c>
      <c r="I200" s="317" t="s">
        <v>102</v>
      </c>
      <c r="J200" s="276" t="s">
        <v>88</v>
      </c>
      <c r="K200" s="720" t="s">
        <v>105</v>
      </c>
      <c r="L200" s="276" t="s">
        <v>87</v>
      </c>
      <c r="M200" s="276"/>
      <c r="N200" s="720" t="s">
        <v>107</v>
      </c>
      <c r="O200" s="317" t="s">
        <v>467</v>
      </c>
      <c r="P200" s="276"/>
      <c r="Q200" s="720" t="s">
        <v>107</v>
      </c>
      <c r="R200" s="276" t="s">
        <v>468</v>
      </c>
      <c r="S200" s="276"/>
      <c r="T200" s="318" t="s">
        <v>109</v>
      </c>
      <c r="U200" s="721" t="s">
        <v>111</v>
      </c>
      <c r="V200" s="721"/>
      <c r="W200" s="276"/>
      <c r="X200" s="276"/>
      <c r="Y200" s="276"/>
      <c r="AB200" s="349"/>
      <c r="BN200" s="278"/>
      <c r="BO200" s="276"/>
    </row>
    <row r="201" spans="1:67" ht="17.25" customHeight="1" thickBot="1">
      <c r="A201" s="276"/>
      <c r="B201" s="276"/>
      <c r="C201" s="279"/>
      <c r="D201" s="279"/>
      <c r="E201" s="279"/>
      <c r="F201" s="279"/>
      <c r="G201" s="279"/>
      <c r="H201" s="276"/>
      <c r="I201" s="317"/>
      <c r="J201" s="124">
        <f>O167</f>
        <v>66.95</v>
      </c>
      <c r="K201" s="720"/>
      <c r="L201" s="492">
        <f>O168</f>
        <v>2.1666666666666667E-2</v>
      </c>
      <c r="M201" s="493"/>
      <c r="N201" s="720"/>
      <c r="O201" s="496" t="s">
        <v>250</v>
      </c>
      <c r="P201" s="497"/>
      <c r="Q201" s="720"/>
      <c r="R201" s="238" t="s">
        <v>109</v>
      </c>
      <c r="S201" s="276"/>
      <c r="T201" s="276"/>
      <c r="U201" s="276"/>
      <c r="AB201" s="349"/>
      <c r="BN201" s="278"/>
      <c r="BO201" s="276"/>
    </row>
    <row r="202" spans="1:67" ht="17.25" customHeight="1" thickTop="1" thickBot="1">
      <c r="A202" s="276"/>
      <c r="B202" s="276"/>
      <c r="C202" s="279"/>
      <c r="D202" s="279"/>
      <c r="E202" s="279"/>
      <c r="F202" s="279"/>
      <c r="G202" s="279"/>
      <c r="H202" s="276"/>
      <c r="I202" s="317"/>
      <c r="K202" s="317" t="s">
        <v>466</v>
      </c>
      <c r="L202" s="494" cm="1">
        <f t="array" ref="L202">angleConvert2Decimal(L201)</f>
        <v>2.1666666666666699E-2</v>
      </c>
      <c r="M202" s="495"/>
      <c r="N202" s="276"/>
      <c r="O202" s="634" cm="1">
        <f t="array" ref="O202">angleConvert2Decimal(O201)</f>
        <v>0.17166666666666669</v>
      </c>
      <c r="P202" s="635"/>
      <c r="Q202" s="302"/>
      <c r="R202" s="228" cm="1">
        <f t="array" ref="R202">angleConvert2Decimal(R201)</f>
        <v>-0.53333333333333333</v>
      </c>
      <c r="T202" s="13" t="s">
        <v>139</v>
      </c>
      <c r="U202" s="13"/>
      <c r="V202" s="13">
        <f>R202+O202</f>
        <v>-0.36166666666666664</v>
      </c>
      <c r="W202" s="412" t="str" cm="1">
        <f t="array" ref="W202">angleDecimal2Txt(V202)</f>
        <v>-00°21.69 (-00.3616) [-00°21'42.00]</v>
      </c>
      <c r="X202" s="413"/>
      <c r="Y202" s="413"/>
      <c r="Z202" s="413"/>
      <c r="AA202" s="414"/>
      <c r="AB202" s="349"/>
      <c r="BN202" s="278"/>
      <c r="BO202" s="276"/>
    </row>
    <row r="203" spans="1:67" ht="17.25" customHeight="1" thickTop="1" thickBot="1">
      <c r="A203" s="276"/>
      <c r="B203" s="276"/>
      <c r="C203" s="279"/>
      <c r="D203" s="279"/>
      <c r="E203" s="279"/>
      <c r="F203" s="279"/>
      <c r="G203" s="279"/>
      <c r="H203" s="276"/>
      <c r="I203" s="317"/>
      <c r="J203" s="276"/>
      <c r="K203" s="317"/>
      <c r="L203" s="276"/>
      <c r="M203" s="276"/>
      <c r="N203" s="317"/>
      <c r="O203" s="276"/>
      <c r="P203" s="276"/>
      <c r="Q203" s="317"/>
      <c r="R203" s="319"/>
      <c r="S203" s="276"/>
      <c r="T203" s="276"/>
      <c r="U203" s="276"/>
      <c r="V203" s="276"/>
      <c r="W203" s="276"/>
      <c r="X203" s="276"/>
      <c r="Y203" s="276"/>
      <c r="Z203" s="276"/>
      <c r="AA203" s="276"/>
      <c r="AB203" s="349"/>
      <c r="BN203" s="278"/>
      <c r="BO203" s="276"/>
    </row>
    <row r="204" spans="1:67" ht="17.25" customHeight="1" thickTop="1" thickBot="1">
      <c r="A204" s="276"/>
      <c r="B204" s="276"/>
      <c r="C204" s="279"/>
      <c r="D204" s="279"/>
      <c r="E204" s="279"/>
      <c r="F204" s="279"/>
      <c r="G204" s="279"/>
      <c r="H204" s="722" t="s">
        <v>249</v>
      </c>
      <c r="I204" s="723"/>
      <c r="J204" s="723"/>
      <c r="K204" s="723"/>
      <c r="L204" s="723"/>
      <c r="M204" s="723"/>
      <c r="N204" s="724"/>
      <c r="O204" s="538">
        <f>J201-L202+O202+R202</f>
        <v>66.566666666666677</v>
      </c>
      <c r="P204" s="390"/>
      <c r="Q204" s="390"/>
      <c r="R204" s="390"/>
      <c r="S204" s="276" t="s">
        <v>71</v>
      </c>
      <c r="T204" s="276"/>
      <c r="U204" s="412" t="str" cm="1">
        <f t="array" ref="U204">angleDecimal2Txt(O204)</f>
        <v>+66°34.00 (+66.5666) [+66°34'00.00]</v>
      </c>
      <c r="V204" s="413"/>
      <c r="W204" s="413"/>
      <c r="X204" s="413"/>
      <c r="Y204" s="413"/>
      <c r="Z204" s="414"/>
      <c r="AA204" s="276"/>
      <c r="AB204" s="349"/>
      <c r="BN204" s="278"/>
      <c r="BO204" s="276"/>
    </row>
    <row r="205" spans="1:67" ht="17.25" customHeight="1" thickTop="1" thickBot="1">
      <c r="A205" s="276"/>
      <c r="B205" s="276"/>
      <c r="C205" s="279"/>
      <c r="D205" s="320"/>
      <c r="E205" s="279"/>
      <c r="F205" s="279"/>
      <c r="G205" s="279"/>
      <c r="H205" s="276"/>
      <c r="I205" s="276"/>
      <c r="J205" s="276"/>
      <c r="K205" s="276"/>
      <c r="L205" s="276"/>
      <c r="M205" s="276"/>
      <c r="N205" s="276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349"/>
      <c r="BN205" s="278"/>
      <c r="BO205" s="276"/>
    </row>
    <row r="206" spans="1:67" ht="17.25" customHeight="1" thickBot="1">
      <c r="A206" s="276"/>
      <c r="B206" s="707" t="s">
        <v>510</v>
      </c>
      <c r="C206" s="708"/>
      <c r="D206" s="708"/>
      <c r="E206" s="708"/>
      <c r="F206" s="708"/>
      <c r="G206" s="708"/>
      <c r="H206" s="708"/>
      <c r="I206" s="708"/>
      <c r="J206" s="708"/>
      <c r="K206" s="708"/>
      <c r="L206" s="708"/>
      <c r="M206" s="708"/>
      <c r="N206" s="708"/>
      <c r="O206" s="708"/>
      <c r="P206" s="708"/>
      <c r="Q206" s="708"/>
      <c r="R206" s="708"/>
      <c r="S206" s="708"/>
      <c r="T206" s="708"/>
      <c r="U206" s="708"/>
      <c r="V206" s="708"/>
      <c r="W206" s="708"/>
      <c r="X206" s="708"/>
      <c r="Y206" s="708"/>
      <c r="Z206" s="708"/>
      <c r="AA206" s="708"/>
      <c r="AB206" s="351"/>
      <c r="BN206" s="278"/>
      <c r="BO206" s="276"/>
    </row>
    <row r="207" spans="1:67" ht="17.25" customHeight="1">
      <c r="A207" s="276"/>
      <c r="B207" s="276"/>
      <c r="C207" s="276"/>
      <c r="D207" s="276"/>
      <c r="E207" s="276"/>
      <c r="F207" s="276"/>
      <c r="G207" s="276"/>
      <c r="H207" s="276"/>
      <c r="I207" s="276"/>
      <c r="J207" s="276"/>
      <c r="K207" s="276"/>
      <c r="L207" s="276"/>
      <c r="M207" s="276"/>
      <c r="N207" s="276"/>
      <c r="O207" s="276"/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349"/>
      <c r="BN207" s="278"/>
      <c r="BO207" s="276"/>
    </row>
    <row r="208" spans="1:67" ht="17.25" customHeight="1">
      <c r="A208" s="276"/>
      <c r="B208" s="276"/>
      <c r="C208" s="285"/>
      <c r="D208" s="285"/>
      <c r="E208" s="498" t="s">
        <v>516</v>
      </c>
      <c r="F208" s="499"/>
      <c r="G208" s="499"/>
      <c r="H208" s="499"/>
      <c r="I208" s="603">
        <f>90-Q209</f>
        <v>22.852377815639784</v>
      </c>
      <c r="J208" s="394"/>
      <c r="K208" s="394"/>
      <c r="L208" s="394"/>
      <c r="M208" s="395"/>
      <c r="N208" s="276"/>
      <c r="O208" s="712" t="s">
        <v>511</v>
      </c>
      <c r="P208" s="713"/>
      <c r="Q208" s="714"/>
      <c r="R208" s="714"/>
      <c r="S208" s="714"/>
      <c r="T208" s="715"/>
      <c r="AB208" s="349"/>
      <c r="BN208" s="278"/>
      <c r="BO208" s="276"/>
    </row>
    <row r="209" spans="1:67" ht="17.25" customHeight="1" thickBot="1">
      <c r="A209" s="276"/>
      <c r="B209" s="276"/>
      <c r="C209" s="285"/>
      <c r="D209" s="285"/>
      <c r="E209" s="501"/>
      <c r="F209" s="502"/>
      <c r="G209" s="502"/>
      <c r="H209" s="502"/>
      <c r="I209" s="716"/>
      <c r="J209" s="717"/>
      <c r="K209" s="717"/>
      <c r="L209" s="717"/>
      <c r="M209" s="718"/>
      <c r="N209" s="321" t="s">
        <v>184</v>
      </c>
      <c r="O209" s="696" t="s">
        <v>100</v>
      </c>
      <c r="P209" s="697"/>
      <c r="Q209" s="403">
        <f>F164</f>
        <v>67.147622184360216</v>
      </c>
      <c r="R209" s="404"/>
      <c r="S209" s="404"/>
      <c r="T209" s="257" t="s">
        <v>71</v>
      </c>
      <c r="Y209" s="276"/>
      <c r="Z209" s="276"/>
      <c r="AA209" s="276"/>
      <c r="AB209" s="349"/>
      <c r="BN209" s="278"/>
      <c r="BO209" s="276"/>
    </row>
    <row r="210" spans="1:67" ht="17.25" customHeight="1" thickTop="1" thickBot="1">
      <c r="A210" s="276"/>
      <c r="B210" s="276"/>
      <c r="C210" s="285"/>
      <c r="D210" s="285"/>
      <c r="E210" s="504"/>
      <c r="F210" s="505"/>
      <c r="G210" s="505"/>
      <c r="H210" s="505"/>
      <c r="I210" s="412" t="str" cm="1">
        <f t="array" ref="I210">angleDecimal2Txt(I208)</f>
        <v>+22°51.14 (+22.8523) [+22°51'08.56]</v>
      </c>
      <c r="J210" s="413"/>
      <c r="K210" s="413"/>
      <c r="L210" s="413"/>
      <c r="M210" s="414"/>
      <c r="N210" s="276"/>
      <c r="O210" s="696" t="s">
        <v>114</v>
      </c>
      <c r="P210" s="697"/>
      <c r="Q210" s="403">
        <f>F146</f>
        <v>23.13413311648976</v>
      </c>
      <c r="R210" s="404"/>
      <c r="S210" s="404"/>
      <c r="T210" s="257" t="s">
        <v>71</v>
      </c>
      <c r="Y210" s="276"/>
      <c r="Z210" s="276"/>
      <c r="AA210" s="276"/>
      <c r="AB210" s="349"/>
      <c r="BN210" s="278"/>
      <c r="BO210" s="276"/>
    </row>
    <row r="211" spans="1:67" ht="17.25" customHeight="1" thickTop="1">
      <c r="A211" s="276"/>
      <c r="B211" s="276"/>
      <c r="C211" s="285"/>
      <c r="D211" s="285"/>
      <c r="E211" s="276"/>
      <c r="F211" s="276"/>
      <c r="G211" s="276"/>
      <c r="H211" s="276"/>
      <c r="I211" s="276"/>
      <c r="J211" s="276"/>
      <c r="K211" s="276"/>
      <c r="L211" s="276"/>
      <c r="M211" s="276"/>
      <c r="N211" s="276"/>
      <c r="O211" s="276"/>
      <c r="P211" s="276"/>
      <c r="Q211" s="276"/>
      <c r="R211" s="276"/>
      <c r="S211" s="276"/>
      <c r="T211" s="276"/>
      <c r="U211" s="276"/>
      <c r="V211" s="276"/>
      <c r="AA211" s="276"/>
      <c r="AB211" s="349"/>
      <c r="BN211" s="278"/>
      <c r="BO211" s="276"/>
    </row>
    <row r="212" spans="1:67" ht="17.25" customHeight="1">
      <c r="A212" s="276"/>
      <c r="B212" s="276"/>
      <c r="C212" s="285"/>
      <c r="D212" s="285"/>
      <c r="AB212" s="349"/>
      <c r="BN212" s="278"/>
      <c r="BO212" s="276"/>
    </row>
    <row r="213" spans="1:67" ht="17.25" customHeight="1">
      <c r="A213" s="276"/>
      <c r="B213" s="276"/>
      <c r="C213" s="285"/>
      <c r="D213" s="285"/>
      <c r="E213" s="709" t="s">
        <v>395</v>
      </c>
      <c r="F213" s="710"/>
      <c r="G213" s="710"/>
      <c r="H213" s="710"/>
      <c r="I213" s="710"/>
      <c r="J213" s="710"/>
      <c r="K213" s="710"/>
      <c r="L213" s="710"/>
      <c r="M213" s="710"/>
      <c r="N213" s="710"/>
      <c r="O213" s="711"/>
      <c r="AB213" s="349"/>
      <c r="BN213" s="278"/>
      <c r="BO213" s="276"/>
    </row>
    <row r="214" spans="1:67" ht="17.25" customHeight="1">
      <c r="A214" s="276"/>
      <c r="B214" s="276"/>
      <c r="C214" s="285"/>
      <c r="D214" s="285"/>
      <c r="E214" s="383"/>
      <c r="F214" s="383" t="s">
        <v>397</v>
      </c>
      <c r="G214" s="383"/>
      <c r="H214" s="383"/>
      <c r="I214" s="383"/>
      <c r="J214" s="383"/>
      <c r="K214" s="700" t="s">
        <v>399</v>
      </c>
      <c r="L214" s="701"/>
      <c r="M214" s="701"/>
      <c r="N214" s="701"/>
      <c r="O214" s="702"/>
      <c r="Q214" s="389" t="s">
        <v>115</v>
      </c>
      <c r="R214" s="389"/>
      <c r="S214" s="698">
        <f>F142</f>
        <v>46.1</v>
      </c>
      <c r="T214" s="698"/>
      <c r="U214" s="398" t="str">
        <f>CONCATENATE("Lat et Dec - Meme sens ?: ",AC214)</f>
        <v>Lat et Dec - Meme sens ?: TRUE</v>
      </c>
      <c r="V214" s="398"/>
      <c r="W214" s="398"/>
      <c r="X214" s="398"/>
      <c r="Y214" s="276"/>
      <c r="AB214" s="349"/>
      <c r="AC214" s="277" t="b">
        <f>IF(S214*S215&gt;0,TRUE,FALSE)</f>
        <v>1</v>
      </c>
      <c r="BN214" s="278"/>
      <c r="BO214" s="276"/>
    </row>
    <row r="215" spans="1:67" ht="17.25" customHeight="1">
      <c r="A215" s="276"/>
      <c r="B215" s="276"/>
      <c r="C215" s="285"/>
      <c r="D215" s="285"/>
      <c r="E215" s="383"/>
      <c r="F215" s="383" t="s">
        <v>398</v>
      </c>
      <c r="G215" s="383"/>
      <c r="H215" s="383"/>
      <c r="I215" s="383"/>
      <c r="J215" s="383"/>
      <c r="K215" s="700" t="s">
        <v>400</v>
      </c>
      <c r="L215" s="701"/>
      <c r="M215" s="701"/>
      <c r="N215" s="701"/>
      <c r="O215" s="702"/>
      <c r="Q215" s="389" t="s">
        <v>114</v>
      </c>
      <c r="R215" s="389"/>
      <c r="S215" s="698">
        <f>F146</f>
        <v>23.13413311648976</v>
      </c>
      <c r="T215" s="698"/>
      <c r="U215" s="398" t="str">
        <f>CONCATENATE("Lat &gt; Dec  ? : ",AC215)</f>
        <v>Lat &gt; Dec  ? : TRUE</v>
      </c>
      <c r="V215" s="398"/>
      <c r="W215" s="398"/>
      <c r="X215" s="398"/>
      <c r="Y215" s="276"/>
      <c r="AB215" s="349"/>
      <c r="AC215" s="322" t="b">
        <f>IF(ABS(S214)&gt;ABS(S215),TRUE, FALSE)</f>
        <v>1</v>
      </c>
      <c r="BN215" s="278"/>
      <c r="BO215" s="276"/>
    </row>
    <row r="216" spans="1:67" ht="17.25" customHeight="1">
      <c r="A216" s="276"/>
      <c r="B216" s="276"/>
      <c r="C216" s="276"/>
      <c r="D216" s="276"/>
      <c r="E216" s="699" t="s">
        <v>396</v>
      </c>
      <c r="F216" s="699"/>
      <c r="G216" s="699"/>
      <c r="H216" s="699"/>
      <c r="I216" s="699"/>
      <c r="J216" s="699"/>
      <c r="K216" s="700" t="s">
        <v>401</v>
      </c>
      <c r="L216" s="701"/>
      <c r="M216" s="701"/>
      <c r="N216" s="701"/>
      <c r="O216" s="702"/>
      <c r="AB216" s="349"/>
      <c r="AC216" s="277" t="s">
        <v>513</v>
      </c>
      <c r="AD216" s="323">
        <f>I208+S215</f>
        <v>45.986510932129548</v>
      </c>
      <c r="BN216" s="278"/>
      <c r="BO216" s="276"/>
    </row>
    <row r="217" spans="1:67" ht="17.25" customHeight="1">
      <c r="A217" s="276"/>
      <c r="B217" s="276"/>
      <c r="C217" s="279"/>
      <c r="D217" s="279"/>
      <c r="E217" s="276"/>
      <c r="F217" s="276"/>
      <c r="G217" s="276"/>
      <c r="H217" s="276"/>
      <c r="I217" s="276"/>
      <c r="J217" s="276"/>
      <c r="K217" s="276"/>
      <c r="L217" s="276"/>
      <c r="M217" s="276"/>
      <c r="N217" s="276"/>
      <c r="O217" s="276"/>
      <c r="AB217" s="349"/>
      <c r="AC217" s="277" t="s">
        <v>514</v>
      </c>
      <c r="AD217" s="323">
        <f>S215-I208</f>
        <v>0.28175530084997646</v>
      </c>
      <c r="BN217" s="278"/>
      <c r="BO217" s="276"/>
    </row>
    <row r="218" spans="1:67" ht="17.25" customHeight="1" thickBot="1">
      <c r="A218" s="276"/>
      <c r="B218" s="276"/>
      <c r="C218" s="279"/>
      <c r="D218" s="279"/>
      <c r="E218" s="279"/>
      <c r="F218" s="279"/>
      <c r="G218" s="279"/>
      <c r="H218" s="276"/>
      <c r="I218" s="276"/>
      <c r="J218" s="276"/>
      <c r="K218" s="276"/>
      <c r="L218" s="276"/>
      <c r="AB218" s="349"/>
      <c r="AC218" s="277" t="s">
        <v>515</v>
      </c>
      <c r="AD218" s="323">
        <f>I208-S215</f>
        <v>-0.28175530084997646</v>
      </c>
      <c r="BN218" s="278"/>
      <c r="BO218" s="276"/>
    </row>
    <row r="219" spans="1:67" ht="17.25" customHeight="1" thickTop="1" thickBot="1">
      <c r="A219" s="276"/>
      <c r="B219" s="276"/>
      <c r="C219" s="279"/>
      <c r="D219" s="279"/>
      <c r="E219" s="279"/>
      <c r="F219" s="279"/>
      <c r="G219" s="279"/>
      <c r="H219" s="704" t="s">
        <v>394</v>
      </c>
      <c r="I219" s="705"/>
      <c r="J219" s="705"/>
      <c r="K219" s="705"/>
      <c r="L219" s="706"/>
      <c r="M219" s="687">
        <f>AC219</f>
        <v>45.986510932129548</v>
      </c>
      <c r="N219" s="688"/>
      <c r="O219" s="132" t="s">
        <v>34</v>
      </c>
      <c r="P219" s="414" t="str">
        <f>latitudeDecimal2Txt(M219)</f>
        <v>N 45°59.19 (N 45.9865) [N 45°59'11.43]</v>
      </c>
      <c r="Q219" s="402"/>
      <c r="R219" s="402"/>
      <c r="S219" s="402"/>
      <c r="T219" s="402"/>
      <c r="U219" s="402"/>
      <c r="AB219" s="349"/>
      <c r="AC219" s="277">
        <f>IF(AC214,IF(AC215,AD216,AD217),AD218)</f>
        <v>45.986510932129548</v>
      </c>
      <c r="BN219" s="278"/>
      <c r="BO219" s="276"/>
    </row>
    <row r="220" spans="1:67" ht="17.25" customHeight="1" thickTop="1" thickBot="1">
      <c r="A220" s="285"/>
      <c r="B220" s="285"/>
      <c r="C220" s="285"/>
      <c r="D220" s="285"/>
      <c r="H220" s="704" t="s">
        <v>337</v>
      </c>
      <c r="I220" s="705"/>
      <c r="J220" s="705"/>
      <c r="K220" s="705"/>
      <c r="L220" s="706"/>
      <c r="M220" s="687" t="e">
        <f>Q109</f>
        <v>#DIV/0!</v>
      </c>
      <c r="N220" s="688"/>
      <c r="O220" s="132" t="s">
        <v>34</v>
      </c>
      <c r="P220" s="414" t="e">
        <f>longitudeDecimal2Txt(M220)</f>
        <v>#VALUE!</v>
      </c>
      <c r="Q220" s="402"/>
      <c r="R220" s="402"/>
      <c r="S220" s="402"/>
      <c r="T220" s="402"/>
      <c r="U220" s="402"/>
      <c r="V220" s="276"/>
      <c r="W220" s="276"/>
      <c r="X220" s="276"/>
      <c r="Y220" s="276"/>
      <c r="Z220" s="276"/>
      <c r="AA220" s="276"/>
      <c r="AB220" s="349"/>
      <c r="BN220" s="278"/>
      <c r="BO220" s="276"/>
    </row>
    <row r="221" spans="1:67" s="276" customFormat="1" ht="17.25" customHeight="1" thickTop="1">
      <c r="C221" s="279"/>
      <c r="D221" s="279"/>
      <c r="E221" s="279"/>
      <c r="F221" s="279"/>
      <c r="G221" s="279"/>
      <c r="AB221" s="349"/>
      <c r="AC221" s="277"/>
      <c r="AD221" s="277"/>
      <c r="AE221" s="277"/>
      <c r="AF221" s="277"/>
      <c r="AG221" s="277"/>
      <c r="AH221" s="277"/>
      <c r="AI221" s="277"/>
      <c r="AJ221" s="277"/>
      <c r="AK221" s="277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8"/>
    </row>
    <row r="222" spans="1:67" ht="17.25" customHeight="1" thickBot="1">
      <c r="A222" s="276"/>
      <c r="B222" s="276"/>
      <c r="C222" s="279"/>
      <c r="D222" s="279"/>
      <c r="E222" s="279"/>
      <c r="F222" s="279"/>
      <c r="G222" s="279"/>
      <c r="H222" s="276"/>
      <c r="I222" s="276"/>
      <c r="J222" s="276"/>
      <c r="K222" s="276"/>
      <c r="L222" s="276"/>
      <c r="M222" s="276"/>
      <c r="N222" s="276"/>
      <c r="O222" s="276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349"/>
      <c r="BN222" s="278"/>
      <c r="BO222" s="276"/>
    </row>
    <row r="223" spans="1:67" ht="17.25" customHeight="1" thickBot="1">
      <c r="A223" s="276"/>
      <c r="B223" s="293" t="s">
        <v>469</v>
      </c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351"/>
      <c r="BN223" s="278"/>
      <c r="BO223" s="276"/>
    </row>
    <row r="224" spans="1:67" s="276" customFormat="1" ht="17.25" customHeight="1">
      <c r="C224" s="279"/>
      <c r="D224" s="279"/>
      <c r="E224" s="279"/>
      <c r="F224" s="279"/>
      <c r="G224" s="279"/>
      <c r="AB224" s="349"/>
      <c r="AC224" s="277"/>
      <c r="AD224" s="277"/>
      <c r="AE224" s="277"/>
      <c r="AF224" s="277"/>
      <c r="AG224" s="277"/>
      <c r="AH224" s="277"/>
      <c r="AI224" s="277"/>
      <c r="AJ224" s="277"/>
      <c r="AK224" s="277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8"/>
    </row>
    <row r="225" spans="1:67" ht="17.25" customHeight="1" thickBot="1">
      <c r="A225" s="276"/>
      <c r="B225" s="276"/>
      <c r="C225" s="381" t="s">
        <v>470</v>
      </c>
      <c r="D225" s="381"/>
      <c r="E225" s="381"/>
      <c r="F225" s="381"/>
      <c r="G225" s="239"/>
      <c r="H225" s="381" t="s">
        <v>471</v>
      </c>
      <c r="I225" s="381"/>
      <c r="J225" s="381"/>
      <c r="K225" s="276"/>
      <c r="L225" s="382" t="s">
        <v>448</v>
      </c>
      <c r="M225" s="382"/>
      <c r="N225" s="382"/>
      <c r="O225" s="276"/>
      <c r="P225" s="276"/>
      <c r="Q225" s="703" t="s">
        <v>472</v>
      </c>
      <c r="R225" s="703"/>
      <c r="S225" s="703"/>
      <c r="T225" s="703"/>
      <c r="U225" s="324"/>
      <c r="V225" s="276"/>
      <c r="W225" s="276"/>
      <c r="X225" s="276"/>
      <c r="Y225" s="276"/>
      <c r="Z225" s="276"/>
      <c r="AA225" s="276"/>
      <c r="AB225" s="349"/>
      <c r="AD225" s="323"/>
      <c r="BN225" s="278"/>
      <c r="BO225" s="276"/>
    </row>
    <row r="226" spans="1:67" ht="17.25" customHeight="1" thickTop="1" thickBot="1">
      <c r="A226" s="276"/>
      <c r="B226" s="276"/>
      <c r="C226" s="279"/>
      <c r="D226" s="325" t="s">
        <v>49</v>
      </c>
      <c r="E226" s="383">
        <f>M219</f>
        <v>45.986510932129548</v>
      </c>
      <c r="F226" s="383"/>
      <c r="G226" s="279"/>
      <c r="H226" s="276"/>
      <c r="I226" s="383">
        <f>V213</f>
        <v>0</v>
      </c>
      <c r="J226" s="383"/>
      <c r="K226" s="276" t="s">
        <v>149</v>
      </c>
      <c r="L226" s="276"/>
      <c r="M226" s="383">
        <v>180</v>
      </c>
      <c r="N226" s="383"/>
      <c r="O226" s="276"/>
      <c r="P226" s="276"/>
      <c r="Q226" s="276"/>
      <c r="R226" s="326" t="s">
        <v>49</v>
      </c>
      <c r="S226" s="378">
        <f>E226</f>
        <v>45.986510932129548</v>
      </c>
      <c r="T226" s="378"/>
      <c r="U226" s="693" t="str" cm="1">
        <f t="array" ref="U226">latitudeDecimal2Txt(S226)</f>
        <v>N 45°59.19 (N 45.9865) [N 45°59'11.43]</v>
      </c>
      <c r="V226" s="694"/>
      <c r="W226" s="694"/>
      <c r="X226" s="694"/>
      <c r="Y226" s="694"/>
      <c r="Z226" s="695"/>
      <c r="AA226" s="276"/>
      <c r="AB226" s="349"/>
      <c r="AD226" s="323"/>
      <c r="BN226" s="278"/>
      <c r="BO226" s="276"/>
    </row>
    <row r="227" spans="1:67" ht="17.25" customHeight="1" thickTop="1">
      <c r="A227" s="276"/>
      <c r="B227" s="276"/>
      <c r="C227" s="279"/>
      <c r="D227" s="325" t="s">
        <v>50</v>
      </c>
      <c r="E227" s="383" t="e">
        <f>M220</f>
        <v>#DIV/0!</v>
      </c>
      <c r="F227" s="383"/>
      <c r="G227" s="279"/>
      <c r="H227" s="276"/>
      <c r="I227" s="276"/>
      <c r="J227" s="276"/>
      <c r="K227" s="276"/>
      <c r="L227" s="276"/>
      <c r="M227" s="276"/>
      <c r="N227" s="276"/>
      <c r="O227" s="276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349"/>
      <c r="BN227" s="278"/>
      <c r="BO227" s="276"/>
    </row>
    <row r="228" spans="1:67" ht="17.25" customHeight="1">
      <c r="A228" s="276"/>
      <c r="B228" s="276"/>
      <c r="F228" s="279"/>
      <c r="G228" s="279"/>
      <c r="H228" s="276"/>
      <c r="I228" s="276"/>
      <c r="J228" s="276"/>
      <c r="K228" s="276"/>
      <c r="L228" s="276"/>
      <c r="M228" s="276"/>
      <c r="N228" s="276"/>
      <c r="O228" s="276"/>
      <c r="P228" s="276"/>
      <c r="Q228" s="703" t="s">
        <v>473</v>
      </c>
      <c r="R228" s="703"/>
      <c r="S228" s="703"/>
      <c r="T228" s="276"/>
      <c r="U228" s="276"/>
      <c r="V228" s="276"/>
      <c r="W228" s="276"/>
      <c r="X228" s="276"/>
      <c r="Y228" s="276"/>
      <c r="Z228" s="276"/>
      <c r="AA228" s="276"/>
      <c r="AB228" s="349"/>
      <c r="BN228" s="278"/>
      <c r="BO228" s="276"/>
    </row>
    <row r="229" spans="1:67" ht="17.25" customHeight="1">
      <c r="A229" s="276"/>
      <c r="B229" s="276"/>
      <c r="C229" s="279"/>
      <c r="D229" s="279"/>
      <c r="E229" s="279"/>
      <c r="F229" s="279"/>
      <c r="G229" s="279"/>
      <c r="H229" s="276"/>
      <c r="I229" s="276"/>
      <c r="J229" s="276"/>
      <c r="K229" s="276"/>
      <c r="L229" s="276"/>
      <c r="M229" s="276"/>
      <c r="N229" s="276"/>
      <c r="O229" s="276"/>
      <c r="P229" s="276"/>
      <c r="Q229" s="276"/>
      <c r="R229" s="378">
        <f>M226-90</f>
        <v>90</v>
      </c>
      <c r="S229" s="378"/>
      <c r="T229" s="132" t="s">
        <v>34</v>
      </c>
      <c r="U229" s="276"/>
      <c r="V229" s="276"/>
      <c r="W229" s="276"/>
      <c r="X229" s="276"/>
      <c r="Y229" s="276"/>
      <c r="Z229" s="276"/>
      <c r="AA229" s="276"/>
      <c r="AB229" s="349"/>
      <c r="BN229" s="278"/>
      <c r="BO229" s="276"/>
    </row>
    <row r="230" spans="1:67" ht="17.25" customHeight="1"/>
    <row r="231" spans="1:67" ht="17.25" customHeight="1" thickBot="1"/>
    <row r="232" spans="1:67" ht="17.25" customHeight="1" thickBot="1">
      <c r="B232" s="327" t="s">
        <v>477</v>
      </c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</row>
    <row r="233" spans="1:67" ht="17.25" customHeight="1">
      <c r="AD233" s="323"/>
    </row>
    <row r="234" spans="1:67" ht="17.25" customHeight="1" thickBot="1">
      <c r="C234" s="384" t="s">
        <v>472</v>
      </c>
      <c r="D234" s="384"/>
      <c r="E234" s="384"/>
      <c r="F234" s="384"/>
      <c r="G234" s="324"/>
      <c r="H234" s="276"/>
      <c r="I234" s="276"/>
      <c r="J234" s="276"/>
      <c r="K234" s="276"/>
      <c r="L234" s="276"/>
      <c r="Q234" s="330" t="s">
        <v>478</v>
      </c>
      <c r="R234" s="330"/>
      <c r="S234" s="330"/>
      <c r="T234" s="330"/>
      <c r="U234" s="330"/>
      <c r="V234" s="330"/>
      <c r="W234" s="330"/>
    </row>
    <row r="235" spans="1:67" ht="17.25" customHeight="1" thickTop="1" thickBot="1">
      <c r="D235" s="331" t="s">
        <v>49</v>
      </c>
      <c r="E235" s="385">
        <f>I244</f>
        <v>0</v>
      </c>
      <c r="F235" s="385"/>
      <c r="G235" s="379" t="str" cm="1">
        <f t="array" ref="G235">latitudeDecimal2Txt(E235)</f>
        <v>N 00°00.00 (N 00.0000) [N 00°00'00.00]</v>
      </c>
      <c r="H235" s="379"/>
      <c r="I235" s="379"/>
      <c r="J235" s="379"/>
      <c r="K235" s="379"/>
      <c r="L235" s="379"/>
      <c r="R235" s="326" t="s">
        <v>49</v>
      </c>
      <c r="S235" s="378">
        <f>AG238</f>
        <v>45.986510932129548</v>
      </c>
      <c r="T235" s="378"/>
      <c r="U235" s="379" t="str" cm="1">
        <f t="array" ref="U235">latitudeDecimal2Txt(S235)</f>
        <v>N 45°59.19 (N 45.9865) [N 45°59'11.43]</v>
      </c>
      <c r="V235" s="379"/>
      <c r="W235" s="379"/>
      <c r="X235" s="379"/>
      <c r="Y235" s="379"/>
      <c r="Z235" s="379"/>
      <c r="AC235" s="332" t="s">
        <v>540</v>
      </c>
      <c r="AD235" s="333">
        <f>D239</f>
        <v>30</v>
      </c>
    </row>
    <row r="236" spans="1:67" ht="17.25" customHeight="1" thickTop="1" thickBot="1">
      <c r="D236" s="331" t="s">
        <v>50</v>
      </c>
      <c r="E236" s="385">
        <v>-7</v>
      </c>
      <c r="F236" s="385"/>
      <c r="G236" s="379" t="str" cm="1">
        <f t="array" ref="G236">longitudeDecimal2Txt(E236)</f>
        <v>W 07°00.00 (W 07.0000) [W 07°00'00.00]</v>
      </c>
      <c r="H236" s="379"/>
      <c r="I236" s="379"/>
      <c r="J236" s="379"/>
      <c r="K236" s="379"/>
      <c r="L236" s="379"/>
      <c r="R236" s="326" t="s">
        <v>50</v>
      </c>
      <c r="S236" s="378">
        <f>AG239</f>
        <v>19.55032446575666</v>
      </c>
      <c r="T236" s="378"/>
      <c r="U236" s="379" t="str" cm="1">
        <f t="array" ref="U236">longitudeDecimal2Txt(S236)</f>
        <v>E 19°33.01 (E 19.5503) [E 19°33'01.16]</v>
      </c>
      <c r="V236" s="379"/>
      <c r="W236" s="379"/>
      <c r="X236" s="379"/>
      <c r="Y236" s="379"/>
      <c r="Z236" s="379"/>
      <c r="AC236" s="334" t="s">
        <v>542</v>
      </c>
      <c r="AD236" s="333">
        <f>E235</f>
        <v>0</v>
      </c>
    </row>
    <row r="237" spans="1:67" ht="17.25" customHeight="1" thickTop="1">
      <c r="C237" s="276"/>
      <c r="D237" s="276"/>
      <c r="E237" s="276"/>
      <c r="F237" s="276"/>
      <c r="G237" s="276"/>
      <c r="H237" s="276"/>
      <c r="I237" s="276"/>
      <c r="J237" s="276"/>
      <c r="K237" s="276"/>
      <c r="L237" s="276"/>
      <c r="AC237" s="332" t="s">
        <v>543</v>
      </c>
      <c r="AD237" s="333">
        <f>E236</f>
        <v>-7</v>
      </c>
    </row>
    <row r="238" spans="1:67" ht="17.25" customHeight="1">
      <c r="C238" s="384" t="s">
        <v>473</v>
      </c>
      <c r="D238" s="384"/>
      <c r="E238" s="384"/>
      <c r="F238" s="244"/>
      <c r="G238" s="276"/>
      <c r="H238" s="276"/>
      <c r="I238" s="276"/>
      <c r="J238" s="276"/>
      <c r="K238" s="276"/>
      <c r="L238" s="276"/>
      <c r="AC238" s="332" t="s">
        <v>487</v>
      </c>
      <c r="AD238" s="332">
        <f>TAN(AD235*Outils!F43) * (1 / COS(AD236*Outils!F43))</f>
        <v>0</v>
      </c>
      <c r="AE238" s="689" t="s">
        <v>546</v>
      </c>
      <c r="AF238" s="689"/>
      <c r="AG238" s="335">
        <f>S226</f>
        <v>45.986510932129548</v>
      </c>
    </row>
    <row r="239" spans="1:67" ht="17.25" customHeight="1">
      <c r="D239" s="385">
        <v>30</v>
      </c>
      <c r="E239" s="385"/>
      <c r="F239" s="337" t="s">
        <v>34</v>
      </c>
      <c r="G239" s="276"/>
      <c r="H239" s="276"/>
      <c r="I239" s="276"/>
      <c r="J239" s="276"/>
      <c r="K239" s="276"/>
      <c r="L239" s="276"/>
      <c r="AC239" s="332" t="s">
        <v>488</v>
      </c>
      <c r="AD239" s="332">
        <f>AD237-AD236*AD238</f>
        <v>-7</v>
      </c>
      <c r="AE239" s="689"/>
      <c r="AF239" s="689"/>
      <c r="AG239" s="336">
        <f>E236+(S226-E235)*TAN(D239*Outils!F10)/COS(Outils!F10*E235)</f>
        <v>19.55032446575666</v>
      </c>
    </row>
    <row r="241" spans="7:20">
      <c r="S241" s="276"/>
      <c r="T241" s="276"/>
    </row>
    <row r="243" spans="7:20" ht="17.25" customHeight="1">
      <c r="G243" s="302"/>
      <c r="P243" s="276"/>
      <c r="Q243" s="276"/>
    </row>
    <row r="244" spans="7:20" ht="17.25" customHeight="1">
      <c r="G244" s="302"/>
    </row>
    <row r="245" spans="7:20">
      <c r="K245" s="276"/>
      <c r="L245" s="276"/>
    </row>
    <row r="246" spans="7:20">
      <c r="K246" s="276"/>
      <c r="L246" s="276"/>
    </row>
  </sheetData>
  <protectedRanges>
    <protectedRange sqref="M117:Y117 M103:Y103" name="Heure visee" securityDescriptor="O:WDG:WDD:(A;;CC;;;WD)"/>
  </protectedRanges>
  <dataConsolidate link="1"/>
  <mergeCells count="420"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14:O214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AA90:AA91"/>
    <mergeCell ref="J93:L93"/>
    <mergeCell ref="M93:O93"/>
    <mergeCell ref="P93:S93"/>
    <mergeCell ref="T93:W93"/>
    <mergeCell ref="X93:Z93"/>
    <mergeCell ref="J94:L94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</mergeCells>
  <conditionalFormatting sqref="C92:Z92">
    <cfRule type="expression" dxfId="5" priority="3">
      <formula>$AA92="N"</formula>
    </cfRule>
  </conditionalFormatting>
  <conditionalFormatting sqref="E93:Z96">
    <cfRule type="expression" dxfId="4" priority="1">
      <formula>$AA93="N"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Outils!$C$15:$C$16</xm:f>
          </x14:formula1>
          <xm:sqref>P151:P154 U159:U160 P159:P160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8" max="16384" width="5.140625" style="98"/>
  </cols>
  <sheetData>
    <row r="1" spans="1:66" ht="17.25" customHeight="1">
      <c r="C1" s="464" t="s">
        <v>236</v>
      </c>
      <c r="D1" s="464"/>
      <c r="E1" s="464"/>
      <c r="F1" s="464"/>
      <c r="G1" s="455" t="s">
        <v>237</v>
      </c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</row>
    <row r="2" spans="1:66" ht="17.25" customHeight="1">
      <c r="C2" s="464"/>
      <c r="D2" s="464"/>
      <c r="E2" s="464"/>
      <c r="F2" s="464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</row>
    <row r="3" spans="1:66" ht="17.25" customHeight="1">
      <c r="C3" s="464"/>
      <c r="D3" s="464"/>
      <c r="E3" s="464"/>
      <c r="F3" s="464"/>
      <c r="G3" s="460" t="s">
        <v>241</v>
      </c>
      <c r="H3" s="460"/>
      <c r="I3" s="460"/>
      <c r="J3" s="462" t="s">
        <v>240</v>
      </c>
      <c r="K3" s="462"/>
      <c r="L3" s="462"/>
    </row>
    <row r="4" spans="1:66" ht="17.25" customHeight="1">
      <c r="C4" s="464"/>
      <c r="D4" s="464"/>
      <c r="E4" s="464"/>
      <c r="F4" s="464"/>
      <c r="G4" s="461"/>
      <c r="H4" s="461"/>
      <c r="I4" s="461"/>
      <c r="J4" s="463"/>
      <c r="K4" s="463"/>
      <c r="L4" s="463"/>
      <c r="O4" s="98" t="s">
        <v>47</v>
      </c>
      <c r="P4" s="98" t="s">
        <v>363</v>
      </c>
    </row>
    <row r="6" spans="1:66" ht="17.25" customHeight="1" thickBot="1"/>
    <row r="7" spans="1:66" ht="17.25" customHeight="1" thickBot="1">
      <c r="B7" s="107" t="s">
        <v>0</v>
      </c>
      <c r="C7" s="108"/>
      <c r="D7" s="108"/>
      <c r="E7" s="142" t="str">
        <f>E8</f>
        <v>21/04/2024</v>
      </c>
      <c r="F7" s="142"/>
      <c r="G7" s="142" t="str" cm="1">
        <f t="array" ref="G7">heureDecimal2Txt(E11)</f>
        <v>18:48:51.00(18.8141)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</row>
    <row r="8" spans="1:66" ht="17.25" customHeight="1">
      <c r="C8" s="456" t="s">
        <v>1</v>
      </c>
      <c r="D8" s="457"/>
      <c r="E8" s="890" t="s">
        <v>449</v>
      </c>
      <c r="F8" s="891"/>
      <c r="G8" s="891"/>
      <c r="H8" s="143"/>
      <c r="AC8" s="6" t="s">
        <v>328</v>
      </c>
      <c r="AD8" s="6" cm="1">
        <f t="array" ref="AD8">heureConvert2Decimal(I11)</f>
        <v>20.814166666666669</v>
      </c>
    </row>
    <row r="9" spans="1:66" ht="17.25" customHeight="1" thickBot="1">
      <c r="C9" s="434" t="s">
        <v>11</v>
      </c>
      <c r="D9" s="436"/>
      <c r="E9" s="434" t="s">
        <v>2</v>
      </c>
      <c r="F9" s="435"/>
      <c r="G9" s="435"/>
      <c r="H9" s="436"/>
      <c r="I9" s="540" t="s">
        <v>192</v>
      </c>
      <c r="J9" s="540"/>
      <c r="K9" s="540"/>
      <c r="L9" s="540" t="s">
        <v>193</v>
      </c>
      <c r="M9" s="540"/>
      <c r="N9" s="540"/>
      <c r="O9" s="540"/>
      <c r="P9" s="540"/>
      <c r="Q9" s="540" t="s">
        <v>194</v>
      </c>
      <c r="R9" s="540"/>
      <c r="S9" s="540"/>
      <c r="T9" s="540"/>
      <c r="U9" s="540"/>
      <c r="V9" s="571" t="s">
        <v>191</v>
      </c>
      <c r="W9" s="572"/>
      <c r="X9" s="572"/>
      <c r="Y9" s="573"/>
      <c r="AB9" s="147"/>
      <c r="AC9" s="6" t="s">
        <v>329</v>
      </c>
      <c r="AD9" s="151">
        <f>L11</f>
        <v>-2</v>
      </c>
    </row>
    <row r="10" spans="1:66" ht="17.25" customHeight="1">
      <c r="C10" s="458"/>
      <c r="D10" s="459"/>
      <c r="E10" s="437"/>
      <c r="F10" s="438"/>
      <c r="G10" s="438"/>
      <c r="H10" s="439"/>
      <c r="I10" s="540"/>
      <c r="J10" s="540"/>
      <c r="K10" s="540"/>
      <c r="L10" s="540"/>
      <c r="M10" s="540"/>
      <c r="N10" s="540"/>
      <c r="O10" s="540"/>
      <c r="P10" s="540"/>
      <c r="Q10" s="540"/>
      <c r="R10" s="540"/>
      <c r="S10" s="540"/>
      <c r="T10" s="540"/>
      <c r="U10" s="540"/>
      <c r="V10" s="574"/>
      <c r="W10" s="575"/>
      <c r="X10" s="575"/>
      <c r="Y10" s="576"/>
      <c r="AC10" s="6" t="s">
        <v>330</v>
      </c>
      <c r="AD10" s="6">
        <f>Q11/3600</f>
        <v>0</v>
      </c>
    </row>
    <row r="11" spans="1:66" customFormat="1" ht="17.25" customHeight="1" thickBot="1">
      <c r="A11" s="98"/>
      <c r="B11" s="98"/>
      <c r="C11" s="437"/>
      <c r="D11" s="439"/>
      <c r="E11" s="409">
        <f>AD8+AD9+AD10+AD11</f>
        <v>18.814166666666669</v>
      </c>
      <c r="F11" s="410"/>
      <c r="G11" s="410"/>
      <c r="H11" s="411"/>
      <c r="I11" s="585" t="s">
        <v>450</v>
      </c>
      <c r="J11" s="585"/>
      <c r="K11" s="585"/>
      <c r="L11" s="617">
        <v>-2</v>
      </c>
      <c r="M11" s="617"/>
      <c r="N11" s="617"/>
      <c r="O11" s="617"/>
      <c r="P11" s="617"/>
      <c r="Q11" s="617">
        <v>0</v>
      </c>
      <c r="R11" s="617"/>
      <c r="S11" s="617"/>
      <c r="T11" s="617"/>
      <c r="U11" s="618"/>
      <c r="V11" s="616" t="s">
        <v>190</v>
      </c>
      <c r="W11" s="616"/>
      <c r="X11" s="616"/>
      <c r="Y11" s="616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1:66" customFormat="1" ht="17.25" customHeight="1" thickTop="1" thickBot="1">
      <c r="B12" s="98"/>
      <c r="E12" s="646" t="str" cm="1">
        <f t="array" ref="E12">heureDecimal2Txt(E11)</f>
        <v>18:48:51.00(18.8141)</v>
      </c>
      <c r="F12" s="647"/>
      <c r="G12" s="647"/>
      <c r="H12" s="64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1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1:66" customFormat="1" ht="17.25" customHeight="1" thickBot="1">
      <c r="A14" s="98"/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1:66" customFormat="1" ht="18" customHeight="1" thickBot="1">
      <c r="A15" s="98"/>
      <c r="C15" s="421" t="s">
        <v>331</v>
      </c>
      <c r="D15" s="422"/>
      <c r="E15" s="422"/>
      <c r="F15" s="422"/>
      <c r="G15" s="422"/>
      <c r="H15" s="422"/>
      <c r="I15" s="423"/>
      <c r="J15" s="424" t="s">
        <v>332</v>
      </c>
      <c r="K15" s="424"/>
      <c r="L15" s="424"/>
      <c r="M15" s="424"/>
      <c r="N15" s="424"/>
      <c r="O15" s="424"/>
      <c r="AB15" s="145"/>
      <c r="AC15" s="152" t="s">
        <v>332</v>
      </c>
      <c r="AD15" s="152" t="s">
        <v>333</v>
      </c>
      <c r="BN15" s="106"/>
    </row>
    <row r="16" spans="1:66" customFormat="1" ht="18" customHeight="1" thickTop="1" thickBot="1">
      <c r="A16" s="98"/>
      <c r="B16" s="96"/>
      <c r="C16" s="421" t="s">
        <v>230</v>
      </c>
      <c r="D16" s="422"/>
      <c r="E16" s="422"/>
      <c r="F16" s="422"/>
      <c r="G16" s="422"/>
      <c r="H16" s="422"/>
      <c r="I16" s="423"/>
      <c r="J16" s="418" cm="1">
        <f t="array" ref="J16">angleConvert2Decimal(M16)</f>
        <v>0.9</v>
      </c>
      <c r="K16" s="419"/>
      <c r="L16" s="420"/>
      <c r="M16" s="415" t="s">
        <v>451</v>
      </c>
      <c r="N16" s="416"/>
      <c r="O16" s="417"/>
      <c r="P16" s="412" t="str" cm="1">
        <f t="array" ref="P16">angleDecimal2Txt(J16)</f>
        <v>+00°54.00 (+00.9000) [+00°54'00.00]</v>
      </c>
      <c r="Q16" s="413"/>
      <c r="R16" s="413"/>
      <c r="S16" s="413"/>
      <c r="T16" s="413"/>
      <c r="U16" s="413"/>
      <c r="V16" s="413"/>
      <c r="W16" s="413"/>
      <c r="X16" s="414"/>
      <c r="Y16" s="96"/>
      <c r="Z16" s="98"/>
      <c r="AA16" s="98"/>
      <c r="AB16" s="145"/>
      <c r="BN16" s="106"/>
    </row>
    <row r="17" spans="1:66" customFormat="1" ht="18" customHeight="1" thickTop="1" thickBot="1">
      <c r="A17" s="98"/>
      <c r="B17" s="98"/>
      <c r="C17" s="541" t="s">
        <v>229</v>
      </c>
      <c r="D17" s="541"/>
      <c r="E17" s="541"/>
      <c r="F17" s="541"/>
      <c r="G17" s="541"/>
      <c r="H17" s="541"/>
      <c r="I17" s="541"/>
      <c r="J17" s="557" cm="1">
        <f t="array" ref="J17">angleConvert2Decimal(M17)</f>
        <v>41.9</v>
      </c>
      <c r="K17" s="570"/>
      <c r="L17" s="538"/>
      <c r="M17" s="471" t="s">
        <v>452</v>
      </c>
      <c r="N17" s="472"/>
      <c r="O17" s="473"/>
      <c r="P17" s="402" t="str" cm="1">
        <f t="array" ref="P17">angleDecimal2Txt(J17)</f>
        <v>+41°54.00 (+41.8999) [+41°54'00.00]</v>
      </c>
      <c r="Q17" s="402"/>
      <c r="R17" s="402"/>
      <c r="S17" s="402"/>
      <c r="T17" s="402"/>
      <c r="U17" s="402"/>
      <c r="V17" s="402"/>
      <c r="W17" s="402"/>
      <c r="X17" s="402"/>
      <c r="Y17" s="96"/>
      <c r="Z17" s="98"/>
      <c r="AA17" s="98"/>
      <c r="AB17" s="145"/>
      <c r="BN17" s="106"/>
    </row>
    <row r="18" spans="1:66" customFormat="1" ht="18" customHeight="1" thickTop="1" thickBot="1">
      <c r="A18" s="98"/>
      <c r="B18" s="98"/>
      <c r="C18" s="541" t="s">
        <v>239</v>
      </c>
      <c r="D18" s="541"/>
      <c r="E18" s="541"/>
      <c r="F18" s="541"/>
      <c r="G18" s="541"/>
      <c r="H18" s="541"/>
      <c r="I18" s="541"/>
      <c r="J18" s="557" cm="1">
        <f t="array" ref="J18">angleConvert2Decimal(M18)</f>
        <v>20.5</v>
      </c>
      <c r="K18" s="570"/>
      <c r="L18" s="538"/>
      <c r="M18" s="471">
        <f>(J17-J16)/2</f>
        <v>20.5</v>
      </c>
      <c r="N18" s="472"/>
      <c r="O18" s="473"/>
      <c r="P18" s="402" t="str" cm="1">
        <f t="array" ref="P18">angleDecimal2Txt(J18)</f>
        <v>+20°30.00 (+20.5000) [+20°30'00.00]</v>
      </c>
      <c r="Q18" s="402"/>
      <c r="R18" s="402"/>
      <c r="S18" s="402"/>
      <c r="T18" s="402"/>
      <c r="U18" s="402"/>
      <c r="V18" s="402"/>
      <c r="W18" s="402"/>
      <c r="X18" s="402"/>
      <c r="Y18" s="96"/>
      <c r="Z18" s="98"/>
      <c r="AA18" s="98"/>
      <c r="AB18" s="145"/>
      <c r="BN18" s="106"/>
    </row>
    <row r="19" spans="1:66" customFormat="1" ht="18" customHeight="1" thickTop="1" thickBot="1">
      <c r="A19" s="98"/>
      <c r="B19" s="98"/>
      <c r="C19" s="679" t="s">
        <v>21</v>
      </c>
      <c r="D19" s="679"/>
      <c r="E19" s="679"/>
      <c r="F19" s="679"/>
      <c r="G19" s="679"/>
      <c r="H19" s="679"/>
      <c r="I19" s="679"/>
      <c r="J19" s="619">
        <f>M19</f>
        <v>0</v>
      </c>
      <c r="K19" s="620"/>
      <c r="L19" s="621"/>
      <c r="M19" s="583">
        <v>0</v>
      </c>
      <c r="N19" s="583"/>
      <c r="O19" s="583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BN19" s="106"/>
    </row>
    <row r="20" spans="1:66" customFormat="1" ht="18" customHeight="1" thickTop="1" thickBot="1">
      <c r="A20" s="98"/>
      <c r="B20" s="96"/>
      <c r="C20" s="892" t="s">
        <v>22</v>
      </c>
      <c r="D20" s="893"/>
      <c r="E20" s="893"/>
      <c r="F20" s="893"/>
      <c r="G20" s="893"/>
      <c r="H20" s="893"/>
      <c r="I20" s="894"/>
      <c r="J20" s="390" cm="1">
        <f t="array" ref="J20">angleConvert2Decimal(M20)</f>
        <v>0</v>
      </c>
      <c r="K20" s="485"/>
      <c r="L20" s="485"/>
      <c r="M20" s="582">
        <v>0</v>
      </c>
      <c r="N20" s="583"/>
      <c r="O20" s="583"/>
      <c r="P20" s="402" t="str" cm="1">
        <f t="array" ref="P20">angleDecimal2Txt(J20)</f>
        <v>+00°00.00 (+00.0000) [+00°00'00.00]</v>
      </c>
      <c r="Q20" s="402"/>
      <c r="R20" s="402"/>
      <c r="S20" s="402"/>
      <c r="T20" s="402"/>
      <c r="U20" s="402"/>
      <c r="V20" s="402"/>
      <c r="W20" s="402"/>
      <c r="X20" s="402"/>
      <c r="Y20" s="96"/>
      <c r="Z20" s="98"/>
      <c r="AA20" s="98"/>
      <c r="AB20" s="145"/>
      <c r="BN20" s="106"/>
    </row>
    <row r="21" spans="1:66" customFormat="1" ht="18" customHeight="1" thickTop="1" thickBot="1">
      <c r="A21" s="98"/>
      <c r="B21" s="98"/>
      <c r="C21" s="683" t="s">
        <v>32</v>
      </c>
      <c r="D21" s="683"/>
      <c r="E21" s="683"/>
      <c r="F21" s="683"/>
      <c r="G21" s="683"/>
      <c r="H21" s="683"/>
      <c r="I21" s="683"/>
      <c r="J21" s="895" cm="1">
        <f t="array" ref="J21">IF(J15=AC15,J18,angleConvert2Decimal(M21))</f>
        <v>20.5</v>
      </c>
      <c r="K21" s="896"/>
      <c r="L21" s="896"/>
      <c r="M21" s="897" t="s">
        <v>232</v>
      </c>
      <c r="N21" s="898"/>
      <c r="O21" s="899"/>
      <c r="P21" s="402" t="str" cm="1">
        <f t="array" ref="P21">angleDecimal2Txt(J21)</f>
        <v>+20°30.00 (+20.5000) [+20°30'00.00]</v>
      </c>
      <c r="Q21" s="402"/>
      <c r="R21" s="402"/>
      <c r="S21" s="402"/>
      <c r="T21" s="402"/>
      <c r="U21" s="402"/>
      <c r="V21" s="402"/>
      <c r="W21" s="402"/>
      <c r="X21" s="402"/>
      <c r="Y21" s="96"/>
      <c r="Z21" s="98"/>
      <c r="AA21" s="98"/>
      <c r="AB21" s="145"/>
      <c r="BN21" s="106"/>
    </row>
    <row r="22" spans="1:66" customFormat="1" ht="18" customHeight="1" thickTop="1">
      <c r="A22" s="98"/>
      <c r="B22" s="98"/>
      <c r="C22" s="679" t="s">
        <v>37</v>
      </c>
      <c r="D22" s="679"/>
      <c r="E22" s="679"/>
      <c r="F22" s="679"/>
      <c r="G22" s="679"/>
      <c r="H22" s="679"/>
      <c r="I22" s="679"/>
      <c r="J22" s="680" t="str">
        <f>M22</f>
        <v>Lune</v>
      </c>
      <c r="K22" s="681"/>
      <c r="L22" s="682"/>
      <c r="M22" s="743" t="s">
        <v>40</v>
      </c>
      <c r="N22" s="744"/>
      <c r="O22" s="745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8"/>
      <c r="AA22" s="98"/>
      <c r="AB22" s="145"/>
      <c r="AG22" s="98"/>
      <c r="AH22" s="98"/>
      <c r="BN22" s="106"/>
    </row>
    <row r="23" spans="1:66" customFormat="1" ht="18" customHeight="1">
      <c r="A23" s="98"/>
      <c r="B23" s="98"/>
      <c r="C23" s="679" t="s">
        <v>84</v>
      </c>
      <c r="D23" s="679"/>
      <c r="E23" s="679"/>
      <c r="F23" s="679"/>
      <c r="G23" s="679"/>
      <c r="H23" s="679"/>
      <c r="I23" s="679"/>
      <c r="J23" s="398" t="str">
        <f>M23</f>
        <v>BordInf</v>
      </c>
      <c r="K23" s="398"/>
      <c r="L23" s="398"/>
      <c r="M23" s="578" t="s">
        <v>85</v>
      </c>
      <c r="N23" s="578"/>
      <c r="O23" s="578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8"/>
      <c r="AA23" s="98"/>
      <c r="AB23" s="145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  <c r="BN23" s="106"/>
    </row>
    <row r="24" spans="1:66" customFormat="1" ht="17.25" customHeight="1">
      <c r="A24" s="98"/>
      <c r="B24" s="98"/>
      <c r="C24" s="684" t="s">
        <v>314</v>
      </c>
      <c r="D24" s="685"/>
      <c r="E24" s="109"/>
      <c r="F24" s="109"/>
      <c r="G24" s="109"/>
      <c r="H24" s="109"/>
      <c r="I24" s="110"/>
      <c r="J24" s="603" cm="1">
        <f t="array" ref="J24">angleConvert2Decimal(M24)</f>
        <v>0.90380000000000005</v>
      </c>
      <c r="K24" s="394"/>
      <c r="L24" s="395"/>
      <c r="M24" s="609" t="s">
        <v>453</v>
      </c>
      <c r="N24" s="610"/>
      <c r="O24" s="610"/>
      <c r="P24" s="615" t="s">
        <v>129</v>
      </c>
      <c r="Q24" s="615"/>
      <c r="R24" s="615"/>
      <c r="S24" s="96"/>
      <c r="T24" s="96"/>
      <c r="U24" s="96"/>
      <c r="V24" s="96"/>
      <c r="W24" s="96"/>
      <c r="X24" s="96"/>
      <c r="Y24" s="96"/>
      <c r="Z24" s="98"/>
      <c r="AA24" s="98"/>
      <c r="AB24" s="145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  <c r="BN24" s="106"/>
    </row>
    <row r="25" spans="1:66" customFormat="1" ht="17.25" customHeight="1" thickBot="1">
      <c r="A25" s="98"/>
      <c r="B25" s="98"/>
      <c r="C25" s="111"/>
      <c r="D25" s="652" t="s">
        <v>315</v>
      </c>
      <c r="E25" s="652"/>
      <c r="F25" s="652"/>
      <c r="G25" s="652"/>
      <c r="H25" s="652"/>
      <c r="I25" s="653"/>
      <c r="J25" s="604"/>
      <c r="K25" s="461"/>
      <c r="L25" s="605"/>
      <c r="M25" s="611"/>
      <c r="N25" s="612"/>
      <c r="O25" s="612"/>
      <c r="P25" s="615"/>
      <c r="Q25" s="615"/>
      <c r="R25" s="615"/>
      <c r="S25" s="96"/>
      <c r="T25" s="96"/>
      <c r="U25" s="96"/>
      <c r="V25" s="96"/>
      <c r="W25" s="96"/>
      <c r="X25" s="96"/>
      <c r="Y25" s="96"/>
      <c r="Z25" s="98"/>
      <c r="AA25" s="98"/>
      <c r="AB25" s="145"/>
      <c r="AC25" s="153" t="s">
        <v>135</v>
      </c>
      <c r="AD25" s="155" t="s">
        <v>132</v>
      </c>
      <c r="AE25" s="155" t="s">
        <v>454</v>
      </c>
      <c r="AF25" s="155" t="s">
        <v>103</v>
      </c>
      <c r="AG25" s="98"/>
      <c r="AH25" s="98"/>
      <c r="BN25" s="106"/>
    </row>
    <row r="26" spans="1:66" customFormat="1" ht="17.25" customHeight="1" thickTop="1" thickBot="1">
      <c r="A26" s="98"/>
      <c r="B26" s="98"/>
      <c r="C26" s="111"/>
      <c r="D26" s="652"/>
      <c r="E26" s="652"/>
      <c r="F26" s="652"/>
      <c r="G26" s="652"/>
      <c r="H26" s="652"/>
      <c r="I26" s="653"/>
      <c r="J26" s="604"/>
      <c r="K26" s="461"/>
      <c r="L26" s="605"/>
      <c r="M26" s="611"/>
      <c r="N26" s="612"/>
      <c r="O26" s="612"/>
      <c r="P26" s="584" t="str">
        <f>HLOOKUP(M22,AD23:AF25,2,FALSE)</f>
        <v>54'</v>
      </c>
      <c r="Q26" s="584"/>
      <c r="R26" s="584"/>
      <c r="S26" s="479" t="str" cm="1">
        <f t="array" ref="S26">angleDecimal2Txt(angleConvert2Decimal(P26))</f>
        <v>+00°54.00 (+00.9000) [+00°54'00.00]</v>
      </c>
      <c r="T26" s="479"/>
      <c r="U26" s="479"/>
      <c r="V26" s="479"/>
      <c r="W26" s="479"/>
      <c r="X26" s="480"/>
      <c r="Y26" s="96"/>
      <c r="Z26" s="98"/>
      <c r="AA26" s="98"/>
      <c r="AB26" s="145"/>
      <c r="BN26" s="106"/>
    </row>
    <row r="27" spans="1:66" customFormat="1" ht="17.25" customHeight="1" thickTop="1" thickBot="1">
      <c r="A27" s="98"/>
      <c r="B27" s="98"/>
      <c r="C27" s="112"/>
      <c r="D27" s="654"/>
      <c r="E27" s="654"/>
      <c r="F27" s="654"/>
      <c r="G27" s="654"/>
      <c r="H27" s="654"/>
      <c r="I27" s="655"/>
      <c r="J27" s="606"/>
      <c r="K27" s="607"/>
      <c r="L27" s="608"/>
      <c r="M27" s="613"/>
      <c r="N27" s="614"/>
      <c r="O27" s="614"/>
      <c r="P27" s="581" t="str" cm="1">
        <f t="array" ref="P27">angleDecimal2Txt(J24)</f>
        <v>+00°54.22 (+00.9038) [+00°54'13.68]</v>
      </c>
      <c r="Q27" s="581"/>
      <c r="R27" s="581"/>
      <c r="S27" s="402"/>
      <c r="T27" s="402"/>
      <c r="U27" s="402"/>
      <c r="V27" s="402"/>
      <c r="W27" s="402"/>
      <c r="X27" s="402"/>
      <c r="Y27" s="96"/>
      <c r="Z27" s="98"/>
      <c r="AA27" s="98"/>
      <c r="AB27" s="145"/>
      <c r="AC27" s="153" t="s">
        <v>130</v>
      </c>
      <c r="AD27" s="154" t="s">
        <v>85</v>
      </c>
      <c r="AE27" s="154" t="s">
        <v>355</v>
      </c>
      <c r="AF27" s="154" t="s">
        <v>86</v>
      </c>
      <c r="BN27" s="106"/>
    </row>
    <row r="28" spans="1:66" customFormat="1" ht="17.25" customHeight="1" thickTop="1">
      <c r="A28" s="98"/>
      <c r="B28" s="98"/>
      <c r="C28" s="595" t="s">
        <v>134</v>
      </c>
      <c r="D28" s="596"/>
      <c r="E28" s="596"/>
      <c r="F28" s="596"/>
      <c r="G28" s="596"/>
      <c r="H28" s="596"/>
      <c r="I28" s="597"/>
      <c r="J28" s="603" cm="1">
        <f t="array" ref="J28">angleConvert2Decimal(M28)</f>
        <v>0.4924</v>
      </c>
      <c r="K28" s="394"/>
      <c r="L28" s="395"/>
      <c r="M28" s="609">
        <v>0.4924</v>
      </c>
      <c r="N28" s="610"/>
      <c r="O28" s="610"/>
      <c r="P28" s="615" t="s">
        <v>129</v>
      </c>
      <c r="Q28" s="615"/>
      <c r="R28" s="615"/>
      <c r="S28" s="96"/>
      <c r="T28" s="96"/>
      <c r="U28" s="96"/>
      <c r="V28" s="96"/>
      <c r="W28" s="96"/>
      <c r="X28" s="96"/>
      <c r="Y28" s="96"/>
      <c r="Z28" s="98"/>
      <c r="AA28" s="98"/>
      <c r="AB28" s="145"/>
      <c r="AC28" s="153" t="s">
        <v>356</v>
      </c>
      <c r="AD28" s="156">
        <v>1</v>
      </c>
      <c r="AE28" s="156">
        <v>-1</v>
      </c>
      <c r="AF28" s="156">
        <v>-0.5</v>
      </c>
      <c r="BN28" s="106"/>
    </row>
    <row r="29" spans="1:66" customFormat="1" ht="17.25" customHeight="1" thickBot="1">
      <c r="A29" s="98"/>
      <c r="B29" s="98"/>
      <c r="C29" s="598"/>
      <c r="D29" s="466"/>
      <c r="E29" s="466"/>
      <c r="F29" s="466"/>
      <c r="G29" s="466"/>
      <c r="H29" s="466"/>
      <c r="I29" s="599"/>
      <c r="J29" s="604"/>
      <c r="K29" s="461"/>
      <c r="L29" s="605"/>
      <c r="M29" s="611"/>
      <c r="N29" s="612"/>
      <c r="O29" s="612"/>
      <c r="P29" s="615"/>
      <c r="Q29" s="615"/>
      <c r="R29" s="615"/>
      <c r="S29" s="96"/>
      <c r="T29" s="96"/>
      <c r="U29" s="96"/>
      <c r="V29" s="96"/>
      <c r="W29" s="96"/>
      <c r="X29" s="96"/>
      <c r="Y29" s="96"/>
      <c r="Z29" s="98"/>
      <c r="AA29" s="98"/>
      <c r="AB29" s="145"/>
      <c r="BN29" s="106"/>
    </row>
    <row r="30" spans="1:66" customFormat="1" ht="17.25" customHeight="1" thickTop="1" thickBot="1">
      <c r="A30" s="98"/>
      <c r="B30" s="98"/>
      <c r="C30" s="598"/>
      <c r="D30" s="466"/>
      <c r="E30" s="466"/>
      <c r="F30" s="466"/>
      <c r="G30" s="466"/>
      <c r="H30" s="466"/>
      <c r="I30" s="599"/>
      <c r="J30" s="604"/>
      <c r="K30" s="461"/>
      <c r="L30" s="605"/>
      <c r="M30" s="611"/>
      <c r="N30" s="612"/>
      <c r="O30" s="612"/>
      <c r="P30" s="584" t="str">
        <f>HLOOKUP(M22,AD23:AF25,3,FALSE)</f>
        <v>28.0'</v>
      </c>
      <c r="Q30" s="584"/>
      <c r="R30" s="584"/>
      <c r="S30" s="479" t="str" cm="1">
        <f t="array" ref="S30">angleDecimal2Txt(angleConvert2Decimal(P30))</f>
        <v>+00°28.00 (+00.4666) [+00°28'00.00]</v>
      </c>
      <c r="T30" s="479"/>
      <c r="U30" s="479"/>
      <c r="V30" s="479"/>
      <c r="W30" s="479"/>
      <c r="X30" s="480"/>
      <c r="Y30" s="96"/>
      <c r="Z30" s="98"/>
      <c r="AA30" s="98"/>
      <c r="AB30" s="145"/>
      <c r="AD30">
        <f>J28*2</f>
        <v>0.98480000000000001</v>
      </c>
      <c r="BN30" s="106"/>
    </row>
    <row r="31" spans="1:66" customFormat="1" ht="17.25" customHeight="1" thickTop="1" thickBot="1">
      <c r="A31" s="98"/>
      <c r="B31" s="98"/>
      <c r="C31" s="600"/>
      <c r="D31" s="601"/>
      <c r="E31" s="601"/>
      <c r="F31" s="601"/>
      <c r="G31" s="601"/>
      <c r="H31" s="601"/>
      <c r="I31" s="602"/>
      <c r="J31" s="606"/>
      <c r="K31" s="607"/>
      <c r="L31" s="608"/>
      <c r="M31" s="613"/>
      <c r="N31" s="614"/>
      <c r="O31" s="614"/>
      <c r="P31" s="581" t="str" cm="1">
        <f t="array" ref="P31">angleDecimal2Txt(J28)</f>
        <v>+00°29.54 (+00.4924) [+00°29'32.64]</v>
      </c>
      <c r="Q31" s="581"/>
      <c r="R31" s="581"/>
      <c r="S31" s="402"/>
      <c r="T31" s="402"/>
      <c r="U31" s="402"/>
      <c r="V31" s="402"/>
      <c r="W31" s="402"/>
      <c r="X31" s="402"/>
      <c r="Y31" s="96"/>
      <c r="Z31" s="98"/>
      <c r="AA31" s="98"/>
      <c r="AB31" s="145"/>
      <c r="BN31" s="106"/>
    </row>
    <row r="32" spans="1:66" customFormat="1" ht="17.25" customHeight="1" thickTop="1" thickBot="1">
      <c r="A32" s="98"/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8"/>
      <c r="AA32" s="98"/>
      <c r="AB32" s="145"/>
      <c r="BN32" s="106"/>
    </row>
    <row r="33" spans="1:66" customFormat="1" ht="17.25" customHeight="1" thickBot="1">
      <c r="A33" s="98"/>
      <c r="B33" s="107" t="s">
        <v>19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  <c r="BN33" s="106"/>
    </row>
    <row r="34" spans="1:66" ht="17.25" customHeight="1">
      <c r="C34" s="96"/>
      <c r="D34" s="96"/>
      <c r="E34" s="686" t="s">
        <v>7</v>
      </c>
      <c r="F34" s="686"/>
      <c r="G34" s="686"/>
      <c r="H34" s="68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686"/>
      <c r="F35" s="686"/>
      <c r="G35" s="686"/>
      <c r="H35" s="68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72" t="s">
        <v>41</v>
      </c>
      <c r="B36" s="373"/>
      <c r="C36" s="374"/>
      <c r="D36" s="96"/>
      <c r="E36" s="96"/>
      <c r="F36" s="556">
        <f>AD37</f>
        <v>48.875500000000002</v>
      </c>
      <c r="G36" s="579"/>
      <c r="H36" s="579"/>
      <c r="I36" s="475" t="s">
        <v>3</v>
      </c>
      <c r="J36" s="477" t="s">
        <v>455</v>
      </c>
      <c r="K36" s="475"/>
      <c r="L36" s="475"/>
      <c r="M36" s="475"/>
      <c r="N36" s="475"/>
      <c r="O36" s="400" t="str" cm="1">
        <f t="array" ref="O36">angleDecimal2Txt(AD37)</f>
        <v>+48°52.53 (+48.8755) [+48°52'31.80]</v>
      </c>
      <c r="P36" s="400"/>
      <c r="Q36" s="400"/>
      <c r="R36" s="400"/>
      <c r="S36" s="400"/>
      <c r="T36" s="400"/>
      <c r="U36" s="400"/>
      <c r="V36" s="400"/>
      <c r="W36" s="400"/>
      <c r="X36" s="400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579"/>
      <c r="G37" s="579"/>
      <c r="H37" s="579"/>
      <c r="I37" s="475"/>
      <c r="J37" s="475"/>
      <c r="K37" s="475"/>
      <c r="L37" s="475"/>
      <c r="M37" s="475"/>
      <c r="N37" s="475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96"/>
      <c r="Z37" s="96"/>
      <c r="AC37" s="6" t="s">
        <v>335</v>
      </c>
      <c r="AD37" s="6" cm="1">
        <f t="array" ref="AD37">angleConvert2Decimal(J36)*AD36</f>
        <v>48.875500000000002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580" t="s">
        <v>8</v>
      </c>
      <c r="F39" s="580"/>
      <c r="G39" s="580"/>
      <c r="H39" s="580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580"/>
      <c r="F40" s="580"/>
      <c r="G40" s="580"/>
      <c r="H40" s="580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556">
        <f>AD42</f>
        <v>2.0945</v>
      </c>
      <c r="G41" s="579"/>
      <c r="H41" s="579"/>
      <c r="I41" s="475" t="s">
        <v>5</v>
      </c>
      <c r="J41" s="477" t="s">
        <v>456</v>
      </c>
      <c r="K41" s="475"/>
      <c r="L41" s="475"/>
      <c r="M41" s="475"/>
      <c r="N41" s="475"/>
      <c r="O41" s="400" t="str" cm="1">
        <f t="array" ref="O41">angleDecimal2Txt(AD42)</f>
        <v>+02°05.66 (+02.0945) [+02°05'40.19]</v>
      </c>
      <c r="P41" s="400"/>
      <c r="Q41" s="400"/>
      <c r="R41" s="400"/>
      <c r="S41" s="400"/>
      <c r="T41" s="400"/>
      <c r="U41" s="400"/>
      <c r="V41" s="400"/>
      <c r="W41" s="400"/>
      <c r="X41" s="400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579"/>
      <c r="G42" s="579"/>
      <c r="H42" s="579"/>
      <c r="I42" s="475"/>
      <c r="J42" s="475"/>
      <c r="K42" s="475"/>
      <c r="L42" s="475"/>
      <c r="M42" s="475"/>
      <c r="N42" s="475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96"/>
      <c r="Z42" s="96"/>
      <c r="AC42" s="6" t="s">
        <v>337</v>
      </c>
      <c r="AD42" s="6" cm="1">
        <f t="array" ref="AD42">angleConvert2Decimal(J41)*AD41</f>
        <v>2.0945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468">
        <f>IF(G46=AD46,F50,F58)</f>
        <v>-2.4</v>
      </c>
      <c r="G45" s="468"/>
      <c r="H45" s="468"/>
      <c r="I45" s="108"/>
      <c r="J45" s="108"/>
      <c r="K45" s="108" t="e" cm="1">
        <f t="array" ref="K45">angleDecimal2Txt(D)</f>
        <v>#VALUE!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466" t="s">
        <v>42</v>
      </c>
      <c r="D46" s="466"/>
      <c r="E46" s="466"/>
      <c r="F46" s="466"/>
      <c r="G46" s="470" t="s">
        <v>10</v>
      </c>
      <c r="H46" s="470"/>
      <c r="I46" s="470"/>
      <c r="AB46" s="149"/>
      <c r="AC46" s="664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664"/>
      <c r="AD47" s="152" t="s">
        <v>16</v>
      </c>
      <c r="AF47" s="98"/>
      <c r="AG47" s="98"/>
    </row>
    <row r="48" spans="1:66" ht="17.25" customHeight="1">
      <c r="F48" s="476" t="s">
        <v>9</v>
      </c>
      <c r="G48" s="476"/>
      <c r="H48" s="476"/>
      <c r="I48" s="476" t="s">
        <v>12</v>
      </c>
      <c r="J48" s="476"/>
      <c r="K48" s="476"/>
      <c r="L48" s="476"/>
      <c r="M48" s="469" t="s">
        <v>13</v>
      </c>
      <c r="N48" s="469"/>
      <c r="O48" s="469"/>
      <c r="P48" s="478" t="s">
        <v>17</v>
      </c>
      <c r="Q48" s="478"/>
      <c r="R48" s="478"/>
      <c r="S48" s="478"/>
      <c r="T48" s="478"/>
      <c r="U48" s="96"/>
      <c r="AD48" s="157" t="s">
        <v>101</v>
      </c>
      <c r="AE48" s="6" t="s">
        <v>347</v>
      </c>
    </row>
    <row r="49" spans="1:66" ht="17.25" customHeight="1" thickBot="1">
      <c r="F49" s="476"/>
      <c r="G49" s="476"/>
      <c r="H49" s="476"/>
      <c r="I49" s="476"/>
      <c r="J49" s="476"/>
      <c r="K49" s="476"/>
      <c r="L49" s="476"/>
      <c r="M49" s="469"/>
      <c r="N49" s="469"/>
      <c r="O49" s="469"/>
      <c r="P49" s="478"/>
      <c r="Q49" s="478"/>
      <c r="R49" s="478"/>
      <c r="S49" s="478"/>
      <c r="T49" s="478"/>
      <c r="U49" s="96"/>
      <c r="AC49" s="6" t="s">
        <v>338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>
      <c r="A50" s="98"/>
      <c r="B50" s="98"/>
      <c r="C50" s="143"/>
      <c r="D50" s="143"/>
      <c r="E50" s="98"/>
      <c r="F50" s="555">
        <f>IF(G46=AD47,"---",AD54)</f>
        <v>-2.4</v>
      </c>
      <c r="G50" s="555"/>
      <c r="H50" s="555"/>
      <c r="I50" s="474">
        <f>E11</f>
        <v>18.814166666666669</v>
      </c>
      <c r="J50" s="474"/>
      <c r="K50" s="474"/>
      <c r="L50" s="474"/>
      <c r="M50" s="658">
        <v>10</v>
      </c>
      <c r="N50" s="474"/>
      <c r="O50" s="474"/>
      <c r="P50" s="474" t="s">
        <v>4</v>
      </c>
      <c r="Q50" s="669">
        <v>2.4</v>
      </c>
      <c r="R50" s="474"/>
      <c r="S50" s="474"/>
      <c r="T50" s="474"/>
      <c r="U50" s="400" t="str" cm="1">
        <f t="array" ref="U50">angleDecimal2Txt(AE49)</f>
        <v>-02°24.00 (-02.3999) [-02°24'00.00]</v>
      </c>
      <c r="V50" s="577"/>
      <c r="W50" s="577"/>
      <c r="X50" s="577"/>
      <c r="Y50" s="577"/>
      <c r="Z50" s="98"/>
      <c r="AA50" s="98"/>
      <c r="AB50" s="145"/>
      <c r="AC50" s="6" t="s">
        <v>339</v>
      </c>
      <c r="AD50" s="6">
        <f>VLOOKUP(P52,$A$38:$C$39,3)</f>
        <v>-1</v>
      </c>
      <c r="AE50" s="6" cm="1">
        <f t="array" ref="AE50">AD50*angleConvert2Decimal(Q52)</f>
        <v>-2.4</v>
      </c>
      <c r="BN50" s="106"/>
    </row>
    <row r="51" spans="1:66" customFormat="1" ht="17.25" customHeight="1" thickTop="1" thickBot="1">
      <c r="A51" s="98"/>
      <c r="B51" s="98"/>
      <c r="C51" s="143"/>
      <c r="D51" s="143"/>
      <c r="E51" s="143"/>
      <c r="F51" s="556"/>
      <c r="G51" s="556"/>
      <c r="H51" s="556"/>
      <c r="I51" s="475"/>
      <c r="J51" s="475"/>
      <c r="K51" s="475"/>
      <c r="L51" s="475"/>
      <c r="M51" s="659"/>
      <c r="N51" s="475"/>
      <c r="O51" s="475"/>
      <c r="P51" s="475"/>
      <c r="Q51" s="475"/>
      <c r="R51" s="475"/>
      <c r="S51" s="475"/>
      <c r="T51" s="475"/>
      <c r="U51" s="577"/>
      <c r="V51" s="577"/>
      <c r="W51" s="577"/>
      <c r="X51" s="577"/>
      <c r="Y51" s="577"/>
      <c r="Z51" s="98"/>
      <c r="AA51" s="98"/>
      <c r="AB51" s="145"/>
      <c r="AC51" s="6" t="s">
        <v>45</v>
      </c>
      <c r="AD51" s="8">
        <f>AE50-AE49</f>
        <v>0</v>
      </c>
      <c r="BN51" s="106"/>
    </row>
    <row r="52" spans="1:66" customFormat="1" ht="17.25" customHeight="1" thickTop="1" thickBot="1">
      <c r="A52" s="98"/>
      <c r="B52" s="98"/>
      <c r="C52" s="143"/>
      <c r="D52" s="143"/>
      <c r="E52" s="143"/>
      <c r="F52" s="556"/>
      <c r="G52" s="556"/>
      <c r="H52" s="556"/>
      <c r="I52" s="475"/>
      <c r="J52" s="475"/>
      <c r="K52" s="475"/>
      <c r="L52" s="475"/>
      <c r="M52" s="659">
        <v>11</v>
      </c>
      <c r="N52" s="475"/>
      <c r="O52" s="475"/>
      <c r="P52" s="475" t="s">
        <v>4</v>
      </c>
      <c r="Q52" s="477">
        <v>2.4</v>
      </c>
      <c r="R52" s="475"/>
      <c r="S52" s="475"/>
      <c r="T52" s="475"/>
      <c r="U52" s="400" t="str" cm="1">
        <f t="array" ref="U52">angleDecimal2Txt((AE50))</f>
        <v>-02°24.00 (-02.3999) [-02°24'00.00]</v>
      </c>
      <c r="V52" s="577"/>
      <c r="W52" s="577"/>
      <c r="X52" s="577"/>
      <c r="Y52" s="577"/>
      <c r="Z52" s="98"/>
      <c r="AA52" s="98"/>
      <c r="AB52" s="145"/>
      <c r="AC52" s="6" t="s">
        <v>341</v>
      </c>
      <c r="AD52" s="8">
        <f>M52-M50</f>
        <v>1</v>
      </c>
      <c r="AE52" s="98"/>
      <c r="AF52" s="98"/>
      <c r="AG52" s="98"/>
      <c r="AH52" s="98"/>
      <c r="BN52" s="106"/>
    </row>
    <row r="53" spans="1:66" customFormat="1" ht="17.25" customHeight="1" thickTop="1" thickBot="1">
      <c r="A53" s="98"/>
      <c r="B53" s="98"/>
      <c r="C53" s="143"/>
      <c r="D53" s="143"/>
      <c r="E53" s="143"/>
      <c r="F53" s="556"/>
      <c r="G53" s="556"/>
      <c r="H53" s="556"/>
      <c r="I53" s="475"/>
      <c r="J53" s="475"/>
      <c r="K53" s="475"/>
      <c r="L53" s="475"/>
      <c r="M53" s="659"/>
      <c r="N53" s="475"/>
      <c r="O53" s="475"/>
      <c r="P53" s="475"/>
      <c r="Q53" s="475"/>
      <c r="R53" s="475"/>
      <c r="S53" s="475"/>
      <c r="T53" s="475"/>
      <c r="U53" s="577"/>
      <c r="V53" s="577"/>
      <c r="W53" s="577"/>
      <c r="X53" s="577"/>
      <c r="Y53" s="577"/>
      <c r="Z53" s="98"/>
      <c r="AA53" s="98"/>
      <c r="AB53" s="145"/>
      <c r="AC53" s="6" t="s">
        <v>46</v>
      </c>
      <c r="AD53" s="8">
        <f>I50-M50</f>
        <v>8.8141666666666687</v>
      </c>
      <c r="AI53" s="41"/>
      <c r="BN53" s="106"/>
    </row>
    <row r="54" spans="1:66" customFormat="1" ht="17.25" customHeight="1" thickTop="1" thickBot="1">
      <c r="A54" s="98"/>
      <c r="B54" s="98"/>
      <c r="C54" s="143"/>
      <c r="D54" s="143"/>
      <c r="E54" s="143"/>
      <c r="F54" s="402" t="str" cm="1">
        <f t="array" ref="F54">angleDecimal2Txt(F50)</f>
        <v>-02°24.00 (-02.3999) [-02°24'00.00]</v>
      </c>
      <c r="G54" s="402"/>
      <c r="H54" s="402"/>
      <c r="I54" s="402"/>
      <c r="J54" s="402"/>
      <c r="K54" s="402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6"/>
      <c r="AB54" s="145"/>
      <c r="AC54" s="6" t="s">
        <v>44</v>
      </c>
      <c r="AD54" s="6">
        <f>AE49+(AD51/AD52)*AD53</f>
        <v>-2.4</v>
      </c>
      <c r="BN54" s="106"/>
    </row>
    <row r="55" spans="1:66" customFormat="1" ht="17.25" customHeight="1" thickTop="1">
      <c r="A55" s="98"/>
      <c r="B55" s="98"/>
      <c r="C55" s="116" t="s">
        <v>16</v>
      </c>
      <c r="D55" s="116"/>
      <c r="E55" s="117"/>
      <c r="F55" s="117"/>
      <c r="G55" s="96"/>
      <c r="H55" s="96"/>
      <c r="I55" s="96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6"/>
      <c r="AB55" s="145"/>
      <c r="BN55" s="106"/>
    </row>
    <row r="56" spans="1:66" customFormat="1" ht="17.25" customHeight="1">
      <c r="A56" s="98"/>
      <c r="B56" s="98"/>
      <c r="C56" s="96"/>
      <c r="D56" s="96"/>
      <c r="E56" s="96"/>
      <c r="F56" s="476" t="s">
        <v>9</v>
      </c>
      <c r="G56" s="476"/>
      <c r="H56" s="476"/>
      <c r="I56" s="476" t="s">
        <v>12</v>
      </c>
      <c r="J56" s="476"/>
      <c r="K56" s="476"/>
      <c r="L56" s="476"/>
      <c r="M56" s="469" t="s">
        <v>13</v>
      </c>
      <c r="N56" s="469"/>
      <c r="O56" s="469"/>
      <c r="P56" s="478" t="s">
        <v>18</v>
      </c>
      <c r="Q56" s="478"/>
      <c r="R56" s="478"/>
      <c r="S56" s="478"/>
      <c r="T56" s="478"/>
      <c r="U56" s="478" t="s">
        <v>235</v>
      </c>
      <c r="V56" s="478"/>
      <c r="W56" s="478"/>
      <c r="X56" s="478"/>
      <c r="Y56" s="478"/>
      <c r="Z56" s="98"/>
      <c r="AA56" s="96"/>
      <c r="AB56" s="145"/>
      <c r="AC56" s="6" t="s">
        <v>342</v>
      </c>
      <c r="AD56" s="6">
        <f>VLOOKUP(P58,$A$38:$C$39,3)</f>
        <v>-1</v>
      </c>
      <c r="BN56" s="106"/>
    </row>
    <row r="57" spans="1:66" customFormat="1" ht="17.25" customHeight="1">
      <c r="A57" s="98"/>
      <c r="B57" s="98"/>
      <c r="C57" s="143"/>
      <c r="D57" s="143"/>
      <c r="E57" s="143"/>
      <c r="F57" s="476"/>
      <c r="G57" s="476"/>
      <c r="H57" s="476"/>
      <c r="I57" s="476"/>
      <c r="J57" s="476"/>
      <c r="K57" s="476"/>
      <c r="L57" s="476"/>
      <c r="M57" s="469"/>
      <c r="N57" s="469"/>
      <c r="O57" s="469"/>
      <c r="P57" s="478"/>
      <c r="Q57" s="478"/>
      <c r="R57" s="478"/>
      <c r="S57" s="478"/>
      <c r="T57" s="478"/>
      <c r="U57" s="478"/>
      <c r="V57" s="478"/>
      <c r="W57" s="478"/>
      <c r="X57" s="478"/>
      <c r="Y57" s="478"/>
      <c r="Z57" s="96"/>
      <c r="AA57" s="96"/>
      <c r="AB57" s="145"/>
      <c r="AC57" s="6" t="s">
        <v>343</v>
      </c>
      <c r="AD57" s="6" cm="1">
        <f t="array" ref="AD57">angleConvert2Decimal(Q58)*AD56</f>
        <v>-12.24</v>
      </c>
      <c r="BN57" s="106"/>
    </row>
    <row r="58" spans="1:66" customFormat="1" ht="17.25" customHeight="1">
      <c r="A58" s="98"/>
      <c r="B58" s="98"/>
      <c r="C58" s="143"/>
      <c r="D58" s="143"/>
      <c r="E58" s="98"/>
      <c r="F58" s="555" t="str">
        <f>IF(G46=AD47,AD60,"---")</f>
        <v>---</v>
      </c>
      <c r="G58" s="555"/>
      <c r="H58" s="555"/>
      <c r="I58" s="474">
        <f>E11</f>
        <v>18.814166666666669</v>
      </c>
      <c r="J58" s="474"/>
      <c r="K58" s="474"/>
      <c r="L58" s="474"/>
      <c r="M58" s="658">
        <v>0</v>
      </c>
      <c r="N58" s="474"/>
      <c r="O58" s="474"/>
      <c r="P58" s="474" t="s">
        <v>4</v>
      </c>
      <c r="Q58" s="669" t="s">
        <v>227</v>
      </c>
      <c r="R58" s="474"/>
      <c r="S58" s="474"/>
      <c r="T58" s="474"/>
      <c r="U58" s="474" t="s">
        <v>3</v>
      </c>
      <c r="V58" s="669" t="s">
        <v>173</v>
      </c>
      <c r="W58" s="474"/>
      <c r="X58" s="474"/>
      <c r="Y58" s="474"/>
      <c r="Z58" s="96"/>
      <c r="AA58" s="98"/>
      <c r="AB58" s="145"/>
      <c r="AC58" s="6" t="s">
        <v>344</v>
      </c>
      <c r="AD58" s="6">
        <f>VLOOKUP(U58,$A$38:$C$39,3)</f>
        <v>1</v>
      </c>
      <c r="BN58" s="106"/>
    </row>
    <row r="59" spans="1:66" customFormat="1" ht="17.25" customHeight="1" collapsed="1" thickBot="1">
      <c r="A59" s="98"/>
      <c r="B59" s="98"/>
      <c r="C59" s="143"/>
      <c r="D59" s="143"/>
      <c r="E59" s="143"/>
      <c r="F59" s="556"/>
      <c r="G59" s="556"/>
      <c r="H59" s="556"/>
      <c r="I59" s="475"/>
      <c r="J59" s="475"/>
      <c r="K59" s="475"/>
      <c r="L59" s="475"/>
      <c r="M59" s="659"/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96"/>
      <c r="AA59" s="98"/>
      <c r="AB59" s="145"/>
      <c r="AC59" s="6" t="s">
        <v>345</v>
      </c>
      <c r="AD59" s="6" cm="1">
        <f t="array" ref="AD59">angleConvert2Decimal(V58)*AD58</f>
        <v>1.6E-2</v>
      </c>
      <c r="BN59" s="106"/>
    </row>
    <row r="60" spans="1:66" customFormat="1" ht="17.25" customHeight="1" thickTop="1" thickBot="1">
      <c r="A60" s="98"/>
      <c r="B60" s="98"/>
      <c r="C60" s="143"/>
      <c r="D60" s="143"/>
      <c r="E60" s="143"/>
      <c r="F60" s="402" t="e" cm="1">
        <f t="array" ref="F60">angleDecimal2Txt(F58)</f>
        <v>#VALUE!</v>
      </c>
      <c r="G60" s="402"/>
      <c r="H60" s="402"/>
      <c r="I60" s="402"/>
      <c r="J60" s="402"/>
      <c r="K60" s="402"/>
      <c r="L60" s="98"/>
      <c r="M60" s="98"/>
      <c r="N60" s="98"/>
      <c r="O60" s="98"/>
      <c r="P60" s="402" t="str" cm="1">
        <f t="array" ref="P60">angleDecimal2Txt(AD57)</f>
        <v>-12°14.40 (-12.2400) [-12°14'24.00]</v>
      </c>
      <c r="Q60" s="402"/>
      <c r="R60" s="402"/>
      <c r="S60" s="402"/>
      <c r="T60" s="402"/>
      <c r="U60" s="402" t="str" cm="1">
        <f t="array" ref="U60">angleDecimal2Txt(AD59)</f>
        <v>+00°00.96 (+00.0160) [+00°00'57.60]</v>
      </c>
      <c r="V60" s="588"/>
      <c r="W60" s="588"/>
      <c r="X60" s="588"/>
      <c r="Y60" s="588"/>
      <c r="Z60" s="98"/>
      <c r="AA60" s="98"/>
      <c r="AB60" s="145"/>
      <c r="AC60" s="6" t="s">
        <v>346</v>
      </c>
      <c r="AD60" s="6">
        <f>AD57+AD59*(I58-M58)</f>
        <v>-11.938973333333333</v>
      </c>
      <c r="BN60" s="106"/>
    </row>
    <row r="61" spans="1:66" customFormat="1" ht="17.25" customHeight="1" thickTop="1">
      <c r="A61" s="98"/>
      <c r="B61" s="98"/>
      <c r="C61" s="143"/>
      <c r="D61" s="143"/>
      <c r="E61" s="143"/>
      <c r="F61" s="143"/>
      <c r="G61" s="143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6"/>
      <c r="T61" s="96"/>
      <c r="U61" s="96"/>
      <c r="V61" s="96"/>
      <c r="W61" s="96"/>
      <c r="X61" s="96"/>
      <c r="Y61" s="98"/>
      <c r="Z61" s="98"/>
      <c r="AA61" s="98"/>
      <c r="AB61" s="145"/>
      <c r="BN61" s="106"/>
    </row>
    <row r="62" spans="1:66" customFormat="1" ht="17.25" customHeight="1" thickBot="1">
      <c r="A62" s="98"/>
      <c r="B62" s="98"/>
      <c r="C62" s="143"/>
      <c r="D62" s="143"/>
      <c r="E62" s="143"/>
      <c r="F62" s="143"/>
      <c r="G62" s="143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6"/>
      <c r="T62" s="96"/>
      <c r="U62" s="96"/>
      <c r="V62" s="96"/>
      <c r="W62" s="96"/>
      <c r="X62" s="96"/>
      <c r="Y62" s="98"/>
      <c r="Z62" s="98"/>
      <c r="AA62" s="98"/>
      <c r="AB62" s="145"/>
      <c r="BN62" s="106"/>
    </row>
    <row r="63" spans="1:66" customFormat="1" ht="17.25" customHeight="1" thickBot="1">
      <c r="A63" s="115"/>
      <c r="B63" s="107" t="s">
        <v>457</v>
      </c>
      <c r="C63" s="108"/>
      <c r="D63" s="108"/>
      <c r="E63" s="108"/>
      <c r="F63" s="468">
        <f>IF(G64=AD64,F68,F76)</f>
        <v>305.14</v>
      </c>
      <c r="G63" s="468"/>
      <c r="H63" s="468"/>
      <c r="I63" s="108"/>
      <c r="J63" s="108"/>
      <c r="K63" s="108"/>
      <c r="L63" s="465">
        <f>F63-360</f>
        <v>-54.860000000000014</v>
      </c>
      <c r="M63" s="465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  <c r="BN63" s="106"/>
    </row>
    <row r="64" spans="1:66" customFormat="1" ht="17.25" customHeight="1">
      <c r="A64" s="98"/>
      <c r="B64" s="115"/>
      <c r="C64" s="466" t="s">
        <v>42</v>
      </c>
      <c r="D64" s="466"/>
      <c r="E64" s="466"/>
      <c r="F64" s="467"/>
      <c r="G64" s="624" t="s">
        <v>10</v>
      </c>
      <c r="H64" s="625"/>
      <c r="I64" s="626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664" t="s">
        <v>43</v>
      </c>
      <c r="AD64" s="152" t="s">
        <v>10</v>
      </c>
      <c r="BN64" s="106"/>
    </row>
    <row r="65" spans="1:66" customFormat="1" ht="17.25" customHeight="1">
      <c r="A65" s="98"/>
      <c r="B65" s="98"/>
      <c r="C65" s="116" t="s">
        <v>10</v>
      </c>
      <c r="D65" s="116"/>
      <c r="E65" s="117"/>
      <c r="F65" s="117"/>
      <c r="G65" s="96"/>
      <c r="H65" s="96"/>
      <c r="I65" s="96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145"/>
      <c r="AC65" s="664"/>
      <c r="AD65" s="152" t="s">
        <v>16</v>
      </c>
      <c r="BN65" s="106"/>
    </row>
    <row r="66" spans="1:66" customFormat="1" ht="17.25" customHeight="1">
      <c r="A66" s="98"/>
      <c r="B66" s="98"/>
      <c r="C66" s="143"/>
      <c r="D66" s="143"/>
      <c r="E66" s="143"/>
      <c r="F66" s="434" t="s">
        <v>9</v>
      </c>
      <c r="G66" s="435"/>
      <c r="H66" s="436"/>
      <c r="I66" s="434" t="s">
        <v>12</v>
      </c>
      <c r="J66" s="435"/>
      <c r="K66" s="435"/>
      <c r="L66" s="436"/>
      <c r="M66" s="440" t="s">
        <v>13</v>
      </c>
      <c r="N66" s="441"/>
      <c r="O66" s="442"/>
      <c r="P66" s="426" t="s">
        <v>17</v>
      </c>
      <c r="Q66" s="427"/>
      <c r="R66" s="427"/>
      <c r="S66" s="427"/>
      <c r="T66" s="428"/>
      <c r="U66" s="96"/>
      <c r="V66" s="98"/>
      <c r="W66" s="98"/>
      <c r="X66" s="98"/>
      <c r="Y66" s="98"/>
      <c r="Z66" s="98"/>
      <c r="AA66" s="98"/>
      <c r="AB66" s="145"/>
      <c r="AD66" s="157" t="s">
        <v>101</v>
      </c>
      <c r="AE66" s="6" t="s">
        <v>347</v>
      </c>
      <c r="BN66" s="106"/>
    </row>
    <row r="67" spans="1:66" customFormat="1" ht="17.25" customHeight="1" thickBot="1">
      <c r="A67" s="98"/>
      <c r="B67" s="98"/>
      <c r="C67" s="143"/>
      <c r="D67" s="143"/>
      <c r="E67" s="143"/>
      <c r="F67" s="437"/>
      <c r="G67" s="438"/>
      <c r="H67" s="439"/>
      <c r="I67" s="437"/>
      <c r="J67" s="438"/>
      <c r="K67" s="438"/>
      <c r="L67" s="439"/>
      <c r="M67" s="443"/>
      <c r="N67" s="444"/>
      <c r="O67" s="445"/>
      <c r="P67" s="900"/>
      <c r="Q67" s="430"/>
      <c r="R67" s="430"/>
      <c r="S67" s="430"/>
      <c r="T67" s="431"/>
      <c r="U67" s="96"/>
      <c r="V67" s="98"/>
      <c r="W67" s="98"/>
      <c r="X67" s="98"/>
      <c r="Y67" s="98"/>
      <c r="AA67" s="98"/>
      <c r="AB67" s="145"/>
      <c r="AC67" s="6" t="s">
        <v>338</v>
      </c>
      <c r="AD67" s="6">
        <f>VLOOKUP(P68,$B$38:$C$39,2)</f>
        <v>1</v>
      </c>
      <c r="AE67" s="6" cm="1">
        <f t="array" ref="AE67">AD67*angleConvert2Decimal(Q68)</f>
        <v>305.14</v>
      </c>
      <c r="BN67" s="106"/>
    </row>
    <row r="68" spans="1:66" customFormat="1" ht="17.25" customHeight="1" thickTop="1" thickBot="1">
      <c r="A68" s="98"/>
      <c r="B68" s="98"/>
      <c r="C68" s="143"/>
      <c r="D68" s="143"/>
      <c r="E68" s="98"/>
      <c r="F68" s="555">
        <f>IF(G64=AD65,"---",AD72)</f>
        <v>305.14</v>
      </c>
      <c r="G68" s="555"/>
      <c r="H68" s="555"/>
      <c r="I68" s="551">
        <f>E11</f>
        <v>18.814166666666669</v>
      </c>
      <c r="J68" s="552"/>
      <c r="K68" s="552"/>
      <c r="L68" s="901"/>
      <c r="M68" s="551">
        <v>10</v>
      </c>
      <c r="N68" s="552"/>
      <c r="O68" s="901"/>
      <c r="P68" s="903" t="s">
        <v>5</v>
      </c>
      <c r="Q68" s="904">
        <v>305.14</v>
      </c>
      <c r="R68" s="667"/>
      <c r="S68" s="667"/>
      <c r="T68" s="905"/>
      <c r="U68" s="400" t="str" cm="1">
        <f t="array" ref="U68">angleDecimal2Txt(AE67)</f>
        <v>+305°08.40 (+305.1399) [+305°08'24.00]</v>
      </c>
      <c r="V68" s="577"/>
      <c r="W68" s="577"/>
      <c r="X68" s="577"/>
      <c r="Y68" s="577"/>
      <c r="AA68" s="98"/>
      <c r="AB68" s="145"/>
      <c r="AC68" s="6" t="s">
        <v>339</v>
      </c>
      <c r="AD68" s="6">
        <f>VLOOKUP(P70,$B$38:$C$39,2)</f>
        <v>1</v>
      </c>
      <c r="AE68" s="6" cm="1">
        <f t="array" ref="AE68">AD68*angleConvert2Decimal(Q70)</f>
        <v>305.14</v>
      </c>
      <c r="BN68" s="106"/>
    </row>
    <row r="69" spans="1:66" customFormat="1" ht="17.25" customHeight="1" thickTop="1" thickBot="1">
      <c r="A69" s="98"/>
      <c r="B69" s="98"/>
      <c r="C69" s="143"/>
      <c r="D69" s="143"/>
      <c r="E69" s="143"/>
      <c r="F69" s="556"/>
      <c r="G69" s="556"/>
      <c r="H69" s="556"/>
      <c r="I69" s="809"/>
      <c r="J69" s="807"/>
      <c r="K69" s="807"/>
      <c r="L69" s="902"/>
      <c r="M69" s="553"/>
      <c r="N69" s="554"/>
      <c r="O69" s="658"/>
      <c r="P69" s="474"/>
      <c r="Q69" s="906"/>
      <c r="R69" s="907"/>
      <c r="S69" s="907"/>
      <c r="T69" s="908"/>
      <c r="U69" s="577"/>
      <c r="V69" s="577"/>
      <c r="W69" s="577"/>
      <c r="X69" s="577"/>
      <c r="Y69" s="577"/>
      <c r="AA69" s="98"/>
      <c r="AB69" s="145"/>
      <c r="AC69" s="6" t="s">
        <v>45</v>
      </c>
      <c r="AD69" s="8">
        <f>AE68-AE67</f>
        <v>0</v>
      </c>
      <c r="BN69" s="106"/>
    </row>
    <row r="70" spans="1:66" customFormat="1" ht="17.25" customHeight="1" thickTop="1" thickBot="1">
      <c r="A70" s="98"/>
      <c r="B70" s="98"/>
      <c r="C70" s="143"/>
      <c r="D70" s="143"/>
      <c r="E70" s="143"/>
      <c r="F70" s="556"/>
      <c r="G70" s="556"/>
      <c r="H70" s="556"/>
      <c r="I70" s="809"/>
      <c r="J70" s="807"/>
      <c r="K70" s="807"/>
      <c r="L70" s="902"/>
      <c r="M70" s="622">
        <v>11</v>
      </c>
      <c r="N70" s="623"/>
      <c r="O70" s="909"/>
      <c r="P70" s="910" t="s">
        <v>5</v>
      </c>
      <c r="Q70" s="826">
        <v>305.14</v>
      </c>
      <c r="R70" s="911"/>
      <c r="S70" s="911"/>
      <c r="T70" s="912"/>
      <c r="U70" s="400" t="str" cm="1">
        <f t="array" ref="U70">angleDecimal2Txt((AE68))</f>
        <v>+305°08.40 (+305.1399) [+305°08'24.00]</v>
      </c>
      <c r="V70" s="577"/>
      <c r="W70" s="577"/>
      <c r="X70" s="577"/>
      <c r="Y70" s="577"/>
      <c r="AA70" s="98"/>
      <c r="AB70" s="145"/>
      <c r="AC70" s="6" t="s">
        <v>341</v>
      </c>
      <c r="AD70" s="8">
        <f>M70-M68</f>
        <v>1</v>
      </c>
      <c r="AE70" s="98"/>
      <c r="BN70" s="106"/>
    </row>
    <row r="71" spans="1:66" customFormat="1" ht="17.25" customHeight="1" thickTop="1" thickBot="1">
      <c r="A71" s="98"/>
      <c r="B71" s="98"/>
      <c r="C71" s="143"/>
      <c r="D71" s="143"/>
      <c r="E71" s="143"/>
      <c r="F71" s="556"/>
      <c r="G71" s="556"/>
      <c r="H71" s="556"/>
      <c r="I71" s="809"/>
      <c r="J71" s="807"/>
      <c r="K71" s="807"/>
      <c r="L71" s="902"/>
      <c r="M71" s="553"/>
      <c r="N71" s="554"/>
      <c r="O71" s="658"/>
      <c r="P71" s="474"/>
      <c r="Q71" s="906"/>
      <c r="R71" s="907"/>
      <c r="S71" s="907"/>
      <c r="T71" s="908"/>
      <c r="U71" s="577"/>
      <c r="V71" s="577"/>
      <c r="W71" s="577"/>
      <c r="X71" s="577"/>
      <c r="Y71" s="577"/>
      <c r="AA71" s="98"/>
      <c r="AB71" s="145"/>
      <c r="AC71" s="6" t="s">
        <v>46</v>
      </c>
      <c r="AD71" s="8">
        <f>I68-M68</f>
        <v>8.8141666666666687</v>
      </c>
      <c r="BN71" s="106"/>
    </row>
    <row r="72" spans="1:66" customFormat="1" ht="17.25" customHeight="1" thickTop="1" thickBot="1">
      <c r="A72" s="98"/>
      <c r="B72" s="98"/>
      <c r="C72" s="143"/>
      <c r="D72" s="143"/>
      <c r="E72" s="143"/>
      <c r="F72" s="412">
        <f>AC73</f>
        <v>0</v>
      </c>
      <c r="G72" s="413"/>
      <c r="H72" s="413"/>
      <c r="I72" s="413"/>
      <c r="J72" s="413"/>
      <c r="K72" s="414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AA72" s="96"/>
      <c r="AB72" s="145"/>
      <c r="AC72" s="6" t="s">
        <v>44</v>
      </c>
      <c r="AD72" s="6">
        <f>AE67+(AD69/AD70)*AD71</f>
        <v>305.14</v>
      </c>
      <c r="BN72" s="106"/>
    </row>
    <row r="73" spans="1:66" customFormat="1" ht="17.25" customHeight="1" thickTop="1">
      <c r="A73" s="98"/>
      <c r="B73" s="98"/>
      <c r="C73" s="116" t="s">
        <v>16</v>
      </c>
      <c r="D73" s="116"/>
      <c r="E73" s="117"/>
      <c r="F73" s="117"/>
      <c r="G73" s="96"/>
      <c r="H73" s="96"/>
      <c r="I73" s="96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AA73" s="96"/>
      <c r="AB73" s="145"/>
      <c r="BN73" s="106"/>
    </row>
    <row r="74" spans="1:66" customFormat="1" ht="17.25" customHeight="1">
      <c r="A74" s="98"/>
      <c r="B74" s="98"/>
      <c r="C74" s="96"/>
      <c r="D74" s="96"/>
      <c r="E74" s="96"/>
      <c r="F74" s="434" t="s">
        <v>9</v>
      </c>
      <c r="G74" s="435"/>
      <c r="H74" s="436"/>
      <c r="I74" s="434" t="s">
        <v>12</v>
      </c>
      <c r="J74" s="435"/>
      <c r="K74" s="435"/>
      <c r="L74" s="436"/>
      <c r="M74" s="440" t="s">
        <v>13</v>
      </c>
      <c r="N74" s="441"/>
      <c r="O74" s="442"/>
      <c r="P74" s="426" t="s">
        <v>18</v>
      </c>
      <c r="Q74" s="427"/>
      <c r="R74" s="427"/>
      <c r="S74" s="427"/>
      <c r="T74" s="428"/>
      <c r="U74" s="426" t="s">
        <v>126</v>
      </c>
      <c r="V74" s="427"/>
      <c r="W74" s="427"/>
      <c r="X74" s="427"/>
      <c r="Y74" s="428"/>
      <c r="Z74" s="98"/>
      <c r="AA74" s="96"/>
      <c r="AB74" s="145"/>
      <c r="AC74" s="6" t="s">
        <v>342</v>
      </c>
      <c r="AD74" s="6">
        <f>VLOOKUP(P76,$B$38:$C$39,2)</f>
        <v>1</v>
      </c>
      <c r="BN74" s="106"/>
    </row>
    <row r="75" spans="1:66" customFormat="1" ht="17.25" customHeight="1" collapsed="1">
      <c r="A75" s="98"/>
      <c r="B75" s="98"/>
      <c r="C75" s="143"/>
      <c r="D75" s="143"/>
      <c r="E75" s="143"/>
      <c r="F75" s="437"/>
      <c r="G75" s="438"/>
      <c r="H75" s="439"/>
      <c r="I75" s="437"/>
      <c r="J75" s="438"/>
      <c r="K75" s="438"/>
      <c r="L75" s="439"/>
      <c r="M75" s="443"/>
      <c r="N75" s="444"/>
      <c r="O75" s="445"/>
      <c r="P75" s="900"/>
      <c r="Q75" s="430"/>
      <c r="R75" s="430"/>
      <c r="S75" s="430"/>
      <c r="T75" s="431"/>
      <c r="U75" s="900"/>
      <c r="V75" s="430"/>
      <c r="W75" s="430"/>
      <c r="X75" s="430"/>
      <c r="Y75" s="431"/>
      <c r="Z75" s="96"/>
      <c r="AA75" s="96"/>
      <c r="AB75" s="145"/>
      <c r="AC75" s="6" t="s">
        <v>343</v>
      </c>
      <c r="AD75" s="6" cm="1">
        <f t="array" ref="AD75">angleConvert2Decimal(Q76)*AD74</f>
        <v>176.49</v>
      </c>
      <c r="BN75" s="106"/>
    </row>
    <row r="76" spans="1:66" customFormat="1" ht="17.25" customHeight="1">
      <c r="A76" s="98"/>
      <c r="B76" s="98"/>
      <c r="C76" s="143"/>
      <c r="D76" s="143"/>
      <c r="E76" s="98"/>
      <c r="F76" s="555" t="str">
        <f>IF(G64=AD65,AD78,"---")</f>
        <v>---</v>
      </c>
      <c r="G76" s="555"/>
      <c r="H76" s="555"/>
      <c r="I76" s="551">
        <f>E11</f>
        <v>18.814166666666669</v>
      </c>
      <c r="J76" s="552"/>
      <c r="K76" s="552"/>
      <c r="L76" s="901"/>
      <c r="M76" s="551">
        <v>0</v>
      </c>
      <c r="N76" s="552"/>
      <c r="O76" s="901"/>
      <c r="P76" s="903" t="s">
        <v>5</v>
      </c>
      <c r="Q76" s="904" t="s">
        <v>228</v>
      </c>
      <c r="R76" s="667"/>
      <c r="S76" s="667"/>
      <c r="T76" s="913"/>
      <c r="U76" s="903" t="s">
        <v>5</v>
      </c>
      <c r="V76" s="904" t="s">
        <v>174</v>
      </c>
      <c r="W76" s="667"/>
      <c r="X76" s="667"/>
      <c r="Y76" s="913"/>
      <c r="Z76" s="96"/>
      <c r="AA76" s="98"/>
      <c r="AB76" s="145"/>
      <c r="AC76" s="6" t="s">
        <v>344</v>
      </c>
      <c r="AD76" s="6">
        <f>VLOOKUP(U76,$B$38:$C$39,2)</f>
        <v>1</v>
      </c>
      <c r="BN76" s="106"/>
    </row>
    <row r="77" spans="1:66" customFormat="1" ht="17.25" customHeight="1" thickBot="1">
      <c r="A77" s="98"/>
      <c r="B77" s="98"/>
      <c r="C77" s="143"/>
      <c r="D77" s="143"/>
      <c r="E77" s="143"/>
      <c r="F77" s="556"/>
      <c r="G77" s="556"/>
      <c r="H77" s="556"/>
      <c r="I77" s="809"/>
      <c r="J77" s="807"/>
      <c r="K77" s="807"/>
      <c r="L77" s="902"/>
      <c r="M77" s="553"/>
      <c r="N77" s="554"/>
      <c r="O77" s="658"/>
      <c r="P77" s="916"/>
      <c r="Q77" s="914"/>
      <c r="R77" s="668"/>
      <c r="S77" s="668"/>
      <c r="T77" s="915"/>
      <c r="U77" s="916"/>
      <c r="V77" s="914"/>
      <c r="W77" s="668"/>
      <c r="X77" s="668"/>
      <c r="Y77" s="915"/>
      <c r="Z77" s="96"/>
      <c r="AA77" s="98"/>
      <c r="AB77" s="145"/>
      <c r="AC77" s="6" t="s">
        <v>345</v>
      </c>
      <c r="AD77" s="6" cm="1">
        <f t="array" ref="AD77">angleConvert2Decimal(V76)*AD76</f>
        <v>15.002000000000001</v>
      </c>
      <c r="BN77" s="106"/>
    </row>
    <row r="78" spans="1:66" customFormat="1" ht="17.25" customHeight="1" thickTop="1" thickBot="1">
      <c r="A78" s="98"/>
      <c r="B78" s="98"/>
      <c r="C78" s="143"/>
      <c r="D78" s="143"/>
      <c r="E78" s="143"/>
      <c r="F78" s="402" t="e" cm="1">
        <f t="array" ref="F78">angleDecimal2Txt(F76)</f>
        <v>#VALUE!</v>
      </c>
      <c r="G78" s="402"/>
      <c r="H78" s="402"/>
      <c r="I78" s="402"/>
      <c r="J78" s="402"/>
      <c r="K78" s="402"/>
      <c r="L78" s="98"/>
      <c r="M78" s="98"/>
      <c r="N78" s="98"/>
      <c r="O78" s="98"/>
      <c r="P78" s="402" t="str" cm="1">
        <f t="array" ref="P78">angleDecimal2Txt(AD75)</f>
        <v>+176°29.39 (+176.4900) [+176°29'24.00]</v>
      </c>
      <c r="Q78" s="402"/>
      <c r="R78" s="402"/>
      <c r="S78" s="402"/>
      <c r="T78" s="402"/>
      <c r="U78" s="402" t="str" cm="1">
        <f t="array" ref="U78">angleDecimal2Txt(AD77)</f>
        <v>+15°00.12 (+15.0020) [+15°00'07.20]</v>
      </c>
      <c r="V78" s="588"/>
      <c r="W78" s="588"/>
      <c r="X78" s="588"/>
      <c r="Y78" s="588"/>
      <c r="Z78" s="98"/>
      <c r="AA78" s="98"/>
      <c r="AB78" s="145"/>
      <c r="AC78" s="6" t="s">
        <v>346</v>
      </c>
      <c r="AD78" s="6">
        <f>AD75+AD77*(I76-M76)</f>
        <v>458.74012833333336</v>
      </c>
      <c r="BN78" s="106"/>
    </row>
    <row r="79" spans="1:66" customFormat="1" ht="17.25" customHeight="1" thickTop="1">
      <c r="A79" s="98"/>
      <c r="B79" s="98"/>
      <c r="C79" s="143"/>
      <c r="D79" s="143"/>
      <c r="E79" s="143"/>
      <c r="F79" s="143"/>
      <c r="G79" s="143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6"/>
      <c r="T79" s="96"/>
      <c r="U79" s="96"/>
      <c r="V79" s="96"/>
      <c r="W79" s="96"/>
      <c r="X79" s="96"/>
      <c r="Y79" s="98"/>
      <c r="Z79" s="98"/>
      <c r="AA79" s="98"/>
      <c r="AB79" s="145"/>
      <c r="BN79" s="106"/>
    </row>
    <row r="80" spans="1:66" customFormat="1" ht="17.25" customHeight="1">
      <c r="A80" s="98"/>
      <c r="B80" s="98"/>
      <c r="C80" s="143"/>
      <c r="D80" s="143"/>
      <c r="E80" s="143"/>
      <c r="F80" s="143"/>
      <c r="G80" s="143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6"/>
      <c r="T80" s="96"/>
      <c r="U80" s="96"/>
      <c r="V80" s="96"/>
      <c r="W80" s="96"/>
      <c r="X80" s="98"/>
      <c r="Y80" s="98"/>
      <c r="Z80" s="98"/>
      <c r="AA80" s="98"/>
      <c r="AB80" s="145"/>
      <c r="BN80" s="106"/>
    </row>
    <row r="81" spans="1:66" customFormat="1" ht="17.25" customHeight="1" thickBot="1">
      <c r="A81" s="98"/>
      <c r="B81" s="98"/>
      <c r="C81" s="143"/>
      <c r="D81" s="143"/>
      <c r="E81" s="143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8"/>
      <c r="AB81" s="145"/>
      <c r="AI81" s="41"/>
      <c r="BN81" s="106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468">
        <f>I83</f>
        <v>307.23449999999997</v>
      </c>
      <c r="G82" s="468"/>
      <c r="H82" s="468"/>
      <c r="I82" s="108"/>
      <c r="J82" s="586" t="s">
        <v>83</v>
      </c>
      <c r="K82" s="586"/>
      <c r="L82" s="586"/>
      <c r="M82" s="558" t="str">
        <f>J22</f>
        <v>Lune</v>
      </c>
      <c r="N82" s="558"/>
      <c r="O82" s="55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665" t="s">
        <v>23</v>
      </c>
      <c r="D83" s="665"/>
      <c r="E83" s="665"/>
      <c r="F83" s="665"/>
      <c r="G83" s="665"/>
      <c r="H83" s="666"/>
      <c r="I83" s="660">
        <f>AD84</f>
        <v>307.23449999999997</v>
      </c>
      <c r="J83" s="661"/>
      <c r="K83" s="661"/>
      <c r="L83" s="662"/>
      <c r="M83" s="118" t="s">
        <v>53</v>
      </c>
      <c r="N83" s="534">
        <f>AD83</f>
        <v>307.23449999999997</v>
      </c>
      <c r="O83" s="534"/>
      <c r="P83" s="534"/>
      <c r="Q83" s="534"/>
      <c r="AC83" s="6" t="s">
        <v>348</v>
      </c>
      <c r="AD83" s="8">
        <f>F63+F41</f>
        <v>307.23449999999997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588">
        <f>AC85</f>
        <v>0</v>
      </c>
      <c r="J84" s="588"/>
      <c r="K84" s="588"/>
      <c r="L84" s="588"/>
      <c r="M84" s="588"/>
      <c r="N84" s="588"/>
      <c r="AB84" s="150"/>
      <c r="AC84" s="6" t="s">
        <v>349</v>
      </c>
      <c r="AD84" s="8">
        <f>MOD(AD83,360)</f>
        <v>307.23449999999997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633" t="s">
        <v>100</v>
      </c>
      <c r="E86" s="637"/>
      <c r="F86" s="468">
        <f>IF(G87=AD87,O124,O116)</f>
        <v>21.769371872294943</v>
      </c>
      <c r="G86" s="468"/>
      <c r="H86" s="468"/>
      <c r="I86" s="108"/>
      <c r="J86" s="108"/>
      <c r="K86" s="108"/>
      <c r="L86" s="108" t="s">
        <v>88</v>
      </c>
      <c r="M86" s="633">
        <f>O89</f>
        <v>20.5</v>
      </c>
      <c r="N86" s="633"/>
      <c r="O86" s="108"/>
      <c r="P86" s="144"/>
      <c r="Q86" s="108" t="s">
        <v>127</v>
      </c>
      <c r="R86" s="108"/>
      <c r="S86" s="672">
        <f>-O103+O98+O107</f>
        <v>1.2693718722949456</v>
      </c>
      <c r="T86" s="673"/>
      <c r="U86" s="674"/>
      <c r="V86" s="675" t="str" cm="1">
        <f t="array" ref="V86">angleDecimal2Txt(S86)</f>
        <v>+01°16.16 (+01.2693) [+01°16'09.73]</v>
      </c>
      <c r="W86" s="675"/>
      <c r="X86" s="675"/>
      <c r="Y86" s="675"/>
      <c r="Z86" s="675"/>
      <c r="AA86" s="108"/>
      <c r="AB86" s="148"/>
    </row>
    <row r="87" spans="1:66" ht="17.25" customHeight="1">
      <c r="C87" s="466" t="s">
        <v>42</v>
      </c>
      <c r="D87" s="466"/>
      <c r="E87" s="466"/>
      <c r="F87" s="466"/>
      <c r="G87" s="587" t="s">
        <v>59</v>
      </c>
      <c r="H87" s="587"/>
      <c r="I87" s="587"/>
      <c r="P87" s="98" t="s">
        <v>97</v>
      </c>
      <c r="V87" s="96"/>
      <c r="W87" s="96"/>
      <c r="X87" s="96"/>
      <c r="Y87" s="96"/>
      <c r="Z87" s="96"/>
      <c r="AC87" s="664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539" t="s">
        <v>90</v>
      </c>
      <c r="G88" s="539"/>
      <c r="H88" s="589"/>
      <c r="I88" s="589"/>
      <c r="J88" s="671">
        <f>IF(G87=AD87,"---",O116)</f>
        <v>21.769371872294943</v>
      </c>
      <c r="K88" s="671"/>
      <c r="L88" s="671"/>
      <c r="V88" s="96"/>
      <c r="W88" s="96"/>
      <c r="X88" s="96"/>
      <c r="Y88" s="96"/>
      <c r="Z88" s="96"/>
      <c r="AC88" s="664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516" t="s">
        <v>55</v>
      </c>
      <c r="I89" s="516"/>
      <c r="J89" s="516"/>
      <c r="K89" s="516"/>
      <c r="L89" s="516"/>
      <c r="M89" s="516"/>
      <c r="N89" s="516"/>
      <c r="O89" s="389">
        <f>J21</f>
        <v>20.5</v>
      </c>
      <c r="P89" s="389"/>
      <c r="Q89" s="389"/>
      <c r="R89" s="389"/>
      <c r="S89" s="98" t="s">
        <v>71</v>
      </c>
      <c r="U89" s="402" t="str" cm="1">
        <f t="array" ref="U89">angleDecimal2Txt(O89)</f>
        <v>+20°30.00 (+20.5000) [+20°30'00.00]</v>
      </c>
      <c r="V89" s="402"/>
      <c r="W89" s="402"/>
      <c r="X89" s="402"/>
      <c r="Y89" s="402"/>
      <c r="Z89" s="402"/>
    </row>
    <row r="90" spans="1:66" ht="17.25" customHeight="1" thickTop="1" thickBot="1">
      <c r="C90" s="98"/>
      <c r="D90" s="98"/>
      <c r="E90" s="98"/>
      <c r="F90" s="98"/>
      <c r="G90" s="98"/>
      <c r="H90" s="516" t="s">
        <v>26</v>
      </c>
      <c r="I90" s="516"/>
      <c r="J90" s="516"/>
      <c r="K90" s="516"/>
      <c r="L90" s="516"/>
      <c r="M90" s="516"/>
      <c r="N90" s="516"/>
      <c r="O90" s="389">
        <f>J20</f>
        <v>0</v>
      </c>
      <c r="P90" s="389"/>
      <c r="Q90" s="389"/>
      <c r="R90" s="389"/>
      <c r="S90" s="98" t="s">
        <v>71</v>
      </c>
      <c r="U90" s="402" t="str" cm="1">
        <f t="array" ref="U90">angleDecimal2Txt(O90)</f>
        <v>+00°00.00 (+00.0000) [+00°00'00.00]</v>
      </c>
      <c r="V90" s="402"/>
      <c r="W90" s="402"/>
      <c r="X90" s="402"/>
      <c r="Y90" s="402"/>
      <c r="Z90" s="402"/>
      <c r="AC90" s="6" t="s">
        <v>87</v>
      </c>
      <c r="AD90" s="8">
        <f>O90</f>
        <v>0</v>
      </c>
    </row>
    <row r="91" spans="1:66" ht="17.25" customHeight="1" thickTop="1" thickBot="1">
      <c r="G91" s="98"/>
      <c r="H91" s="545" t="s">
        <v>96</v>
      </c>
      <c r="I91" s="545"/>
      <c r="J91" s="545"/>
      <c r="K91" s="545"/>
      <c r="L91" s="545"/>
      <c r="M91" s="545"/>
      <c r="N91" s="545"/>
      <c r="O91" s="398">
        <f>AD92</f>
        <v>0</v>
      </c>
      <c r="P91" s="398"/>
      <c r="Q91" s="398"/>
      <c r="R91" s="398"/>
      <c r="S91" s="98" t="s">
        <v>71</v>
      </c>
      <c r="U91" s="402" t="str" cm="1">
        <f t="array" ref="U91">angleDecimal2Txt(O91)</f>
        <v>+00°00.00 (+00.0000) [+00°00'00.00]</v>
      </c>
      <c r="V91" s="402"/>
      <c r="W91" s="402"/>
      <c r="X91" s="402"/>
      <c r="Y91" s="402"/>
      <c r="Z91" s="402"/>
      <c r="AC91" s="6" t="s">
        <v>54</v>
      </c>
      <c r="AD91" s="6">
        <f>J19</f>
        <v>0</v>
      </c>
    </row>
    <row r="92" spans="1:66" ht="17.25" customHeight="1" thickTop="1" thickBot="1">
      <c r="K92" s="96"/>
      <c r="L92" s="96"/>
      <c r="M92" s="643" t="s">
        <v>178</v>
      </c>
      <c r="N92" s="643"/>
      <c r="O92" s="643"/>
      <c r="P92" s="643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0</v>
      </c>
    </row>
    <row r="93" spans="1:66" ht="17.25" customHeight="1" thickTop="1" thickBot="1">
      <c r="G93" s="98"/>
      <c r="H93" s="446" t="s">
        <v>56</v>
      </c>
      <c r="I93" s="446"/>
      <c r="J93" s="446"/>
      <c r="K93" s="446"/>
      <c r="L93" s="446"/>
      <c r="M93" s="446"/>
      <c r="N93" s="446"/>
      <c r="O93" s="557">
        <f>O89-O90-O91</f>
        <v>20.5</v>
      </c>
      <c r="P93" s="538"/>
      <c r="Q93" s="98" t="s">
        <v>71</v>
      </c>
      <c r="R93" s="563">
        <f>O93*D138</f>
        <v>0.35779249665883756</v>
      </c>
      <c r="S93" s="563"/>
      <c r="T93" s="119" t="s">
        <v>92</v>
      </c>
      <c r="U93" s="402" t="str" cm="1">
        <f t="array" ref="U93">angleDecimal2Txt(O93)</f>
        <v>+20°30.00 (+20.5000) [+20°30'00.00]</v>
      </c>
      <c r="V93" s="402"/>
      <c r="W93" s="402"/>
      <c r="X93" s="402"/>
      <c r="Y93" s="402"/>
      <c r="Z93" s="402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59" t="s">
        <v>89</v>
      </c>
      <c r="N95" s="559"/>
      <c r="O95" s="559"/>
      <c r="P95" s="559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60" t="s">
        <v>243</v>
      </c>
      <c r="N96" s="560"/>
      <c r="O96" s="559"/>
      <c r="P96" s="559"/>
    </row>
    <row r="97" spans="1:66" ht="17.25" customHeight="1" thickTop="1" thickBot="1">
      <c r="A97" s="96"/>
      <c r="B97" s="96"/>
      <c r="C97" s="96"/>
      <c r="D97" s="96"/>
      <c r="E97" s="96"/>
      <c r="F97" s="98"/>
      <c r="G97" s="98"/>
      <c r="H97" s="398" t="s">
        <v>60</v>
      </c>
      <c r="I97" s="398"/>
      <c r="J97" s="398"/>
      <c r="K97" s="398"/>
      <c r="L97" s="398"/>
      <c r="M97" s="398"/>
      <c r="N97" s="398"/>
      <c r="O97" s="561">
        <f>J24</f>
        <v>0.90380000000000005</v>
      </c>
      <c r="P97" s="562"/>
      <c r="Q97" s="562"/>
      <c r="R97" s="562"/>
      <c r="S97" s="98" t="s">
        <v>71</v>
      </c>
      <c r="U97" s="402" t="str" cm="1">
        <f t="array" ref="U97">angleDecimal2Txt(O97)</f>
        <v>+00°54.22 (+00.9038) [+00°54'13.68]</v>
      </c>
      <c r="V97" s="402"/>
      <c r="W97" s="402"/>
      <c r="X97" s="402"/>
      <c r="Y97" s="402"/>
      <c r="Z97" s="402"/>
      <c r="AC97" s="6" t="s">
        <v>350</v>
      </c>
      <c r="AD97" s="6">
        <f>O97*COS(R93)</f>
        <v>0.84656432464270182</v>
      </c>
    </row>
    <row r="98" spans="1:66" customFormat="1" ht="17.25" customHeight="1" thickTop="1" thickBot="1">
      <c r="A98" s="96"/>
      <c r="B98" s="96"/>
      <c r="C98" s="96"/>
      <c r="D98" s="96"/>
      <c r="E98" s="96"/>
      <c r="F98" s="98"/>
      <c r="G98" s="98"/>
      <c r="H98" s="526" t="s">
        <v>244</v>
      </c>
      <c r="I98" s="527"/>
      <c r="J98" s="527"/>
      <c r="K98" s="527"/>
      <c r="L98" s="527"/>
      <c r="M98" s="527"/>
      <c r="N98" s="528"/>
      <c r="O98" s="390">
        <f>AD97</f>
        <v>0.84656432464270182</v>
      </c>
      <c r="P98" s="390"/>
      <c r="Q98" s="390"/>
      <c r="R98" s="390"/>
      <c r="S98" s="98" t="s">
        <v>71</v>
      </c>
      <c r="T98" s="98"/>
      <c r="U98" s="402" t="str" cm="1">
        <f t="array" ref="U98">angleDecimal2Txt(O98)</f>
        <v>+00°50.79 (+00.8465) [+00°50'47.63]</v>
      </c>
      <c r="V98" s="402"/>
      <c r="W98" s="402"/>
      <c r="X98" s="402"/>
      <c r="Y98" s="402"/>
      <c r="Z98" s="402"/>
      <c r="AA98" s="98"/>
      <c r="AB98" s="145"/>
      <c r="BN98" s="106"/>
    </row>
    <row r="99" spans="1:66" customFormat="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8"/>
      <c r="AB99" s="145"/>
      <c r="BN99" s="106"/>
    </row>
    <row r="100" spans="1:66" customFormat="1" ht="17.25" customHeight="1">
      <c r="A100" s="96"/>
      <c r="B100" s="96"/>
      <c r="C100" s="96"/>
      <c r="D100" s="96"/>
      <c r="E100" s="143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P100" s="98"/>
      <c r="Q100" s="98"/>
      <c r="R100" s="98"/>
      <c r="S100" s="512" t="s">
        <v>195</v>
      </c>
      <c r="T100" s="513"/>
      <c r="U100" s="514"/>
      <c r="V100" s="98"/>
      <c r="W100" s="98"/>
      <c r="X100" s="98"/>
      <c r="Y100" s="96"/>
      <c r="Z100" s="96"/>
      <c r="AA100" s="98"/>
      <c r="AB100" s="145"/>
      <c r="AC100" s="6" t="s">
        <v>57</v>
      </c>
      <c r="AD100" s="6" t="s">
        <v>352</v>
      </c>
      <c r="BN100" s="106"/>
    </row>
    <row r="101" spans="1:66" customFormat="1" ht="17.25" customHeight="1">
      <c r="A101" s="96"/>
      <c r="B101" s="96"/>
      <c r="C101" s="96"/>
      <c r="D101" s="96"/>
      <c r="E101" s="143"/>
      <c r="F101" s="98"/>
      <c r="G101" s="98"/>
      <c r="H101" s="398" t="s">
        <v>93</v>
      </c>
      <c r="I101" s="398"/>
      <c r="J101" s="398"/>
      <c r="K101" s="398"/>
      <c r="L101" s="398"/>
      <c r="M101" s="398"/>
      <c r="N101" s="398"/>
      <c r="O101" s="529">
        <f>S101</f>
        <v>10</v>
      </c>
      <c r="P101" s="530"/>
      <c r="Q101" s="530"/>
      <c r="R101" s="530"/>
      <c r="S101" s="640">
        <v>10</v>
      </c>
      <c r="T101" s="641"/>
      <c r="U101" s="642"/>
      <c r="V101" s="98"/>
      <c r="W101" s="98"/>
      <c r="X101" s="98"/>
      <c r="Y101" s="96"/>
      <c r="Z101" s="96"/>
      <c r="AA101" s="98"/>
      <c r="AB101" s="145"/>
      <c r="AC101" s="6" t="s">
        <v>353</v>
      </c>
      <c r="AD101" s="6">
        <f>1/TAN((O93 + 7.31 / (O93 + 4.4)) * D138)</f>
        <v>2.6334082067358655</v>
      </c>
      <c r="BN101" s="106"/>
    </row>
    <row r="102" spans="1:66" customFormat="1" ht="17.25" customHeight="1" thickBot="1">
      <c r="A102" s="96"/>
      <c r="B102" s="96"/>
      <c r="C102" s="96"/>
      <c r="D102" s="96"/>
      <c r="E102" s="96"/>
      <c r="F102" s="98"/>
      <c r="G102" s="98"/>
      <c r="H102" s="398" t="s">
        <v>94</v>
      </c>
      <c r="I102" s="398"/>
      <c r="J102" s="398"/>
      <c r="K102" s="398"/>
      <c r="L102" s="398"/>
      <c r="M102" s="398"/>
      <c r="N102" s="398"/>
      <c r="O102" s="529">
        <f>S102</f>
        <v>1010</v>
      </c>
      <c r="P102" s="530"/>
      <c r="Q102" s="530"/>
      <c r="R102" s="530"/>
      <c r="S102" s="640">
        <v>1010</v>
      </c>
      <c r="T102" s="641"/>
      <c r="U102" s="642"/>
      <c r="V102" s="98"/>
      <c r="W102" s="98"/>
      <c r="X102" s="98"/>
      <c r="Y102" s="96"/>
      <c r="Z102" s="96"/>
      <c r="AA102" s="98"/>
      <c r="AB102" s="145"/>
      <c r="AC102" s="6" t="s">
        <v>354</v>
      </c>
      <c r="AD102" s="6">
        <f>AD101/60</f>
        <v>4.389013677893109E-2</v>
      </c>
      <c r="BN102" s="106"/>
    </row>
    <row r="103" spans="1:66" customFormat="1" ht="17.25" customHeight="1" thickTop="1" thickBot="1">
      <c r="A103" s="96"/>
      <c r="B103" s="96"/>
      <c r="C103" s="96"/>
      <c r="D103" s="96"/>
      <c r="E103" s="96"/>
      <c r="F103" s="98"/>
      <c r="G103" s="98"/>
      <c r="H103" s="526" t="s">
        <v>245</v>
      </c>
      <c r="I103" s="527"/>
      <c r="J103" s="527"/>
      <c r="K103" s="527"/>
      <c r="L103" s="527"/>
      <c r="M103" s="527"/>
      <c r="N103" s="528"/>
      <c r="O103" s="390">
        <f>AD104</f>
        <v>4.3859119014423013E-2</v>
      </c>
      <c r="P103" s="390"/>
      <c r="Q103" s="390"/>
      <c r="R103" s="390"/>
      <c r="S103" s="98" t="s">
        <v>71</v>
      </c>
      <c r="T103" s="98"/>
      <c r="U103" s="402" t="str" cm="1">
        <f t="array" ref="U103">angleDecimal2Txt(O103)</f>
        <v>+00°02.63 (+00.0438) [+00°02'37.89]</v>
      </c>
      <c r="V103" s="402"/>
      <c r="W103" s="402"/>
      <c r="X103" s="402"/>
      <c r="Y103" s="402"/>
      <c r="Z103" s="402"/>
      <c r="AA103" s="98"/>
      <c r="AB103" s="145"/>
      <c r="AC103" s="6" t="s">
        <v>128</v>
      </c>
      <c r="AD103" s="6">
        <f xml:space="preserve"> 0.28 * O102 / (273 + O101)</f>
        <v>0.99929328621908131</v>
      </c>
      <c r="BN103" s="106"/>
    </row>
    <row r="104" spans="1:66" customFormat="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P104" s="98"/>
      <c r="Q104" s="98"/>
      <c r="R104" s="98"/>
      <c r="S104" s="98"/>
      <c r="T104" s="98"/>
      <c r="U104" s="98"/>
      <c r="V104" s="98"/>
      <c r="W104" s="98"/>
      <c r="X104" s="98"/>
      <c r="Y104" s="96"/>
      <c r="Z104" s="96"/>
      <c r="AA104" s="98"/>
      <c r="AB104" s="145"/>
      <c r="AC104" s="6" t="s">
        <v>351</v>
      </c>
      <c r="AD104" s="6">
        <f>AD103*AD102</f>
        <v>4.3859119014423013E-2</v>
      </c>
      <c r="BN104" s="106"/>
    </row>
    <row r="105" spans="1:66" customFormat="1" ht="17.25" customHeight="1">
      <c r="A105" s="96"/>
      <c r="B105" s="96"/>
      <c r="C105" s="96"/>
      <c r="D105" s="96"/>
      <c r="E105" s="96"/>
      <c r="F105" s="98"/>
      <c r="G105" s="98"/>
      <c r="H105" s="398" t="s">
        <v>134</v>
      </c>
      <c r="I105" s="398"/>
      <c r="J105" s="398"/>
      <c r="K105" s="398"/>
      <c r="L105" s="398"/>
      <c r="M105" s="398"/>
      <c r="N105" s="398"/>
      <c r="O105" s="515">
        <f>J28</f>
        <v>0.4924</v>
      </c>
      <c r="P105" s="515"/>
      <c r="Q105" s="515"/>
      <c r="R105" s="515"/>
      <c r="S105" s="98"/>
      <c r="T105" s="98"/>
      <c r="U105" s="98"/>
      <c r="V105" s="98"/>
      <c r="W105" s="98"/>
      <c r="X105" s="98"/>
      <c r="Y105" s="98"/>
      <c r="Z105" s="98"/>
      <c r="AA105" s="98"/>
      <c r="AB105" s="145"/>
      <c r="BN105" s="106"/>
    </row>
    <row r="106" spans="1:66" customFormat="1" ht="17.25" customHeight="1" thickBot="1">
      <c r="A106" s="98"/>
      <c r="B106" s="96"/>
      <c r="C106" s="96"/>
      <c r="D106" s="96"/>
      <c r="E106" s="143"/>
      <c r="F106" s="143"/>
      <c r="G106" s="143"/>
      <c r="H106" s="398" t="s">
        <v>98</v>
      </c>
      <c r="I106" s="398"/>
      <c r="J106" s="398"/>
      <c r="K106" s="398"/>
      <c r="L106" s="398"/>
      <c r="M106" s="398"/>
      <c r="N106" s="398"/>
      <c r="O106" s="515" t="str">
        <f>J23</f>
        <v>BordInf</v>
      </c>
      <c r="P106" s="515"/>
      <c r="Q106" s="515"/>
      <c r="R106" s="515"/>
      <c r="S106" s="98"/>
      <c r="T106" s="98"/>
      <c r="U106" s="98"/>
      <c r="V106" s="98"/>
      <c r="W106" s="98"/>
      <c r="X106" s="98"/>
      <c r="Y106" s="98"/>
      <c r="Z106" s="98"/>
      <c r="AA106" s="98"/>
      <c r="AB106" s="145"/>
      <c r="AC106" s="6" t="s">
        <v>37</v>
      </c>
      <c r="AD106" s="378" t="str">
        <f>J22</f>
        <v>Lune</v>
      </c>
      <c r="AE106" s="378"/>
      <c r="BN106" s="106"/>
    </row>
    <row r="107" spans="1:66" customFormat="1" ht="17.25" customHeight="1" thickTop="1" thickBot="1">
      <c r="A107" s="98"/>
      <c r="B107" s="98"/>
      <c r="C107" s="143"/>
      <c r="D107" s="143"/>
      <c r="E107" s="143"/>
      <c r="F107" s="143"/>
      <c r="G107" s="143"/>
      <c r="H107" s="531" t="s">
        <v>99</v>
      </c>
      <c r="I107" s="532"/>
      <c r="J107" s="532"/>
      <c r="K107" s="532"/>
      <c r="L107" s="532"/>
      <c r="M107" s="532"/>
      <c r="N107" s="533"/>
      <c r="O107" s="534">
        <f>AD110</f>
        <v>0.46666666666666667</v>
      </c>
      <c r="P107" s="534"/>
      <c r="Q107" s="534"/>
      <c r="R107" s="534"/>
      <c r="S107" s="98" t="s">
        <v>71</v>
      </c>
      <c r="T107" s="98"/>
      <c r="U107" s="402" t="str" cm="1">
        <f t="array" ref="U107">angleDecimal2Txt(O107)</f>
        <v>+00°28.00 (+00.4666) [+00°28'00.00]</v>
      </c>
      <c r="V107" s="402"/>
      <c r="W107" s="402"/>
      <c r="X107" s="402"/>
      <c r="Y107" s="402"/>
      <c r="Z107" s="402"/>
      <c r="AA107" s="98"/>
      <c r="AB107" s="145"/>
      <c r="AC107" s="6" t="s">
        <v>358</v>
      </c>
      <c r="AD107" s="378" t="str">
        <f>O106</f>
        <v>BordInf</v>
      </c>
      <c r="AE107" s="378"/>
      <c r="BN107" s="106"/>
    </row>
    <row r="108" spans="1:66" customFormat="1" ht="17.25" customHeight="1" thickTop="1">
      <c r="A108" s="98"/>
      <c r="B108" s="98"/>
      <c r="C108" s="143"/>
      <c r="D108" s="143"/>
      <c r="E108" s="143"/>
      <c r="F108" s="143"/>
      <c r="G108" s="143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8"/>
      <c r="AB108" s="145"/>
      <c r="AC108" s="6" t="s">
        <v>359</v>
      </c>
      <c r="AD108" s="636">
        <f>HLOOKUP(AD107,AD27:AF28,2)</f>
        <v>1</v>
      </c>
      <c r="AE108" s="636"/>
      <c r="BN108" s="106"/>
    </row>
    <row r="109" spans="1:66" customFormat="1" ht="17.25" customHeight="1">
      <c r="A109" s="98"/>
      <c r="B109" s="98"/>
      <c r="C109" s="143"/>
      <c r="D109" s="143"/>
      <c r="E109" s="143"/>
      <c r="F109" s="143"/>
      <c r="G109" s="542" t="s">
        <v>170</v>
      </c>
      <c r="H109" s="543"/>
      <c r="I109" s="543"/>
      <c r="J109" s="543"/>
      <c r="K109" s="543"/>
      <c r="L109" s="543"/>
      <c r="M109" s="543"/>
      <c r="N109" s="543"/>
      <c r="O109" s="543"/>
      <c r="P109" s="543"/>
      <c r="Q109" s="543"/>
      <c r="R109" s="543"/>
      <c r="S109" s="544"/>
      <c r="T109" s="96"/>
      <c r="U109" s="96"/>
      <c r="V109" s="96"/>
      <c r="W109" s="96"/>
      <c r="X109" s="96"/>
      <c r="Y109" s="96"/>
      <c r="Z109" s="96"/>
      <c r="AA109" s="98"/>
      <c r="AB109" s="145"/>
      <c r="AC109" s="6" t="s">
        <v>134</v>
      </c>
      <c r="AD109" s="6" t="str">
        <f>HLOOKUP(AD106,AD23:AF25,3)</f>
        <v>28.0'</v>
      </c>
      <c r="AE109" s="6" cm="1">
        <f t="array" ref="AE109">angleConvert2Decimal(AD109)</f>
        <v>0.46666666666666667</v>
      </c>
      <c r="BN109" s="106"/>
    </row>
    <row r="110" spans="1:66" customFormat="1" ht="17.25" customHeight="1">
      <c r="A110" s="98"/>
      <c r="B110" s="98"/>
      <c r="C110" s="143"/>
      <c r="D110" s="143"/>
      <c r="E110" s="143"/>
      <c r="F110" s="143"/>
      <c r="G110" s="546" t="s">
        <v>183</v>
      </c>
      <c r="H110" s="548"/>
      <c r="I110" s="564" t="s">
        <v>175</v>
      </c>
      <c r="J110" s="565"/>
      <c r="K110" s="565"/>
      <c r="L110" s="565"/>
      <c r="M110" s="565"/>
      <c r="N110" s="566"/>
      <c r="O110" s="517">
        <f>(O98-O103-O91+O105/2) * 60</f>
        <v>62.934312337696731</v>
      </c>
      <c r="P110" s="518"/>
      <c r="Q110" s="518"/>
      <c r="R110" s="518"/>
      <c r="S110" s="521" t="s">
        <v>171</v>
      </c>
      <c r="T110" s="96"/>
      <c r="U110" s="96"/>
      <c r="V110" s="96"/>
      <c r="W110" s="96"/>
      <c r="X110" s="96"/>
      <c r="Y110" s="96"/>
      <c r="Z110" s="96"/>
      <c r="AA110" s="98"/>
      <c r="AB110" s="145"/>
      <c r="AC110" s="6" t="s">
        <v>359</v>
      </c>
      <c r="AD110" s="636">
        <f>AE109*AD108</f>
        <v>0.46666666666666667</v>
      </c>
      <c r="AE110" s="636"/>
      <c r="BN110" s="106"/>
    </row>
    <row r="111" spans="1:66" customFormat="1" ht="17.25" customHeight="1">
      <c r="A111" s="98"/>
      <c r="B111" s="98"/>
      <c r="C111" s="143"/>
      <c r="D111" s="143"/>
      <c r="E111" s="143"/>
      <c r="F111" s="143"/>
      <c r="G111" s="644"/>
      <c r="H111" s="645"/>
      <c r="I111" s="567" t="s">
        <v>179</v>
      </c>
      <c r="J111" s="568"/>
      <c r="K111" s="568"/>
      <c r="L111" s="568"/>
      <c r="M111" s="568"/>
      <c r="N111" s="569"/>
      <c r="O111" s="519"/>
      <c r="P111" s="520"/>
      <c r="Q111" s="520"/>
      <c r="R111" s="520"/>
      <c r="S111" s="522"/>
      <c r="T111" s="96"/>
      <c r="U111" s="96"/>
      <c r="V111" s="96"/>
      <c r="W111" s="96"/>
      <c r="X111" s="96"/>
      <c r="Y111" s="96"/>
      <c r="Z111" s="96"/>
      <c r="AA111" s="98"/>
      <c r="AB111" s="145"/>
      <c r="BN111" s="106"/>
    </row>
    <row r="112" spans="1:66" customFormat="1" ht="17.25" customHeight="1">
      <c r="A112" s="98"/>
      <c r="B112" s="98"/>
      <c r="C112" s="143"/>
      <c r="D112" s="143"/>
      <c r="E112" s="143"/>
      <c r="F112" s="143"/>
      <c r="G112" s="143"/>
      <c r="H112" s="96"/>
      <c r="I112" s="564" t="s">
        <v>176</v>
      </c>
      <c r="J112" s="565"/>
      <c r="K112" s="565"/>
      <c r="L112" s="565"/>
      <c r="M112" s="565"/>
      <c r="N112" s="566"/>
      <c r="O112" s="518">
        <f>(O98-O103+O105/2)*60</f>
        <v>62.934312337696731</v>
      </c>
      <c r="P112" s="518"/>
      <c r="Q112" s="518"/>
      <c r="R112" s="518"/>
      <c r="S112" s="521" t="s">
        <v>171</v>
      </c>
      <c r="T112" s="96"/>
      <c r="U112" s="96"/>
      <c r="V112" s="96"/>
      <c r="W112" s="96"/>
      <c r="X112" s="96"/>
      <c r="Y112" s="96"/>
      <c r="Z112" s="96"/>
      <c r="AA112" s="98"/>
      <c r="AB112" s="145"/>
      <c r="BN112" s="106"/>
    </row>
    <row r="113" spans="1:66" customFormat="1" ht="17.25" customHeight="1">
      <c r="A113" s="98"/>
      <c r="B113" s="98"/>
      <c r="C113" s="143"/>
      <c r="D113" s="143"/>
      <c r="E113" s="143"/>
      <c r="F113" s="143"/>
      <c r="G113" s="143"/>
      <c r="H113" s="96"/>
      <c r="I113" s="523" t="s">
        <v>177</v>
      </c>
      <c r="J113" s="524"/>
      <c r="K113" s="524"/>
      <c r="L113" s="524"/>
      <c r="M113" s="524"/>
      <c r="N113" s="525"/>
      <c r="O113" s="520"/>
      <c r="P113" s="520"/>
      <c r="Q113" s="520"/>
      <c r="R113" s="520"/>
      <c r="S113" s="522"/>
      <c r="T113" s="96"/>
      <c r="U113" s="96"/>
      <c r="V113" s="96"/>
      <c r="W113" s="96"/>
      <c r="X113" s="96"/>
      <c r="Y113" s="96"/>
      <c r="Z113" s="96"/>
      <c r="AA113" s="98"/>
      <c r="AB113" s="145"/>
      <c r="BN113" s="106"/>
    </row>
    <row r="114" spans="1:66" customFormat="1" ht="17.25" customHeight="1">
      <c r="A114" s="98"/>
      <c r="B114" s="98"/>
      <c r="C114" s="143"/>
      <c r="D114" s="143"/>
      <c r="E114" s="143"/>
      <c r="F114" s="143"/>
      <c r="G114" s="143"/>
      <c r="H114" s="96"/>
      <c r="I114" s="489" t="s">
        <v>99</v>
      </c>
      <c r="J114" s="489"/>
      <c r="K114" s="489"/>
      <c r="L114" s="489"/>
      <c r="M114" s="489"/>
      <c r="N114" s="489"/>
      <c r="O114" s="490">
        <f>O107*60</f>
        <v>28</v>
      </c>
      <c r="P114" s="491"/>
      <c r="Q114" s="491"/>
      <c r="R114" s="491"/>
      <c r="S114" s="159" t="s">
        <v>171</v>
      </c>
      <c r="T114" s="96"/>
      <c r="U114" s="96"/>
      <c r="V114" s="96"/>
      <c r="W114" s="96"/>
      <c r="X114" s="96"/>
      <c r="Y114" s="96"/>
      <c r="Z114" s="96"/>
      <c r="AA114" s="98"/>
      <c r="AB114" s="145"/>
      <c r="BN114" s="106"/>
    </row>
    <row r="115" spans="1:66" customFormat="1" ht="17.25" customHeight="1" thickBot="1">
      <c r="A115" s="98"/>
      <c r="B115" s="98"/>
      <c r="C115" s="143"/>
      <c r="D115" s="143"/>
      <c r="E115" s="143"/>
      <c r="F115" s="143"/>
      <c r="G115" s="143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8"/>
      <c r="T115" s="98"/>
      <c r="U115" s="98"/>
      <c r="V115" s="98"/>
      <c r="W115" s="98"/>
      <c r="X115" s="98"/>
      <c r="Y115" s="98"/>
      <c r="Z115" s="98"/>
      <c r="AA115" s="98"/>
      <c r="AB115" s="145"/>
      <c r="BN115" s="106"/>
    </row>
    <row r="116" spans="1:66" customFormat="1" ht="17.25" customHeight="1" thickTop="1" thickBot="1">
      <c r="A116" s="98"/>
      <c r="B116" s="98"/>
      <c r="C116" s="143"/>
      <c r="D116" s="143"/>
      <c r="E116" s="143"/>
      <c r="F116" s="143"/>
      <c r="G116" s="143"/>
      <c r="H116" s="535" t="s">
        <v>246</v>
      </c>
      <c r="I116" s="536"/>
      <c r="J116" s="536"/>
      <c r="K116" s="536"/>
      <c r="L116" s="536"/>
      <c r="M116" s="536"/>
      <c r="N116" s="537"/>
      <c r="O116" s="538">
        <f>O93-O103+O98+O107</f>
        <v>21.769371872294943</v>
      </c>
      <c r="P116" s="390"/>
      <c r="Q116" s="390"/>
      <c r="R116" s="390"/>
      <c r="S116" s="98" t="s">
        <v>71</v>
      </c>
      <c r="T116" s="98"/>
      <c r="U116" s="402" t="str" cm="1">
        <f t="array" ref="U116">angleDecimal2Txt(O116)</f>
        <v>+21°46.16 (+21.7693) [+21°46'09.73]</v>
      </c>
      <c r="V116" s="402"/>
      <c r="W116" s="402"/>
      <c r="X116" s="402"/>
      <c r="Y116" s="402"/>
      <c r="Z116" s="402"/>
      <c r="AA116" s="98"/>
      <c r="AB116" s="145"/>
      <c r="BN116" s="106"/>
    </row>
    <row r="117" spans="1:66" customFormat="1" ht="17.25" customHeight="1" thickTop="1">
      <c r="A117" s="98"/>
      <c r="B117" s="98"/>
      <c r="C117" s="143"/>
      <c r="D117" s="143"/>
      <c r="E117" s="143"/>
      <c r="F117" s="143"/>
      <c r="G117" s="143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145"/>
      <c r="BN117" s="106"/>
    </row>
    <row r="118" spans="1:66" customFormat="1" ht="17.25" customHeight="1">
      <c r="A118" s="98"/>
      <c r="B118" s="98"/>
      <c r="C118" s="143"/>
      <c r="D118" s="143"/>
      <c r="E118" s="143"/>
      <c r="F118" s="539" t="s">
        <v>91</v>
      </c>
      <c r="G118" s="539"/>
      <c r="H118" s="539"/>
      <c r="I118" s="539"/>
      <c r="J118" s="390" t="str">
        <f>IF(G87=AD87,O124,"---")</f>
        <v>---</v>
      </c>
      <c r="K118" s="390"/>
      <c r="L118" s="390"/>
      <c r="M118" s="98"/>
      <c r="N118" s="98"/>
      <c r="O118" s="98"/>
      <c r="P118" s="98"/>
      <c r="Q118" s="98"/>
      <c r="R118" s="120" t="s">
        <v>112</v>
      </c>
      <c r="S118" s="98" t="s">
        <v>40</v>
      </c>
      <c r="T118" s="98"/>
      <c r="U118" s="98"/>
      <c r="V118" s="98"/>
      <c r="W118" s="98"/>
      <c r="X118" s="98"/>
      <c r="Y118" s="98"/>
      <c r="Z118" s="98"/>
      <c r="AA118" s="98"/>
      <c r="AB118" s="145"/>
      <c r="BN118" s="106"/>
    </row>
    <row r="119" spans="1:66" customFormat="1" ht="17.25" customHeight="1">
      <c r="A119" s="98"/>
      <c r="B119" s="98"/>
      <c r="C119" s="143"/>
      <c r="D119" s="143"/>
      <c r="E119" s="143"/>
      <c r="F119" s="143"/>
      <c r="G119" s="143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121" t="s">
        <v>108</v>
      </c>
      <c r="S119" s="98" t="s">
        <v>110</v>
      </c>
      <c r="T119" s="98"/>
      <c r="U119" s="98"/>
      <c r="V119" s="98"/>
      <c r="W119" s="98"/>
      <c r="X119" s="98"/>
      <c r="Y119" s="98"/>
      <c r="Z119" s="98"/>
      <c r="AA119" s="98"/>
      <c r="AB119" s="145"/>
      <c r="BN119" s="106"/>
    </row>
    <row r="120" spans="1:66" customFormat="1" ht="17.25" customHeight="1">
      <c r="A120" s="98"/>
      <c r="B120" s="98"/>
      <c r="C120" s="143"/>
      <c r="D120" s="143"/>
      <c r="E120" s="143"/>
      <c r="F120" s="143"/>
      <c r="G120" s="143"/>
      <c r="H120" s="98" t="s">
        <v>100</v>
      </c>
      <c r="I120" s="122" t="s">
        <v>102</v>
      </c>
      <c r="J120" s="98" t="s">
        <v>88</v>
      </c>
      <c r="K120" s="122" t="s">
        <v>105</v>
      </c>
      <c r="L120" s="98" t="s">
        <v>87</v>
      </c>
      <c r="M120" s="98"/>
      <c r="N120" s="122" t="s">
        <v>106</v>
      </c>
      <c r="O120" s="98"/>
      <c r="P120" s="98"/>
      <c r="Q120" s="122" t="s">
        <v>107</v>
      </c>
      <c r="R120" s="123" t="s">
        <v>109</v>
      </c>
      <c r="S120" s="98" t="s">
        <v>111</v>
      </c>
      <c r="T120" s="98"/>
      <c r="U120" s="98"/>
      <c r="AB120" s="145"/>
      <c r="BN120" s="106"/>
    </row>
    <row r="121" spans="1:66" customFormat="1" ht="17.25" customHeight="1" thickBot="1">
      <c r="A121" s="98"/>
      <c r="B121" s="98"/>
      <c r="C121" s="143"/>
      <c r="D121" s="143"/>
      <c r="E121" s="143"/>
      <c r="F121" s="143"/>
      <c r="G121" s="143"/>
      <c r="H121" s="98"/>
      <c r="I121" s="122"/>
      <c r="J121" s="124">
        <f>O89</f>
        <v>20.5</v>
      </c>
      <c r="K121" s="122" t="s">
        <v>105</v>
      </c>
      <c r="L121" s="125">
        <f>O90</f>
        <v>0</v>
      </c>
      <c r="M121" s="98"/>
      <c r="N121" s="918" t="s">
        <v>250</v>
      </c>
      <c r="O121" s="918"/>
      <c r="P121" s="918"/>
      <c r="Q121" s="122" t="s">
        <v>107</v>
      </c>
      <c r="R121" s="126">
        <v>0</v>
      </c>
      <c r="S121" s="98"/>
      <c r="T121" s="98"/>
      <c r="U121" s="98"/>
      <c r="AB121" s="145"/>
      <c r="BN121" s="106"/>
    </row>
    <row r="122" spans="1:66" customFormat="1" ht="17.25" customHeight="1" thickTop="1" thickBot="1">
      <c r="A122" s="98"/>
      <c r="B122" s="98"/>
      <c r="C122" s="143"/>
      <c r="D122" s="143"/>
      <c r="E122" s="143"/>
      <c r="F122" s="143"/>
      <c r="G122" s="143"/>
      <c r="H122" s="98"/>
      <c r="I122" s="122"/>
      <c r="K122" s="122"/>
      <c r="L122" s="160" cm="1">
        <f t="array" ref="L122">angleConvert2Decimal(L121)</f>
        <v>0</v>
      </c>
      <c r="N122" s="917" cm="1">
        <f t="array" ref="N122">angleConvert2Decimal(N121)</f>
        <v>0.17166666666666669</v>
      </c>
      <c r="O122" s="917"/>
      <c r="P122" s="917"/>
      <c r="Q122" s="41"/>
      <c r="R122" s="160" cm="1">
        <f t="array" ref="R122">angleConvert2Decimal(R121)</f>
        <v>0</v>
      </c>
      <c r="T122" s="13" t="s">
        <v>139</v>
      </c>
      <c r="U122" s="13"/>
      <c r="V122" s="13">
        <f>R122+N122</f>
        <v>0.17166666666666669</v>
      </c>
      <c r="W122" s="412" t="str" cm="1">
        <f t="array" ref="W122">angleDecimal2Txt(V122)</f>
        <v>+00°10.30 (+00.1716) [+00°10'18.00]</v>
      </c>
      <c r="X122" s="413"/>
      <c r="Y122" s="413"/>
      <c r="Z122" s="413"/>
      <c r="AA122" s="414"/>
      <c r="AB122" s="145"/>
      <c r="BN122" s="106"/>
    </row>
    <row r="123" spans="1:66" customFormat="1" ht="17.25" customHeight="1" thickTop="1" thickBot="1">
      <c r="A123" s="98"/>
      <c r="B123" s="98"/>
      <c r="C123" s="143"/>
      <c r="D123" s="143"/>
      <c r="E123" s="143"/>
      <c r="F123" s="143"/>
      <c r="G123" s="143"/>
      <c r="H123" s="98"/>
      <c r="I123" s="122"/>
      <c r="J123" s="98"/>
      <c r="K123" s="122"/>
      <c r="L123" s="98"/>
      <c r="M123" s="98"/>
      <c r="N123" s="122"/>
      <c r="O123" s="98"/>
      <c r="P123" s="98"/>
      <c r="Q123" s="122"/>
      <c r="R123" s="127"/>
      <c r="S123" s="98"/>
      <c r="T123" s="98"/>
      <c r="U123" s="98"/>
      <c r="V123" s="98"/>
      <c r="W123" s="98"/>
      <c r="X123" s="98"/>
      <c r="Y123" s="98"/>
      <c r="Z123" s="98"/>
      <c r="AA123" s="98"/>
      <c r="AB123" s="145"/>
      <c r="BN123" s="106"/>
    </row>
    <row r="124" spans="1:66" customFormat="1" ht="17.25" customHeight="1" thickTop="1" thickBot="1">
      <c r="A124" s="98"/>
      <c r="B124" s="98"/>
      <c r="C124" s="143"/>
      <c r="D124" s="143"/>
      <c r="E124" s="143"/>
      <c r="F124" s="143"/>
      <c r="G124" s="143"/>
      <c r="H124" s="535" t="s">
        <v>249</v>
      </c>
      <c r="I124" s="536"/>
      <c r="J124" s="536"/>
      <c r="K124" s="536"/>
      <c r="L124" s="536"/>
      <c r="M124" s="536"/>
      <c r="N124" s="537"/>
      <c r="O124" s="538">
        <f>J121-L122+N122+R122</f>
        <v>20.671666666666667</v>
      </c>
      <c r="P124" s="390"/>
      <c r="Q124" s="390"/>
      <c r="R124" s="390"/>
      <c r="S124" s="98" t="s">
        <v>71</v>
      </c>
      <c r="T124" s="98"/>
      <c r="U124" s="402" t="str" cm="1">
        <f t="array" ref="U124">angleDecimal2Txt(O124)</f>
        <v>+20°40.29 (+20.6716) [+20°40'18.00]</v>
      </c>
      <c r="V124" s="402"/>
      <c r="W124" s="402"/>
      <c r="X124" s="402"/>
      <c r="Y124" s="402"/>
      <c r="Z124" s="402"/>
      <c r="AA124" s="98"/>
      <c r="AB124" s="145"/>
      <c r="BN124" s="106"/>
    </row>
    <row r="125" spans="1:66" customFormat="1" ht="17.25" customHeight="1" thickTop="1" thickBot="1">
      <c r="A125" s="98"/>
      <c r="B125" s="98"/>
      <c r="C125" s="143"/>
      <c r="D125" s="128"/>
      <c r="E125" s="143"/>
      <c r="F125" s="143"/>
      <c r="G125" s="143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145"/>
      <c r="BN125" s="106"/>
    </row>
    <row r="126" spans="1:66" customFormat="1" ht="17.25" customHeight="1" thickBot="1">
      <c r="A126" s="98"/>
      <c r="B126" s="107" t="s">
        <v>52</v>
      </c>
      <c r="C126" s="108"/>
      <c r="D126" s="129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46"/>
      <c r="BN126" s="106"/>
    </row>
    <row r="127" spans="1:66" customFormat="1" ht="17.2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507" t="s">
        <v>113</v>
      </c>
      <c r="P127" s="507"/>
      <c r="Q127" s="507"/>
      <c r="R127" s="507"/>
      <c r="S127" s="507"/>
      <c r="T127" s="507"/>
      <c r="U127" s="507"/>
      <c r="V127" s="507"/>
      <c r="W127" s="507"/>
      <c r="X127" s="507"/>
      <c r="Y127" s="507"/>
      <c r="Z127" s="507"/>
      <c r="AA127" s="507"/>
      <c r="AB127" s="145"/>
      <c r="BN127" s="106"/>
    </row>
    <row r="128" spans="1:66" customFormat="1" ht="17.25" customHeight="1">
      <c r="A128" s="98"/>
      <c r="B128" s="98"/>
      <c r="C128" s="96"/>
      <c r="D128" s="96"/>
      <c r="E128" s="498" t="s">
        <v>24</v>
      </c>
      <c r="F128" s="499"/>
      <c r="G128" s="499"/>
      <c r="H128" s="499"/>
      <c r="I128" s="401">
        <f>AD130</f>
        <v>21.473163016779424</v>
      </c>
      <c r="J128" s="401"/>
      <c r="K128" s="401"/>
      <c r="L128" s="401"/>
      <c r="M128" s="401"/>
      <c r="N128" s="98"/>
      <c r="O128" s="389" t="s">
        <v>114</v>
      </c>
      <c r="P128" s="389"/>
      <c r="Q128" s="389">
        <f>F45</f>
        <v>-2.4</v>
      </c>
      <c r="R128" s="389"/>
      <c r="S128" s="389"/>
      <c r="T128" s="484" t="s">
        <v>71</v>
      </c>
      <c r="U128" s="403">
        <f>Q128*$D$138</f>
        <v>-4.1887902047863905E-2</v>
      </c>
      <c r="V128" s="404"/>
      <c r="W128" s="482"/>
      <c r="X128" s="484" t="s">
        <v>92</v>
      </c>
      <c r="Y128" s="98"/>
      <c r="Z128" s="98"/>
      <c r="AA128" s="98"/>
      <c r="AB128" s="145"/>
      <c r="AC128" s="6" t="s">
        <v>360</v>
      </c>
      <c r="AD128" s="6">
        <f>SIN(U128)*SIN(U129)+COS(U128)*COS(U129)*COS(U130)</f>
        <v>0.36606538479196471</v>
      </c>
      <c r="AE128" s="6"/>
      <c r="BN128" s="106"/>
    </row>
    <row r="129" spans="1:66" customFormat="1" ht="17.25" customHeight="1" thickBot="1">
      <c r="A129" s="98"/>
      <c r="B129" s="98"/>
      <c r="C129" s="96"/>
      <c r="D129" s="96"/>
      <c r="E129" s="501"/>
      <c r="F129" s="502"/>
      <c r="G129" s="502"/>
      <c r="H129" s="502"/>
      <c r="I129" s="401"/>
      <c r="J129" s="401"/>
      <c r="K129" s="401"/>
      <c r="L129" s="401"/>
      <c r="M129" s="401"/>
      <c r="N129" s="130" t="s">
        <v>184</v>
      </c>
      <c r="O129" s="389" t="s">
        <v>115</v>
      </c>
      <c r="P129" s="389"/>
      <c r="Q129" s="389">
        <f>F36</f>
        <v>48.875500000000002</v>
      </c>
      <c r="R129" s="389"/>
      <c r="S129" s="389"/>
      <c r="T129" s="484"/>
      <c r="U129" s="403">
        <f>Q129*$D$138</f>
        <v>0.85303839855848862</v>
      </c>
      <c r="V129" s="404"/>
      <c r="W129" s="482"/>
      <c r="X129" s="484"/>
      <c r="Y129" s="98"/>
      <c r="Z129" s="98"/>
      <c r="AA129" s="98"/>
      <c r="AB129" s="145"/>
      <c r="AC129" s="6" t="s">
        <v>361</v>
      </c>
      <c r="AD129" s="6">
        <f>ASIN(AD128)</f>
        <v>0.37477739546027933</v>
      </c>
      <c r="AE129" s="6" t="s">
        <v>92</v>
      </c>
      <c r="BN129" s="106"/>
    </row>
    <row r="130" spans="1:66" customFormat="1" ht="17.25" customHeight="1" thickTop="1" thickBot="1">
      <c r="A130" s="98"/>
      <c r="B130" s="98"/>
      <c r="C130" s="96"/>
      <c r="D130" s="96"/>
      <c r="E130" s="504"/>
      <c r="F130" s="505"/>
      <c r="G130" s="505"/>
      <c r="H130" s="505"/>
      <c r="I130" s="402" t="str" cm="1">
        <f t="array" ref="I130">angleDecimal2Txt(I128)</f>
        <v>+21°28.38 (+21.4731) [+21°28'23.38]</v>
      </c>
      <c r="J130" s="402"/>
      <c r="K130" s="402"/>
      <c r="L130" s="402"/>
      <c r="M130" s="402"/>
      <c r="N130" s="98"/>
      <c r="O130" s="389" t="s">
        <v>51</v>
      </c>
      <c r="P130" s="389"/>
      <c r="Q130" s="389">
        <f>F82</f>
        <v>307.23449999999997</v>
      </c>
      <c r="R130" s="389"/>
      <c r="S130" s="389"/>
      <c r="T130" s="484"/>
      <c r="U130" s="403">
        <f>Q130*$D$138</f>
        <v>5.3622536007185175</v>
      </c>
      <c r="V130" s="404"/>
      <c r="W130" s="482"/>
      <c r="X130" s="484"/>
      <c r="Y130" s="98"/>
      <c r="Z130" s="98"/>
      <c r="AA130" s="98"/>
      <c r="AB130" s="145"/>
      <c r="AC130" s="6"/>
      <c r="AD130" s="6">
        <f>AD129*D139</f>
        <v>21.473163016779424</v>
      </c>
      <c r="AE130" s="6" t="s">
        <v>71</v>
      </c>
      <c r="BN130" s="106"/>
    </row>
    <row r="131" spans="1:66" customFormat="1" ht="17.25" customHeight="1" thickTop="1">
      <c r="A131" s="98"/>
      <c r="B131" s="98"/>
      <c r="C131" s="96"/>
      <c r="D131" s="96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145"/>
      <c r="BN131" s="106"/>
    </row>
    <row r="132" spans="1:66" customFormat="1" ht="17.25" customHeight="1">
      <c r="A132" s="98"/>
      <c r="B132" s="98"/>
      <c r="C132" s="96"/>
      <c r="D132" s="96"/>
      <c r="E132" s="498" t="s">
        <v>31</v>
      </c>
      <c r="F132" s="499"/>
      <c r="G132" s="499"/>
      <c r="H132" s="499"/>
      <c r="I132" s="401">
        <f>F86</f>
        <v>21.769371872294943</v>
      </c>
      <c r="J132" s="401"/>
      <c r="K132" s="401"/>
      <c r="L132" s="401"/>
      <c r="M132" s="401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145"/>
      <c r="BN132" s="106"/>
    </row>
    <row r="133" spans="1:66" customFormat="1" ht="17.25" customHeight="1" thickBot="1">
      <c r="A133" s="98"/>
      <c r="B133" s="98"/>
      <c r="C133" s="96"/>
      <c r="D133" s="96"/>
      <c r="E133" s="501"/>
      <c r="F133" s="502"/>
      <c r="G133" s="502"/>
      <c r="H133" s="502"/>
      <c r="I133" s="401"/>
      <c r="J133" s="401"/>
      <c r="K133" s="401"/>
      <c r="L133" s="401"/>
      <c r="M133" s="401"/>
      <c r="N133" s="98"/>
      <c r="O133" s="376" t="s">
        <v>33</v>
      </c>
      <c r="P133" s="377"/>
      <c r="Q133" s="377"/>
      <c r="R133" s="377"/>
      <c r="S133" s="483"/>
      <c r="T133" s="131">
        <f>I132-I128</f>
        <v>0.29620885551551979</v>
      </c>
      <c r="U133" s="132" t="s">
        <v>34</v>
      </c>
      <c r="V133" s="133">
        <f>T133*60</f>
        <v>17.772531330931187</v>
      </c>
      <c r="W133" s="132" t="s">
        <v>149</v>
      </c>
      <c r="X133" s="96"/>
      <c r="Y133" s="485" t="str">
        <f>IF(T133&gt;0,"Vers Pg", "Oppose de Pg")</f>
        <v>Vers Pg</v>
      </c>
      <c r="Z133" s="485"/>
      <c r="AA133" s="98"/>
      <c r="AB133" s="145"/>
      <c r="BN133" s="106"/>
    </row>
    <row r="134" spans="1:66" customFormat="1" ht="17.25" customHeight="1" thickTop="1" thickBot="1">
      <c r="A134" s="98"/>
      <c r="B134" s="98"/>
      <c r="C134" s="96"/>
      <c r="D134" s="96"/>
      <c r="E134" s="504"/>
      <c r="F134" s="505"/>
      <c r="G134" s="505"/>
      <c r="H134" s="505"/>
      <c r="I134" s="402" t="str" cm="1">
        <f t="array" ref="I134">angleDecimal2Txt(I132)</f>
        <v>+21°46.16 (+21.7693) [+21°46'09.73]</v>
      </c>
      <c r="J134" s="402"/>
      <c r="K134" s="402"/>
      <c r="L134" s="402"/>
      <c r="M134" s="402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145"/>
      <c r="BN134" s="106"/>
    </row>
    <row r="135" spans="1:66" customFormat="1" ht="17.25" customHeight="1" thickTop="1">
      <c r="A135" s="98"/>
      <c r="B135" s="98"/>
      <c r="C135" s="96"/>
      <c r="D135" s="96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6"/>
      <c r="U135" s="96"/>
      <c r="V135" s="96"/>
      <c r="W135" s="96"/>
      <c r="X135" s="96"/>
      <c r="Y135" s="96"/>
      <c r="Z135" s="98"/>
      <c r="AA135" s="98"/>
      <c r="AB135" s="145"/>
      <c r="BN135" s="106"/>
    </row>
    <row r="136" spans="1:66" customFormat="1" ht="17.25" customHeight="1" thickBot="1">
      <c r="A136" s="98"/>
      <c r="B136" s="98"/>
      <c r="C136" s="98"/>
      <c r="D136" s="98"/>
      <c r="E136" s="98"/>
      <c r="F136" s="98"/>
      <c r="G136" s="143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6"/>
      <c r="U136" s="96"/>
      <c r="V136" s="96"/>
      <c r="W136" s="96"/>
      <c r="X136" s="96"/>
      <c r="Y136" s="96"/>
      <c r="Z136" s="98"/>
      <c r="AA136" s="98"/>
      <c r="AB136" s="145"/>
      <c r="BN136" s="106"/>
    </row>
    <row r="137" spans="1:66" customFormat="1" ht="17.25" customHeight="1">
      <c r="A137" s="369" t="s">
        <v>138</v>
      </c>
      <c r="B137" s="370"/>
      <c r="C137" s="370"/>
      <c r="D137" s="371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6"/>
      <c r="U137" s="96"/>
      <c r="V137" s="96"/>
      <c r="W137" s="96"/>
      <c r="X137" s="96"/>
      <c r="Y137" s="96"/>
      <c r="Z137" s="98"/>
      <c r="AA137" s="98"/>
      <c r="AB137" s="145"/>
      <c r="BN137" s="106"/>
    </row>
    <row r="138" spans="1:66" customFormat="1" ht="17.25" customHeight="1">
      <c r="A138" s="134" t="s">
        <v>62</v>
      </c>
      <c r="B138" s="135" t="s">
        <v>121</v>
      </c>
      <c r="C138" s="136" t="s">
        <v>310</v>
      </c>
      <c r="D138" s="137">
        <f>PI()/180</f>
        <v>1.7453292519943295E-2</v>
      </c>
      <c r="E138" s="98"/>
      <c r="F138" s="143"/>
      <c r="G138" s="143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145"/>
      <c r="BN138" s="106"/>
    </row>
    <row r="139" spans="1:66" customFormat="1" ht="17.25" customHeight="1" thickBot="1">
      <c r="A139" s="101" t="s">
        <v>123</v>
      </c>
      <c r="B139" s="138" t="s">
        <v>121</v>
      </c>
      <c r="C139" s="139" t="s">
        <v>311</v>
      </c>
      <c r="D139" s="140">
        <f>180/PI()</f>
        <v>57.295779513082323</v>
      </c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508" t="s">
        <v>116</v>
      </c>
      <c r="P139" s="509"/>
      <c r="Q139" s="509"/>
      <c r="R139" s="509"/>
      <c r="S139" s="509"/>
      <c r="T139" s="509"/>
      <c r="U139" s="509"/>
      <c r="V139" s="509"/>
      <c r="W139" s="509"/>
      <c r="X139" s="509"/>
      <c r="Y139" s="509"/>
      <c r="Z139" s="509"/>
      <c r="AA139" s="509"/>
      <c r="AB139" s="145"/>
      <c r="AC139" s="6" t="s">
        <v>117</v>
      </c>
      <c r="AD139" s="6">
        <f>(SIN(U140)-SIN(U141)*SIN(AD129))/(COS(U141)*COS(AD129))</f>
        <v>-0.51895799908089357</v>
      </c>
      <c r="AE139" s="6"/>
      <c r="BN139" s="106"/>
    </row>
    <row r="140" spans="1:66" customFormat="1" ht="17.25" customHeight="1">
      <c r="A140" s="96"/>
      <c r="B140" s="96"/>
      <c r="C140" s="96"/>
      <c r="D140" s="96"/>
      <c r="E140" s="498" t="s">
        <v>124</v>
      </c>
      <c r="F140" s="499"/>
      <c r="G140" s="499"/>
      <c r="H140" s="500"/>
      <c r="I140" s="394">
        <f>AD141</f>
        <v>121.26238205897948</v>
      </c>
      <c r="J140" s="394"/>
      <c r="K140" s="394"/>
      <c r="L140" s="394"/>
      <c r="M140" s="395"/>
      <c r="N140" s="98"/>
      <c r="O140" s="389" t="s">
        <v>114</v>
      </c>
      <c r="P140" s="389"/>
      <c r="Q140" s="389">
        <f>F45</f>
        <v>-2.4</v>
      </c>
      <c r="R140" s="389"/>
      <c r="S140" s="389"/>
      <c r="T140" s="484" t="s">
        <v>71</v>
      </c>
      <c r="U140" s="389">
        <f>Q140*$D$138</f>
        <v>-4.1887902047863905E-2</v>
      </c>
      <c r="V140" s="389"/>
      <c r="W140" s="389"/>
      <c r="X140" s="484" t="s">
        <v>92</v>
      </c>
      <c r="Y140" s="98"/>
      <c r="Z140" s="98"/>
      <c r="AA140" s="98"/>
      <c r="AB140" s="145"/>
      <c r="AC140" s="6" t="s">
        <v>362</v>
      </c>
      <c r="AD140" s="6">
        <f>ACOS(AD139)</f>
        <v>2.1164278257404927</v>
      </c>
      <c r="AE140" s="6" t="s">
        <v>92</v>
      </c>
      <c r="BN140" s="106"/>
    </row>
    <row r="141" spans="1:66" customFormat="1" ht="17.25" customHeight="1" thickBot="1">
      <c r="A141" s="98"/>
      <c r="B141" s="98"/>
      <c r="C141" s="96"/>
      <c r="D141" s="96"/>
      <c r="E141" s="501"/>
      <c r="F141" s="502"/>
      <c r="G141" s="502"/>
      <c r="H141" s="503"/>
      <c r="I141" s="396"/>
      <c r="J141" s="396"/>
      <c r="K141" s="396"/>
      <c r="L141" s="396"/>
      <c r="M141" s="397"/>
      <c r="N141" s="130" t="s">
        <v>184</v>
      </c>
      <c r="O141" s="389" t="s">
        <v>115</v>
      </c>
      <c r="P141" s="389"/>
      <c r="Q141" s="389">
        <f>F36</f>
        <v>48.875500000000002</v>
      </c>
      <c r="R141" s="389"/>
      <c r="S141" s="389"/>
      <c r="T141" s="484"/>
      <c r="U141" s="389">
        <f>Q141*$D$138</f>
        <v>0.85303839855848862</v>
      </c>
      <c r="V141" s="389"/>
      <c r="W141" s="389"/>
      <c r="X141" s="484"/>
      <c r="Y141" s="98"/>
      <c r="Z141" s="98"/>
      <c r="AA141" s="98"/>
      <c r="AB141" s="145"/>
      <c r="AC141" s="6"/>
      <c r="AD141" s="6">
        <f>AD140*$D$139</f>
        <v>121.26238205897948</v>
      </c>
      <c r="AE141" s="6" t="s">
        <v>71</v>
      </c>
      <c r="BN141" s="106"/>
    </row>
    <row r="142" spans="1:66" customFormat="1" ht="17.25" customHeight="1" thickTop="1" thickBot="1">
      <c r="A142" s="98"/>
      <c r="B142" s="98"/>
      <c r="C142" s="96"/>
      <c r="D142" s="96"/>
      <c r="E142" s="504"/>
      <c r="F142" s="505"/>
      <c r="G142" s="505"/>
      <c r="H142" s="506"/>
      <c r="I142" s="399" t="str" cm="1">
        <f t="array" ref="I142">angleDecimal2Txt(I140)</f>
        <v>+121°15.74 (+121.2623) [+121°15'44.57]</v>
      </c>
      <c r="J142" s="400"/>
      <c r="K142" s="400"/>
      <c r="L142" s="400"/>
      <c r="M142" s="400"/>
      <c r="N142" s="98"/>
      <c r="O142" s="389" t="s">
        <v>51</v>
      </c>
      <c r="P142" s="389"/>
      <c r="Q142" s="389">
        <f>F82</f>
        <v>307.23449999999997</v>
      </c>
      <c r="R142" s="389"/>
      <c r="S142" s="389"/>
      <c r="T142" s="484"/>
      <c r="U142" s="389">
        <f>Q142*$D$138</f>
        <v>5.3622536007185175</v>
      </c>
      <c r="V142" s="389"/>
      <c r="W142" s="389"/>
      <c r="X142" s="484"/>
      <c r="Y142" s="98"/>
      <c r="Z142" s="98"/>
      <c r="AA142" s="98"/>
      <c r="AB142" s="145"/>
      <c r="BN142" s="106"/>
    </row>
    <row r="143" spans="1:66" customFormat="1" ht="17.25" customHeight="1" thickTop="1">
      <c r="A143" s="98"/>
      <c r="B143" s="98"/>
      <c r="C143" s="96"/>
      <c r="D143" s="96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145"/>
      <c r="BN143" s="106"/>
    </row>
    <row r="144" spans="1:66" customFormat="1" ht="17.25" customHeight="1">
      <c r="A144" s="98"/>
      <c r="B144" s="98"/>
      <c r="C144" s="98"/>
      <c r="D144" s="98"/>
      <c r="E144" s="143"/>
      <c r="F144" s="98"/>
      <c r="G144" s="98"/>
      <c r="H144" s="98"/>
      <c r="I144" s="391" t="s">
        <v>247</v>
      </c>
      <c r="J144" s="392"/>
      <c r="K144" s="392"/>
      <c r="L144" s="392"/>
      <c r="M144" s="392"/>
      <c r="N144" s="393"/>
      <c r="O144" s="391" t="s">
        <v>248</v>
      </c>
      <c r="P144" s="392"/>
      <c r="Q144" s="392"/>
      <c r="R144" s="392"/>
      <c r="S144" s="392"/>
      <c r="T144" s="393"/>
      <c r="U144" s="98"/>
      <c r="V144" s="98"/>
      <c r="W144" s="98"/>
      <c r="X144" s="98"/>
      <c r="Y144" s="98"/>
      <c r="Z144" s="98"/>
      <c r="AA144" s="98"/>
      <c r="AB144" s="145"/>
      <c r="BN144" s="106"/>
    </row>
    <row r="145" spans="1:66" customFormat="1" ht="17.25" customHeight="1">
      <c r="A145" s="98"/>
      <c r="B145" s="98"/>
      <c r="C145" s="143"/>
      <c r="D145" s="143"/>
      <c r="E145" s="143"/>
      <c r="F145" s="98"/>
      <c r="G145" s="98"/>
      <c r="H145" s="98"/>
      <c r="I145" s="638"/>
      <c r="J145" s="486" t="s">
        <v>185</v>
      </c>
      <c r="K145" s="487"/>
      <c r="L145" s="488"/>
      <c r="M145" s="450" t="s">
        <v>186</v>
      </c>
      <c r="N145" s="451"/>
      <c r="O145" s="638"/>
      <c r="P145" s="486" t="s">
        <v>185</v>
      </c>
      <c r="Q145" s="487"/>
      <c r="R145" s="488"/>
      <c r="S145" s="450" t="s">
        <v>187</v>
      </c>
      <c r="T145" s="451"/>
      <c r="U145" s="98"/>
      <c r="V145" s="98"/>
      <c r="W145" s="98"/>
      <c r="X145" s="98"/>
      <c r="Y145" s="98"/>
      <c r="Z145" s="98"/>
      <c r="AA145" s="98"/>
      <c r="AB145" s="145"/>
      <c r="BN145" s="106"/>
    </row>
    <row r="146" spans="1:66" ht="17.25" customHeight="1">
      <c r="F146" s="98"/>
      <c r="G146" s="98"/>
      <c r="I146" s="639"/>
      <c r="J146" s="447" t="s">
        <v>118</v>
      </c>
      <c r="K146" s="448"/>
      <c r="L146" s="449"/>
      <c r="M146" s="452" t="s">
        <v>119</v>
      </c>
      <c r="N146" s="453"/>
      <c r="O146" s="639"/>
      <c r="P146" s="447" t="s">
        <v>118</v>
      </c>
      <c r="Q146" s="448"/>
      <c r="R146" s="449"/>
      <c r="S146" s="452" t="s">
        <v>120</v>
      </c>
      <c r="T146" s="453"/>
    </row>
    <row r="147" spans="1:66" ht="17.25" customHeight="1">
      <c r="F147" s="96"/>
      <c r="G147" s="96"/>
      <c r="H147" s="96"/>
      <c r="I147" s="96"/>
      <c r="J147" s="96"/>
      <c r="K147" s="96"/>
      <c r="Q147" s="96"/>
      <c r="R147" s="96"/>
      <c r="S147" s="96"/>
      <c r="T147" s="454"/>
      <c r="U147" s="454"/>
      <c r="V147" s="454"/>
      <c r="W147" s="96"/>
      <c r="X147" s="454"/>
      <c r="Y147" s="454"/>
      <c r="Z147" s="454"/>
    </row>
    <row r="148" spans="1:66" ht="17.25" customHeight="1">
      <c r="F148" s="96"/>
      <c r="N148" s="481"/>
      <c r="O148" s="481"/>
      <c r="Q148" s="454"/>
      <c r="R148" s="454"/>
      <c r="S148" s="454"/>
      <c r="T148" s="454"/>
      <c r="U148" s="454"/>
      <c r="V148" s="454"/>
      <c r="W148" s="96"/>
      <c r="X148" s="454"/>
      <c r="Y148" s="454"/>
      <c r="Z148" s="454"/>
    </row>
    <row r="149" spans="1:66" ht="17.25" customHeight="1">
      <c r="I149" s="389" t="s">
        <v>115</v>
      </c>
      <c r="J149" s="389"/>
      <c r="K149" s="141">
        <f>F36</f>
        <v>48.875500000000002</v>
      </c>
      <c r="L149" s="390" t="str">
        <f>CONCATENATE("Sens: ",IF(Q141&gt;0,"Nord","Sud"))</f>
        <v>Sens: Nord</v>
      </c>
      <c r="M149" s="390"/>
    </row>
    <row r="150" spans="1:66" ht="17.25" customHeight="1" thickBot="1">
      <c r="I150" s="389" t="s">
        <v>51</v>
      </c>
      <c r="J150" s="389"/>
      <c r="K150" s="141">
        <f>Q142</f>
        <v>307.23449999999997</v>
      </c>
      <c r="L150" s="390" t="str">
        <f>CONCATENATE("Is &gt; 180? ", IF(Q142&gt;180,"Y", "N"))</f>
        <v>Is &gt; 180? Y</v>
      </c>
      <c r="M150" s="390"/>
      <c r="O150" s="376" t="s">
        <v>125</v>
      </c>
      <c r="P150" s="377"/>
      <c r="Q150" s="377"/>
      <c r="R150" s="377"/>
      <c r="S150" s="377"/>
      <c r="T150" s="406">
        <f>ABS(IF(Q129&gt;0,IF(Q130&gt;180,I140,360-I140),IF(Q130&gt;180,180-I140,180+I140)))</f>
        <v>121.26238205897948</v>
      </c>
      <c r="U150" s="407"/>
      <c r="V150" s="132" t="s">
        <v>34</v>
      </c>
      <c r="W150" s="96"/>
    </row>
    <row r="151" spans="1:66" ht="17.25" customHeight="1" thickTop="1" thickBot="1">
      <c r="I151" s="403" t="s">
        <v>188</v>
      </c>
      <c r="J151" s="404"/>
      <c r="K151" s="405"/>
      <c r="L151" s="390" t="str">
        <f>IF(K149&gt;0,IF(K150&gt;180,M145,M146),IF(K150&gt;180,S145,S146))</f>
        <v>Zn = Z</v>
      </c>
      <c r="M151" s="390"/>
      <c r="T151" s="402">
        <f>AC144</f>
        <v>0</v>
      </c>
      <c r="U151" s="402"/>
      <c r="V151" s="402"/>
      <c r="W151" s="402"/>
      <c r="X151" s="402"/>
      <c r="Y151" s="402"/>
    </row>
    <row r="152" spans="1:66" ht="17.25" customHeight="1" thickTop="1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customFormat="1" ht="17.25" customHeight="1">
      <c r="B1" s="98"/>
      <c r="C1" s="464" t="s">
        <v>236</v>
      </c>
      <c r="D1" s="464"/>
      <c r="E1" s="464"/>
      <c r="F1" s="464"/>
      <c r="G1" s="455" t="s">
        <v>237</v>
      </c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98"/>
      <c r="AA1" s="98"/>
      <c r="AB1" s="145"/>
      <c r="BN1" s="106"/>
    </row>
    <row r="2" spans="2:66" customFormat="1" ht="17.25" customHeight="1">
      <c r="B2" s="98"/>
      <c r="C2" s="464"/>
      <c r="D2" s="464"/>
      <c r="E2" s="464"/>
      <c r="F2" s="464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98"/>
      <c r="AA2" s="98"/>
      <c r="AB2" s="145"/>
      <c r="BN2" s="106"/>
    </row>
    <row r="3" spans="2:66" customFormat="1" ht="17.25" customHeight="1">
      <c r="B3" s="98"/>
      <c r="C3" s="464"/>
      <c r="D3" s="464"/>
      <c r="E3" s="464"/>
      <c r="F3" s="464"/>
      <c r="G3" s="460" t="s">
        <v>241</v>
      </c>
      <c r="H3" s="460"/>
      <c r="I3" s="460"/>
      <c r="J3" s="462" t="s">
        <v>240</v>
      </c>
      <c r="K3" s="462"/>
      <c r="L3" s="462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464"/>
      <c r="D4" s="464"/>
      <c r="E4" s="464"/>
      <c r="F4" s="464"/>
      <c r="G4" s="461"/>
      <c r="H4" s="461"/>
      <c r="I4" s="461"/>
      <c r="J4" s="463"/>
      <c r="K4" s="463"/>
      <c r="L4" s="463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4/03/1998</v>
      </c>
      <c r="F7" s="142"/>
      <c r="G7" s="142" t="str" cm="1">
        <f t="array" ref="G7">heureDecimal2Txt(E11)</f>
        <v>09:50:01.00(09.8336)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456" t="s">
        <v>1</v>
      </c>
      <c r="D8" s="457"/>
      <c r="E8" s="890" t="s">
        <v>189</v>
      </c>
      <c r="F8" s="891"/>
      <c r="G8" s="891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11.833333333333334</v>
      </c>
      <c r="BN8" s="106"/>
    </row>
    <row r="9" spans="2:66" customFormat="1" ht="17.25" customHeight="1" thickBot="1">
      <c r="B9" s="98"/>
      <c r="C9" s="434" t="s">
        <v>11</v>
      </c>
      <c r="D9" s="436"/>
      <c r="E9" s="434" t="s">
        <v>2</v>
      </c>
      <c r="F9" s="435"/>
      <c r="G9" s="435"/>
      <c r="H9" s="436"/>
      <c r="I9" s="540" t="s">
        <v>192</v>
      </c>
      <c r="J9" s="540"/>
      <c r="K9" s="540"/>
      <c r="L9" s="540" t="s">
        <v>193</v>
      </c>
      <c r="M9" s="540"/>
      <c r="N9" s="540"/>
      <c r="O9" s="540"/>
      <c r="P9" s="540"/>
      <c r="Q9" s="540" t="s">
        <v>194</v>
      </c>
      <c r="R9" s="540"/>
      <c r="S9" s="540"/>
      <c r="T9" s="540"/>
      <c r="U9" s="540"/>
      <c r="V9" s="571" t="s">
        <v>191</v>
      </c>
      <c r="W9" s="572"/>
      <c r="X9" s="572"/>
      <c r="Y9" s="573"/>
      <c r="Z9" s="98"/>
      <c r="AA9" s="98"/>
      <c r="AB9" s="147"/>
      <c r="AC9" s="6" t="s">
        <v>329</v>
      </c>
      <c r="AD9" s="151">
        <f>L11</f>
        <v>-2</v>
      </c>
      <c r="BN9" s="106"/>
    </row>
    <row r="10" spans="2:66" customFormat="1" ht="17.25" customHeight="1">
      <c r="B10" s="98"/>
      <c r="C10" s="458"/>
      <c r="D10" s="459"/>
      <c r="E10" s="437"/>
      <c r="F10" s="438"/>
      <c r="G10" s="438"/>
      <c r="H10" s="439"/>
      <c r="I10" s="540"/>
      <c r="J10" s="540"/>
      <c r="K10" s="540"/>
      <c r="L10" s="540"/>
      <c r="M10" s="540"/>
      <c r="N10" s="540"/>
      <c r="O10" s="540"/>
      <c r="P10" s="540"/>
      <c r="Q10" s="540"/>
      <c r="R10" s="540"/>
      <c r="S10" s="540"/>
      <c r="T10" s="540"/>
      <c r="U10" s="540"/>
      <c r="V10" s="574"/>
      <c r="W10" s="575"/>
      <c r="X10" s="575"/>
      <c r="Y10" s="576"/>
      <c r="Z10" s="98"/>
      <c r="AA10" s="98"/>
      <c r="AB10" s="145"/>
      <c r="AC10" s="6" t="s">
        <v>330</v>
      </c>
      <c r="AD10" s="6">
        <f>Q11/3600</f>
        <v>2.7777777777777778E-4</v>
      </c>
      <c r="BN10" s="106"/>
    </row>
    <row r="11" spans="2:66" customFormat="1" ht="17.25" customHeight="1" thickBot="1">
      <c r="B11" s="98"/>
      <c r="C11" s="437"/>
      <c r="D11" s="439"/>
      <c r="E11" s="409">
        <f>AD8+AD9+AD10+AD11</f>
        <v>9.8336111111111109</v>
      </c>
      <c r="F11" s="410"/>
      <c r="G11" s="410"/>
      <c r="H11" s="411"/>
      <c r="I11" s="585" t="s">
        <v>340</v>
      </c>
      <c r="J11" s="585"/>
      <c r="K11" s="585"/>
      <c r="L11" s="617">
        <v>-2</v>
      </c>
      <c r="M11" s="617"/>
      <c r="N11" s="617"/>
      <c r="O11" s="617"/>
      <c r="P11" s="617"/>
      <c r="Q11" s="617">
        <v>1</v>
      </c>
      <c r="R11" s="617"/>
      <c r="S11" s="617"/>
      <c r="T11" s="617"/>
      <c r="U11" s="618"/>
      <c r="V11" s="616" t="s">
        <v>190</v>
      </c>
      <c r="W11" s="616"/>
      <c r="X11" s="616"/>
      <c r="Y11" s="616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646" t="str" cm="1">
        <f t="array" ref="E12">heureDecimal2Txt(E11)</f>
        <v>09:50:01.00(09.8336)</v>
      </c>
      <c r="F12" s="647"/>
      <c r="G12" s="647"/>
      <c r="H12" s="64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C15" s="421" t="s">
        <v>331</v>
      </c>
      <c r="D15" s="422"/>
      <c r="E15" s="422"/>
      <c r="F15" s="422"/>
      <c r="G15" s="422"/>
      <c r="H15" s="422"/>
      <c r="I15" s="423"/>
      <c r="J15" s="424" t="s">
        <v>332</v>
      </c>
      <c r="K15" s="424"/>
      <c r="L15" s="424"/>
      <c r="M15" s="424"/>
      <c r="N15" s="424"/>
      <c r="O15" s="424"/>
      <c r="AB15" s="145"/>
      <c r="AC15" s="152" t="s">
        <v>332</v>
      </c>
      <c r="AD15" s="152" t="s">
        <v>333</v>
      </c>
      <c r="BN15" s="106"/>
    </row>
    <row r="16" spans="2:66" customFormat="1" ht="18" customHeight="1" thickTop="1" thickBot="1">
      <c r="B16" s="96"/>
      <c r="C16" s="421" t="s">
        <v>230</v>
      </c>
      <c r="D16" s="422"/>
      <c r="E16" s="422"/>
      <c r="F16" s="422"/>
      <c r="G16" s="422"/>
      <c r="H16" s="422"/>
      <c r="I16" s="423"/>
      <c r="J16" s="418" cm="1">
        <f t="array" ref="J16">angleConvert2Decimal(M16)</f>
        <v>0.83333333333333337</v>
      </c>
      <c r="K16" s="419"/>
      <c r="L16" s="420"/>
      <c r="M16" s="415" t="s">
        <v>231</v>
      </c>
      <c r="N16" s="416"/>
      <c r="O16" s="417"/>
      <c r="P16" s="412" t="str" cm="1">
        <f t="array" ref="P16">angleDecimal2Txt(J16)</f>
        <v>+00°50.00 (+00.8333) [+00°50'00.00]</v>
      </c>
      <c r="Q16" s="413"/>
      <c r="R16" s="413"/>
      <c r="S16" s="413"/>
      <c r="T16" s="413"/>
      <c r="U16" s="413"/>
      <c r="V16" s="413"/>
      <c r="W16" s="413"/>
      <c r="X16" s="414"/>
      <c r="Y16" s="96"/>
      <c r="Z16" s="98"/>
      <c r="AA16" s="98"/>
      <c r="AB16" s="145"/>
      <c r="BN16" s="106"/>
    </row>
    <row r="17" spans="2:66" customFormat="1" ht="18" customHeight="1" thickTop="1" thickBot="1">
      <c r="B17" s="98"/>
      <c r="C17" s="541" t="s">
        <v>229</v>
      </c>
      <c r="D17" s="541"/>
      <c r="E17" s="541"/>
      <c r="F17" s="541"/>
      <c r="G17" s="541"/>
      <c r="H17" s="541"/>
      <c r="I17" s="541"/>
      <c r="J17" s="557" cm="1">
        <f t="array" ref="J17">angleConvert2Decimal(M17)</f>
        <v>18.766666666666666</v>
      </c>
      <c r="K17" s="570"/>
      <c r="L17" s="538"/>
      <c r="M17" s="471" t="s">
        <v>232</v>
      </c>
      <c r="N17" s="472"/>
      <c r="O17" s="473"/>
      <c r="P17" s="402" t="str" cm="1">
        <f t="array" ref="P17">angleDecimal2Txt(J17)</f>
        <v>+18°46.00 (+18.7666) [+18°46'00.00]</v>
      </c>
      <c r="Q17" s="402"/>
      <c r="R17" s="402"/>
      <c r="S17" s="402"/>
      <c r="T17" s="402"/>
      <c r="U17" s="402"/>
      <c r="V17" s="402"/>
      <c r="W17" s="402"/>
      <c r="X17" s="402"/>
      <c r="Y17" s="96"/>
      <c r="Z17" s="98"/>
      <c r="AA17" s="98"/>
      <c r="AB17" s="145"/>
      <c r="BN17" s="106"/>
    </row>
    <row r="18" spans="2:66" customFormat="1" ht="18" customHeight="1" thickTop="1" thickBot="1">
      <c r="B18" s="98"/>
      <c r="C18" s="541" t="s">
        <v>239</v>
      </c>
      <c r="D18" s="541"/>
      <c r="E18" s="541"/>
      <c r="F18" s="541"/>
      <c r="G18" s="541"/>
      <c r="H18" s="541"/>
      <c r="I18" s="541"/>
      <c r="J18" s="557" cm="1">
        <f t="array" ref="J18">angleConvert2Decimal(M18)</f>
        <v>8.9666666666666703</v>
      </c>
      <c r="K18" s="570"/>
      <c r="L18" s="538"/>
      <c r="M18" s="471">
        <f>(J17-J16)/2</f>
        <v>8.9666666666666668</v>
      </c>
      <c r="N18" s="472"/>
      <c r="O18" s="473"/>
      <c r="P18" s="402" t="str" cm="1">
        <f t="array" ref="P18">angleDecimal2Txt(J18)</f>
        <v>+08°58.00 (+08.9666) [+08°58'00.00]</v>
      </c>
      <c r="Q18" s="402"/>
      <c r="R18" s="402"/>
      <c r="S18" s="402"/>
      <c r="T18" s="402"/>
      <c r="U18" s="402"/>
      <c r="V18" s="402"/>
      <c r="W18" s="402"/>
      <c r="X18" s="402"/>
      <c r="Y18" s="96"/>
      <c r="Z18" s="98"/>
      <c r="AA18" s="98"/>
      <c r="AB18" s="145"/>
      <c r="BN18" s="106"/>
    </row>
    <row r="19" spans="2:66" customFormat="1" ht="18" customHeight="1" thickTop="1" thickBot="1">
      <c r="B19" s="98"/>
      <c r="C19" s="679" t="s">
        <v>21</v>
      </c>
      <c r="D19" s="679"/>
      <c r="E19" s="679"/>
      <c r="F19" s="679"/>
      <c r="G19" s="679"/>
      <c r="H19" s="679"/>
      <c r="I19" s="679"/>
      <c r="J19" s="619">
        <f>M19</f>
        <v>0</v>
      </c>
      <c r="K19" s="620"/>
      <c r="L19" s="621"/>
      <c r="M19" s="583">
        <v>0</v>
      </c>
      <c r="N19" s="583"/>
      <c r="O19" s="583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BN19" s="106"/>
    </row>
    <row r="20" spans="2:66" customFormat="1" ht="18" customHeight="1" thickTop="1" thickBot="1">
      <c r="B20" s="96"/>
      <c r="C20" s="892" t="s">
        <v>22</v>
      </c>
      <c r="D20" s="893"/>
      <c r="E20" s="893"/>
      <c r="F20" s="893"/>
      <c r="G20" s="893"/>
      <c r="H20" s="893"/>
      <c r="I20" s="894"/>
      <c r="J20" s="390" cm="1">
        <f t="array" ref="J20">angleConvert2Decimal(M20)</f>
        <v>0</v>
      </c>
      <c r="K20" s="485"/>
      <c r="L20" s="485"/>
      <c r="M20" s="582">
        <v>0</v>
      </c>
      <c r="N20" s="583"/>
      <c r="O20" s="583"/>
      <c r="P20" s="402" t="str" cm="1">
        <f t="array" ref="P20">angleDecimal2Txt(J20)</f>
        <v>+00°00.00 (+00.0000) [+00°00'00.00]</v>
      </c>
      <c r="Q20" s="402"/>
      <c r="R20" s="402"/>
      <c r="S20" s="402"/>
      <c r="T20" s="402"/>
      <c r="U20" s="402"/>
      <c r="V20" s="402"/>
      <c r="W20" s="402"/>
      <c r="X20" s="402"/>
      <c r="Y20" s="96"/>
      <c r="Z20" s="98"/>
      <c r="AA20" s="98"/>
      <c r="AB20" s="145"/>
      <c r="BN20" s="106"/>
    </row>
    <row r="21" spans="2:66" customFormat="1" ht="18" customHeight="1" thickTop="1" thickBot="1">
      <c r="B21" s="98"/>
      <c r="C21" s="683" t="s">
        <v>32</v>
      </c>
      <c r="D21" s="683"/>
      <c r="E21" s="683"/>
      <c r="F21" s="683"/>
      <c r="G21" s="683"/>
      <c r="H21" s="683"/>
      <c r="I21" s="683"/>
      <c r="J21" s="895" cm="1">
        <f t="array" ref="J21">IF(J15=AC15,J18,angleConvert2Decimal(M21))</f>
        <v>8.9666666666666703</v>
      </c>
      <c r="K21" s="896"/>
      <c r="L21" s="896"/>
      <c r="M21" s="897" t="s">
        <v>232</v>
      </c>
      <c r="N21" s="898"/>
      <c r="O21" s="899"/>
      <c r="P21" s="402" t="str" cm="1">
        <f t="array" ref="P21">angleDecimal2Txt(J21)</f>
        <v>+08°58.00 (+08.9666) [+08°58'00.00]</v>
      </c>
      <c r="Q21" s="402"/>
      <c r="R21" s="402"/>
      <c r="S21" s="402"/>
      <c r="T21" s="402"/>
      <c r="U21" s="402"/>
      <c r="V21" s="402"/>
      <c r="W21" s="402"/>
      <c r="X21" s="402"/>
      <c r="Y21" s="96"/>
      <c r="Z21" s="98"/>
      <c r="AA21" s="98"/>
      <c r="AB21" s="145"/>
      <c r="BN21" s="106"/>
    </row>
    <row r="22" spans="2:66" customFormat="1" ht="18" customHeight="1" thickTop="1">
      <c r="B22" s="98"/>
      <c r="C22" s="679" t="s">
        <v>37</v>
      </c>
      <c r="D22" s="679"/>
      <c r="E22" s="679"/>
      <c r="F22" s="679"/>
      <c r="G22" s="679"/>
      <c r="H22" s="679"/>
      <c r="I22" s="679"/>
      <c r="J22" s="680" t="str">
        <f>M22</f>
        <v>Etoile</v>
      </c>
      <c r="K22" s="681"/>
      <c r="L22" s="682"/>
      <c r="M22" s="743" t="s">
        <v>39</v>
      </c>
      <c r="N22" s="744"/>
      <c r="O22" s="745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8"/>
      <c r="AA22" s="98"/>
      <c r="AB22" s="145"/>
      <c r="AG22" s="98"/>
      <c r="AH22" s="98"/>
      <c r="BN22" s="106"/>
    </row>
    <row r="23" spans="2:66" customFormat="1" ht="18" customHeight="1">
      <c r="B23" s="98"/>
      <c r="C23" s="679" t="s">
        <v>84</v>
      </c>
      <c r="D23" s="679"/>
      <c r="E23" s="679"/>
      <c r="F23" s="679"/>
      <c r="G23" s="679"/>
      <c r="H23" s="679"/>
      <c r="I23" s="679"/>
      <c r="J23" s="398" t="str">
        <f>M23</f>
        <v>Milieu</v>
      </c>
      <c r="K23" s="398"/>
      <c r="L23" s="398"/>
      <c r="M23" s="578" t="s">
        <v>86</v>
      </c>
      <c r="N23" s="578"/>
      <c r="O23" s="578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8"/>
      <c r="AA23" s="98"/>
      <c r="AB23" s="145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  <c r="BN23" s="106"/>
    </row>
    <row r="24" spans="2:66" customFormat="1" ht="17.25" customHeight="1">
      <c r="B24" s="98"/>
      <c r="C24" s="684" t="s">
        <v>314</v>
      </c>
      <c r="D24" s="685"/>
      <c r="E24" s="109"/>
      <c r="F24" s="109"/>
      <c r="G24" s="109"/>
      <c r="H24" s="109"/>
      <c r="I24" s="110"/>
      <c r="J24" s="603" cm="1">
        <f t="array" ref="J24">angleConvert2Decimal(M24)</f>
        <v>0</v>
      </c>
      <c r="K24" s="394"/>
      <c r="L24" s="395"/>
      <c r="M24" s="609" t="str">
        <f>P26</f>
        <v>0.0'</v>
      </c>
      <c r="N24" s="610"/>
      <c r="O24" s="610"/>
      <c r="P24" s="615" t="s">
        <v>129</v>
      </c>
      <c r="Q24" s="615"/>
      <c r="R24" s="615"/>
      <c r="S24" s="96"/>
      <c r="T24" s="96"/>
      <c r="U24" s="96"/>
      <c r="V24" s="96"/>
      <c r="W24" s="96"/>
      <c r="X24" s="96"/>
      <c r="Y24" s="96"/>
      <c r="Z24" s="98"/>
      <c r="AA24" s="98"/>
      <c r="AB24" s="145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  <c r="BN24" s="106"/>
    </row>
    <row r="25" spans="2:66" customFormat="1" ht="17.25" customHeight="1" thickBot="1">
      <c r="B25" s="98"/>
      <c r="C25" s="111"/>
      <c r="D25" s="652" t="s">
        <v>315</v>
      </c>
      <c r="E25" s="652"/>
      <c r="F25" s="652"/>
      <c r="G25" s="652"/>
      <c r="H25" s="652"/>
      <c r="I25" s="653"/>
      <c r="J25" s="604"/>
      <c r="K25" s="461"/>
      <c r="L25" s="605"/>
      <c r="M25" s="611"/>
      <c r="N25" s="612"/>
      <c r="O25" s="612"/>
      <c r="P25" s="615"/>
      <c r="Q25" s="615"/>
      <c r="R25" s="615"/>
      <c r="S25" s="96"/>
      <c r="T25" s="96"/>
      <c r="U25" s="96"/>
      <c r="V25" s="96"/>
      <c r="W25" s="96"/>
      <c r="X25" s="96"/>
      <c r="Y25" s="96"/>
      <c r="Z25" s="98"/>
      <c r="AA25" s="98"/>
      <c r="AB25" s="145"/>
      <c r="AC25" s="153" t="s">
        <v>135</v>
      </c>
      <c r="AD25" s="155" t="s">
        <v>132</v>
      </c>
      <c r="AE25" s="155" t="s">
        <v>136</v>
      </c>
      <c r="AF25" s="155" t="s">
        <v>103</v>
      </c>
      <c r="AG25" s="98"/>
      <c r="AH25" s="98"/>
      <c r="BN25" s="106"/>
    </row>
    <row r="26" spans="2:66" customFormat="1" ht="17.25" customHeight="1" thickTop="1" thickBot="1">
      <c r="B26" s="98"/>
      <c r="C26" s="111"/>
      <c r="D26" s="652"/>
      <c r="E26" s="652"/>
      <c r="F26" s="652"/>
      <c r="G26" s="652"/>
      <c r="H26" s="652"/>
      <c r="I26" s="653"/>
      <c r="J26" s="604"/>
      <c r="K26" s="461"/>
      <c r="L26" s="605"/>
      <c r="M26" s="611"/>
      <c r="N26" s="612"/>
      <c r="O26" s="612"/>
      <c r="P26" s="584" t="str">
        <f>HLOOKUP(M22,AD23:AF25,2,FALSE)</f>
        <v>0.0'</v>
      </c>
      <c r="Q26" s="584"/>
      <c r="R26" s="584"/>
      <c r="S26" s="479" t="str" cm="1">
        <f t="array" ref="S26">angleDecimal2Txt(angleConvert2Decimal(P26))</f>
        <v>+00°00.00 (+00.0000) [+00°00'00.00]</v>
      </c>
      <c r="T26" s="479"/>
      <c r="U26" s="479"/>
      <c r="V26" s="479"/>
      <c r="W26" s="479"/>
      <c r="X26" s="480"/>
      <c r="Y26" s="96"/>
      <c r="Z26" s="98"/>
      <c r="AA26" s="98"/>
      <c r="AB26" s="145"/>
      <c r="BN26" s="106"/>
    </row>
    <row r="27" spans="2:66" customFormat="1" ht="17.25" customHeight="1" thickTop="1" thickBot="1">
      <c r="B27" s="98"/>
      <c r="C27" s="112"/>
      <c r="D27" s="654"/>
      <c r="E27" s="654"/>
      <c r="F27" s="654"/>
      <c r="G27" s="654"/>
      <c r="H27" s="654"/>
      <c r="I27" s="655"/>
      <c r="J27" s="606"/>
      <c r="K27" s="607"/>
      <c r="L27" s="608"/>
      <c r="M27" s="613"/>
      <c r="N27" s="614"/>
      <c r="O27" s="614"/>
      <c r="P27" s="581" t="str" cm="1">
        <f t="array" ref="P27">angleDecimal2Txt(J24)</f>
        <v>+00°00.00 (+00.0000) [+00°00'00.00]</v>
      </c>
      <c r="Q27" s="581"/>
      <c r="R27" s="581"/>
      <c r="S27" s="402"/>
      <c r="T27" s="402"/>
      <c r="U27" s="402"/>
      <c r="V27" s="402"/>
      <c r="W27" s="402"/>
      <c r="X27" s="402"/>
      <c r="Y27" s="96"/>
      <c r="Z27" s="98"/>
      <c r="AA27" s="98"/>
      <c r="AB27" s="145"/>
      <c r="AC27" s="153" t="s">
        <v>130</v>
      </c>
      <c r="AD27" s="154" t="s">
        <v>85</v>
      </c>
      <c r="AE27" s="154" t="s">
        <v>355</v>
      </c>
      <c r="AF27" s="154" t="s">
        <v>86</v>
      </c>
      <c r="BN27" s="106"/>
    </row>
    <row r="28" spans="2:66" customFormat="1" ht="17.25" customHeight="1" thickTop="1">
      <c r="B28" s="98"/>
      <c r="C28" s="595" t="s">
        <v>134</v>
      </c>
      <c r="D28" s="596"/>
      <c r="E28" s="596"/>
      <c r="F28" s="596"/>
      <c r="G28" s="596"/>
      <c r="H28" s="596"/>
      <c r="I28" s="597"/>
      <c r="J28" s="603" cm="1">
        <f t="array" ref="J28">angleConvert2Decimal(M28)</f>
        <v>0</v>
      </c>
      <c r="K28" s="394"/>
      <c r="L28" s="395"/>
      <c r="M28" s="609" t="str">
        <f>P30</f>
        <v>0.0'</v>
      </c>
      <c r="N28" s="610"/>
      <c r="O28" s="610"/>
      <c r="P28" s="615" t="s">
        <v>129</v>
      </c>
      <c r="Q28" s="615"/>
      <c r="R28" s="615"/>
      <c r="S28" s="96"/>
      <c r="T28" s="96"/>
      <c r="U28" s="96"/>
      <c r="V28" s="96"/>
      <c r="W28" s="96"/>
      <c r="X28" s="96"/>
      <c r="Y28" s="96"/>
      <c r="Z28" s="98"/>
      <c r="AA28" s="98"/>
      <c r="AB28" s="145"/>
      <c r="AC28" s="153" t="s">
        <v>356</v>
      </c>
      <c r="AD28" s="156">
        <v>0</v>
      </c>
      <c r="AE28" s="156">
        <v>-1</v>
      </c>
      <c r="AF28" s="156">
        <v>-0.5</v>
      </c>
      <c r="BN28" s="106"/>
    </row>
    <row r="29" spans="2:66" customFormat="1" ht="17.25" customHeight="1" thickBot="1">
      <c r="B29" s="98"/>
      <c r="C29" s="598"/>
      <c r="D29" s="466"/>
      <c r="E29" s="466"/>
      <c r="F29" s="466"/>
      <c r="G29" s="466"/>
      <c r="H29" s="466"/>
      <c r="I29" s="599"/>
      <c r="J29" s="604"/>
      <c r="K29" s="461"/>
      <c r="L29" s="605"/>
      <c r="M29" s="611"/>
      <c r="N29" s="612"/>
      <c r="O29" s="612"/>
      <c r="P29" s="615"/>
      <c r="Q29" s="615"/>
      <c r="R29" s="615"/>
      <c r="S29" s="96"/>
      <c r="T29" s="96"/>
      <c r="U29" s="96"/>
      <c r="V29" s="96"/>
      <c r="W29" s="96"/>
      <c r="X29" s="96"/>
      <c r="Y29" s="96"/>
      <c r="Z29" s="98"/>
      <c r="AA29" s="98"/>
      <c r="AB29" s="145"/>
      <c r="BN29" s="106"/>
    </row>
    <row r="30" spans="2:66" customFormat="1" ht="17.25" customHeight="1" thickTop="1" thickBot="1">
      <c r="B30" s="98"/>
      <c r="C30" s="598"/>
      <c r="D30" s="466"/>
      <c r="E30" s="466"/>
      <c r="F30" s="466"/>
      <c r="G30" s="466"/>
      <c r="H30" s="466"/>
      <c r="I30" s="599"/>
      <c r="J30" s="604"/>
      <c r="K30" s="461"/>
      <c r="L30" s="605"/>
      <c r="M30" s="611"/>
      <c r="N30" s="612"/>
      <c r="O30" s="612"/>
      <c r="P30" s="584" t="str">
        <f>HLOOKUP(M22,AD23:AF25,3,FALSE)</f>
        <v>0.0'</v>
      </c>
      <c r="Q30" s="584"/>
      <c r="R30" s="584"/>
      <c r="S30" s="479" t="str" cm="1">
        <f t="array" ref="S30">angleDecimal2Txt(angleConvert2Decimal(P30))</f>
        <v>+00°00.00 (+00.0000) [+00°00'00.00]</v>
      </c>
      <c r="T30" s="479"/>
      <c r="U30" s="479"/>
      <c r="V30" s="479"/>
      <c r="W30" s="479"/>
      <c r="X30" s="480"/>
      <c r="Y30" s="96"/>
      <c r="Z30" s="98"/>
      <c r="AA30" s="98"/>
      <c r="AB30" s="145"/>
      <c r="BN30" s="106"/>
    </row>
    <row r="31" spans="2:66" customFormat="1" ht="17.25" customHeight="1" thickTop="1" thickBot="1">
      <c r="B31" s="98"/>
      <c r="C31" s="600"/>
      <c r="D31" s="601"/>
      <c r="E31" s="601"/>
      <c r="F31" s="601"/>
      <c r="G31" s="601"/>
      <c r="H31" s="601"/>
      <c r="I31" s="602"/>
      <c r="J31" s="606"/>
      <c r="K31" s="607"/>
      <c r="L31" s="608"/>
      <c r="M31" s="613"/>
      <c r="N31" s="614"/>
      <c r="O31" s="614"/>
      <c r="P31" s="581" t="str" cm="1">
        <f t="array" ref="P31">angleDecimal2Txt(J28)</f>
        <v>+00°00.00 (+00.0000) [+00°00'00.00]</v>
      </c>
      <c r="Q31" s="581"/>
      <c r="R31" s="581"/>
      <c r="S31" s="402"/>
      <c r="T31" s="402"/>
      <c r="U31" s="402"/>
      <c r="V31" s="402"/>
      <c r="W31" s="402"/>
      <c r="X31" s="402"/>
      <c r="Y31" s="96"/>
      <c r="Z31" s="98"/>
      <c r="AA31" s="98"/>
      <c r="AB31" s="145"/>
      <c r="BN31" s="106"/>
    </row>
    <row r="32" spans="2:66" customFormat="1" ht="17.25" customHeight="1" thickTop="1" thickBot="1"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8"/>
      <c r="AA32" s="98"/>
      <c r="AB32" s="145"/>
      <c r="BN32" s="106"/>
    </row>
    <row r="33" spans="1:67" customFormat="1" ht="17.25" customHeight="1" thickBot="1">
      <c r="B33" s="107" t="s">
        <v>19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  <c r="BN33" s="106"/>
    </row>
    <row r="34" spans="1:67" ht="17.25" customHeight="1">
      <c r="C34" s="96"/>
      <c r="D34" s="96"/>
      <c r="E34" s="686" t="s">
        <v>7</v>
      </c>
      <c r="F34" s="686"/>
      <c r="G34" s="686"/>
      <c r="H34" s="68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7" ht="17.25" customHeight="1" thickBot="1">
      <c r="C35" s="96"/>
      <c r="D35" s="96"/>
      <c r="E35" s="686"/>
      <c r="F35" s="686"/>
      <c r="G35" s="686"/>
      <c r="H35" s="68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7" ht="17.25" customHeight="1" thickTop="1" thickBot="1">
      <c r="A36" s="372" t="s">
        <v>41</v>
      </c>
      <c r="B36" s="373"/>
      <c r="C36" s="374"/>
      <c r="D36" s="96"/>
      <c r="E36" s="96"/>
      <c r="F36" s="556">
        <f>AD37</f>
        <v>48.866666666666667</v>
      </c>
      <c r="G36" s="579"/>
      <c r="H36" s="579"/>
      <c r="I36" s="475" t="s">
        <v>3</v>
      </c>
      <c r="J36" s="477" t="s">
        <v>225</v>
      </c>
      <c r="K36" s="475"/>
      <c r="L36" s="475"/>
      <c r="M36" s="475"/>
      <c r="N36" s="475"/>
      <c r="O36" s="400" t="e" cm="1">
        <f t="array" ref="O36">angleDecimal2Txt(L)</f>
        <v>#VALUE!</v>
      </c>
      <c r="P36" s="400"/>
      <c r="Q36" s="400"/>
      <c r="R36" s="400"/>
      <c r="S36" s="400"/>
      <c r="T36" s="400"/>
      <c r="U36" s="400"/>
      <c r="V36" s="400"/>
      <c r="W36" s="400"/>
      <c r="X36" s="400"/>
      <c r="Y36" s="96"/>
      <c r="Z36" s="96"/>
      <c r="AC36" s="6" t="s">
        <v>334</v>
      </c>
      <c r="AD36" s="6">
        <f>VLOOKUP(I36,$A$38:$C$39,3)</f>
        <v>1</v>
      </c>
      <c r="BN36" s="113"/>
    </row>
    <row r="37" spans="1:67" ht="17.25" customHeight="1" thickTop="1" thickBot="1">
      <c r="A37" s="99" t="s">
        <v>49</v>
      </c>
      <c r="B37" s="114" t="s">
        <v>50</v>
      </c>
      <c r="C37" s="100"/>
      <c r="D37" s="96"/>
      <c r="E37" s="96"/>
      <c r="F37" s="579"/>
      <c r="G37" s="579"/>
      <c r="H37" s="579"/>
      <c r="I37" s="475"/>
      <c r="J37" s="475"/>
      <c r="K37" s="475"/>
      <c r="L37" s="475"/>
      <c r="M37" s="475"/>
      <c r="N37" s="475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96"/>
      <c r="Z37" s="96"/>
      <c r="AC37" s="6" t="s">
        <v>335</v>
      </c>
      <c r="AD37" s="6" cm="1">
        <f t="array" ref="AD37">angleConvert2Decimal(J36)*AD36</f>
        <v>48.866666666666667</v>
      </c>
      <c r="BN37" s="113"/>
    </row>
    <row r="38" spans="1:67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7" ht="17.25" customHeight="1" thickBot="1">
      <c r="A39" s="101" t="s">
        <v>4</v>
      </c>
      <c r="B39" s="102" t="s">
        <v>6</v>
      </c>
      <c r="C39" s="103">
        <v>-1</v>
      </c>
      <c r="D39" s="96"/>
      <c r="E39" s="580" t="s">
        <v>8</v>
      </c>
      <c r="F39" s="580"/>
      <c r="G39" s="580"/>
      <c r="H39" s="580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7" ht="17.25" customHeight="1" thickBot="1">
      <c r="C40" s="96"/>
      <c r="D40" s="96"/>
      <c r="E40" s="580"/>
      <c r="F40" s="580"/>
      <c r="G40" s="580"/>
      <c r="H40" s="580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7" ht="17.25" customHeight="1" thickTop="1" thickBot="1">
      <c r="B41" s="96"/>
      <c r="C41" s="96"/>
      <c r="D41" s="96"/>
      <c r="E41" s="96"/>
      <c r="F41" s="556">
        <f>AD42</f>
        <v>2.0833333333333335</v>
      </c>
      <c r="G41" s="579"/>
      <c r="H41" s="579"/>
      <c r="I41" s="475" t="s">
        <v>5</v>
      </c>
      <c r="J41" s="477" t="s">
        <v>226</v>
      </c>
      <c r="K41" s="475"/>
      <c r="L41" s="475"/>
      <c r="M41" s="475"/>
      <c r="N41" s="475"/>
      <c r="O41" s="400" t="e" cm="1">
        <f t="array" ref="O41">angleDecimal2Txt(L)</f>
        <v>#VALUE!</v>
      </c>
      <c r="P41" s="400"/>
      <c r="Q41" s="400"/>
      <c r="R41" s="400"/>
      <c r="S41" s="400"/>
      <c r="T41" s="400"/>
      <c r="U41" s="400"/>
      <c r="V41" s="400"/>
      <c r="W41" s="400"/>
      <c r="X41" s="400"/>
      <c r="Y41" s="96"/>
      <c r="Z41" s="96"/>
      <c r="AC41" s="6" t="s">
        <v>336</v>
      </c>
      <c r="AD41" s="6">
        <f>VLOOKUP(I41,B38:C39,2)</f>
        <v>1</v>
      </c>
    </row>
    <row r="42" spans="1:67" ht="17.25" customHeight="1" thickTop="1" thickBot="1">
      <c r="C42" s="96"/>
      <c r="D42" s="96"/>
      <c r="E42" s="96"/>
      <c r="F42" s="579"/>
      <c r="G42" s="579"/>
      <c r="H42" s="579"/>
      <c r="I42" s="475"/>
      <c r="J42" s="475"/>
      <c r="K42" s="475"/>
      <c r="L42" s="475"/>
      <c r="M42" s="475"/>
      <c r="N42" s="475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96"/>
      <c r="Z42" s="96"/>
      <c r="AC42" s="6" t="s">
        <v>337</v>
      </c>
      <c r="AD42" s="6" cm="1">
        <f t="array" ref="AD42">angleConvert2Decimal(J41)*AD41</f>
        <v>2.0833333333333335</v>
      </c>
    </row>
    <row r="43" spans="1:67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7" ht="17.25" customHeight="1" thickBot="1"/>
    <row r="45" spans="1:67" ht="17.25" customHeight="1" thickBot="1">
      <c r="B45" s="107" t="s">
        <v>364</v>
      </c>
      <c r="C45" s="108"/>
      <c r="D45" s="108"/>
      <c r="E45" s="108"/>
      <c r="F45" s="468">
        <f>N46</f>
        <v>23.141666666666666</v>
      </c>
      <c r="G45" s="468"/>
      <c r="H45" s="468"/>
      <c r="I45" s="161"/>
      <c r="J45" s="161"/>
      <c r="K45" s="161" t="e" cm="1">
        <f t="array" ref="K45">angleDecimal2Txt(D)</f>
        <v>#VALUE!</v>
      </c>
      <c r="L45" s="161"/>
      <c r="M45" s="161"/>
      <c r="N45" s="161"/>
      <c r="O45" s="161"/>
      <c r="P45" s="161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7" s="115" customFormat="1" ht="17.25" customHeight="1" thickTop="1">
      <c r="C46" s="665" t="s">
        <v>114</v>
      </c>
      <c r="D46" s="665"/>
      <c r="E46" s="665"/>
      <c r="F46" s="665"/>
      <c r="G46" s="665"/>
      <c r="H46" s="921"/>
      <c r="I46" s="923" t="s">
        <v>3</v>
      </c>
      <c r="J46" s="922" t="s">
        <v>140</v>
      </c>
      <c r="K46" s="922"/>
      <c r="L46" s="922"/>
      <c r="M46" s="922"/>
      <c r="N46" s="919">
        <f>AD47</f>
        <v>23.141666666666666</v>
      </c>
      <c r="O46" s="919"/>
      <c r="P46" s="919"/>
      <c r="Q46" s="924" t="str" cm="1">
        <f t="array" ref="Q46">angleDecimal2Txt(N46)</f>
        <v>+23°08.50 (+23.1416) [+23°08'30.00]</v>
      </c>
      <c r="R46" s="924"/>
      <c r="S46" s="924"/>
      <c r="T46" s="924"/>
      <c r="U46" s="925"/>
      <c r="AB46" s="149"/>
      <c r="AC46" s="6" t="s">
        <v>367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>
      <c r="C47" s="96"/>
      <c r="D47" s="96"/>
      <c r="E47" s="96"/>
      <c r="F47" s="96"/>
      <c r="G47" s="96"/>
      <c r="H47" s="96"/>
      <c r="I47" s="923"/>
      <c r="J47" s="922"/>
      <c r="K47" s="922"/>
      <c r="L47" s="922"/>
      <c r="M47" s="922"/>
      <c r="N47" s="919"/>
      <c r="O47" s="919"/>
      <c r="P47" s="919"/>
      <c r="Q47" s="926"/>
      <c r="R47" s="926"/>
      <c r="S47" s="926"/>
      <c r="T47" s="926"/>
      <c r="U47" s="927"/>
      <c r="AC47" s="6" t="s">
        <v>335</v>
      </c>
      <c r="AD47" s="6" cm="1">
        <f t="array" ref="AD47">angleConvert2Decimal(J46)*AD46</f>
        <v>23.141666666666666</v>
      </c>
      <c r="AF47" s="98"/>
      <c r="AG47" s="98"/>
    </row>
    <row r="48" spans="1:67" customFormat="1" ht="17.25" customHeight="1" thickTop="1">
      <c r="A48" s="98"/>
      <c r="B48" s="98"/>
      <c r="C48" s="143"/>
      <c r="D48" s="143"/>
      <c r="E48" s="143"/>
      <c r="F48" s="143"/>
      <c r="G48" s="143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98"/>
      <c r="Z48" s="98"/>
      <c r="AA48" s="98"/>
      <c r="AB48" s="145"/>
      <c r="BN48" s="106"/>
      <c r="BO48" s="98"/>
    </row>
    <row r="49" spans="1:67" customFormat="1" ht="17.25" customHeight="1" thickBot="1">
      <c r="A49" s="98"/>
      <c r="B49" s="98"/>
      <c r="C49" s="143"/>
      <c r="D49" s="143"/>
      <c r="E49" s="143"/>
      <c r="F49" s="143"/>
      <c r="G49" s="143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6"/>
      <c r="T49" s="96"/>
      <c r="U49" s="96"/>
      <c r="V49" s="96"/>
      <c r="W49" s="96"/>
      <c r="X49" s="96"/>
      <c r="Y49" s="98"/>
      <c r="Z49" s="98"/>
      <c r="AA49" s="98"/>
      <c r="AB49" s="145"/>
      <c r="BN49" s="106"/>
      <c r="BO49" s="98"/>
    </row>
    <row r="50" spans="1:67" s="96" customFormat="1" ht="17.25" customHeight="1" thickBot="1">
      <c r="A50" s="98"/>
      <c r="B50" s="107" t="s">
        <v>365</v>
      </c>
      <c r="C50" s="108"/>
      <c r="D50" s="108"/>
      <c r="E50" s="108"/>
      <c r="F50" s="468">
        <f>N51</f>
        <v>23.141666666666666</v>
      </c>
      <c r="G50" s="468"/>
      <c r="H50" s="468"/>
      <c r="I50" s="161"/>
      <c r="J50" s="928" t="s">
        <v>83</v>
      </c>
      <c r="K50" s="928"/>
      <c r="L50" s="928"/>
      <c r="M50" s="929" t="str">
        <f>J22</f>
        <v>Etoile</v>
      </c>
      <c r="N50" s="929"/>
      <c r="O50" s="929"/>
      <c r="P50" s="161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48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13"/>
    </row>
    <row r="51" spans="1:67" ht="17.25" customHeight="1" thickTop="1" thickBot="1">
      <c r="C51" s="665" t="s">
        <v>366</v>
      </c>
      <c r="D51" s="665"/>
      <c r="E51" s="665"/>
      <c r="F51" s="665"/>
      <c r="G51" s="665"/>
      <c r="H51" s="921"/>
      <c r="I51" s="922" t="s">
        <v>140</v>
      </c>
      <c r="J51" s="922"/>
      <c r="K51" s="922"/>
      <c r="L51" s="922"/>
      <c r="M51" s="922"/>
      <c r="N51" s="919" cm="1">
        <f t="array" ref="N51">angleConvert2Decimal(I51)</f>
        <v>23.141666666666666</v>
      </c>
      <c r="O51" s="919"/>
      <c r="P51" s="919"/>
      <c r="Q51" s="399" t="str" cm="1">
        <f t="array" ref="Q51">angleDecimal2Txt(N51)</f>
        <v>+23°08.50 (+23.1416) [+23°08'30.00]</v>
      </c>
      <c r="R51" s="577"/>
      <c r="S51" s="577"/>
      <c r="T51" s="577"/>
      <c r="U51" s="577"/>
      <c r="AD51" s="98"/>
      <c r="AE51" s="98"/>
      <c r="AF51" s="98"/>
      <c r="AG51" s="98"/>
      <c r="AH51" s="98"/>
      <c r="AI51" s="98"/>
      <c r="AJ51" s="98"/>
      <c r="AK51" s="98"/>
    </row>
    <row r="52" spans="1:67" ht="17.25" customHeight="1" thickTop="1" thickBot="1">
      <c r="A52" s="96"/>
      <c r="C52" s="96"/>
      <c r="D52" s="96"/>
      <c r="E52" s="96"/>
      <c r="F52" s="96"/>
      <c r="G52" s="96"/>
      <c r="H52" s="96"/>
      <c r="I52" s="922"/>
      <c r="J52" s="922"/>
      <c r="K52" s="922"/>
      <c r="L52" s="922"/>
      <c r="M52" s="922"/>
      <c r="N52" s="919"/>
      <c r="O52" s="919"/>
      <c r="P52" s="919"/>
      <c r="Q52" s="920"/>
      <c r="R52" s="577"/>
      <c r="S52" s="577"/>
      <c r="T52" s="577"/>
      <c r="U52" s="577"/>
      <c r="AB52" s="150"/>
    </row>
    <row r="53" spans="1:67" ht="17.25" customHeight="1" thickTop="1" thickBot="1">
      <c r="A53" s="96"/>
      <c r="C53" s="96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50"/>
    </row>
    <row r="54" spans="1:67" customFormat="1" ht="17.25" customHeight="1" thickBot="1">
      <c r="A54" s="115"/>
      <c r="B54" s="107" t="s">
        <v>317</v>
      </c>
      <c r="C54" s="108"/>
      <c r="D54" s="108"/>
      <c r="E54" s="108"/>
      <c r="F54" s="468">
        <f>IF(G55=AD55,F59,F67)</f>
        <v>324.01383388888894</v>
      </c>
      <c r="G54" s="468"/>
      <c r="H54" s="468"/>
      <c r="I54" s="108"/>
      <c r="J54" s="108"/>
      <c r="K54" s="108"/>
      <c r="L54" s="465">
        <f>F54-360</f>
        <v>-35.986166111111061</v>
      </c>
      <c r="M54" s="465"/>
      <c r="N54" s="108" t="s">
        <v>34</v>
      </c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48"/>
      <c r="BN54" s="106"/>
      <c r="BO54" s="98"/>
    </row>
    <row r="55" spans="1:67" customFormat="1" ht="17.25" customHeight="1">
      <c r="A55" s="98"/>
      <c r="B55" s="115"/>
      <c r="C55" s="466" t="s">
        <v>42</v>
      </c>
      <c r="D55" s="466"/>
      <c r="E55" s="466"/>
      <c r="F55" s="467"/>
      <c r="G55" s="624" t="s">
        <v>16</v>
      </c>
      <c r="H55" s="625"/>
      <c r="I55" s="626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49"/>
      <c r="AC55" s="664" t="s">
        <v>43</v>
      </c>
      <c r="AD55" s="152" t="s">
        <v>10</v>
      </c>
      <c r="BN55" s="106"/>
      <c r="BO55" s="98"/>
    </row>
    <row r="56" spans="1:67" customFormat="1" ht="17.25" customHeight="1">
      <c r="A56" s="98"/>
      <c r="B56" s="98"/>
      <c r="C56" s="116" t="s">
        <v>10</v>
      </c>
      <c r="D56" s="116"/>
      <c r="E56" s="117"/>
      <c r="F56" s="117"/>
      <c r="G56" s="96"/>
      <c r="H56" s="96"/>
      <c r="I56" s="96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45"/>
      <c r="AC56" s="664"/>
      <c r="AD56" s="152" t="s">
        <v>16</v>
      </c>
      <c r="BN56" s="106"/>
      <c r="BO56" s="98"/>
    </row>
    <row r="57" spans="1:67" customFormat="1" ht="17.25" customHeight="1">
      <c r="A57" s="98"/>
      <c r="B57" s="98"/>
      <c r="C57" s="143"/>
      <c r="D57" s="143"/>
      <c r="E57" s="143"/>
      <c r="F57" s="434" t="s">
        <v>9</v>
      </c>
      <c r="G57" s="435"/>
      <c r="H57" s="436"/>
      <c r="I57" s="434" t="s">
        <v>12</v>
      </c>
      <c r="J57" s="435"/>
      <c r="K57" s="435"/>
      <c r="L57" s="436"/>
      <c r="M57" s="440" t="s">
        <v>13</v>
      </c>
      <c r="N57" s="441"/>
      <c r="O57" s="442"/>
      <c r="P57" s="426" t="s">
        <v>17</v>
      </c>
      <c r="Q57" s="427"/>
      <c r="R57" s="427"/>
      <c r="S57" s="427"/>
      <c r="T57" s="428"/>
      <c r="U57" s="96"/>
      <c r="V57" s="98"/>
      <c r="W57" s="98"/>
      <c r="X57" s="98"/>
      <c r="Y57" s="98"/>
      <c r="Z57" s="98"/>
      <c r="AA57" s="98"/>
      <c r="AB57" s="145"/>
      <c r="AD57" s="157" t="s">
        <v>101</v>
      </c>
      <c r="AE57" s="6" t="s">
        <v>347</v>
      </c>
      <c r="BN57" s="106"/>
      <c r="BO57" s="98"/>
    </row>
    <row r="58" spans="1:67" customFormat="1" ht="17.25" customHeight="1" thickBot="1">
      <c r="A58" s="98"/>
      <c r="B58" s="98"/>
      <c r="C58" s="143"/>
      <c r="D58" s="143"/>
      <c r="E58" s="143"/>
      <c r="F58" s="437"/>
      <c r="G58" s="438"/>
      <c r="H58" s="439"/>
      <c r="I58" s="437"/>
      <c r="J58" s="438"/>
      <c r="K58" s="438"/>
      <c r="L58" s="439"/>
      <c r="M58" s="443"/>
      <c r="N58" s="444"/>
      <c r="O58" s="445"/>
      <c r="P58" s="900"/>
      <c r="Q58" s="430"/>
      <c r="R58" s="430"/>
      <c r="S58" s="430"/>
      <c r="T58" s="431"/>
      <c r="U58" s="96"/>
      <c r="V58" s="98"/>
      <c r="W58" s="98"/>
      <c r="X58" s="98"/>
      <c r="Y58" s="98"/>
      <c r="AA58" s="98"/>
      <c r="AB58" s="145"/>
      <c r="AC58" s="6" t="s">
        <v>338</v>
      </c>
      <c r="AD58" s="6">
        <f>VLOOKUP(P59,$B$38:$C$39,2)</f>
        <v>1</v>
      </c>
      <c r="AE58" s="6" cm="1">
        <f t="array" ref="AE58">AD58*angleConvert2Decimal(Q59)</f>
        <v>329.065</v>
      </c>
      <c r="BN58" s="106"/>
      <c r="BO58" s="98"/>
    </row>
    <row r="59" spans="1:67" customFormat="1" ht="17.25" customHeight="1" thickTop="1" thickBot="1">
      <c r="A59" s="98"/>
      <c r="B59" s="98"/>
      <c r="C59" s="143"/>
      <c r="D59" s="143"/>
      <c r="E59" s="98"/>
      <c r="F59" s="555" t="str">
        <f>IF(G55=AD56,"---",AD63)</f>
        <v>---</v>
      </c>
      <c r="G59" s="555"/>
      <c r="H59" s="555"/>
      <c r="I59" s="551">
        <f>E11</f>
        <v>9.8336111111111109</v>
      </c>
      <c r="J59" s="552"/>
      <c r="K59" s="552"/>
      <c r="L59" s="901"/>
      <c r="M59" s="551">
        <v>10</v>
      </c>
      <c r="N59" s="552"/>
      <c r="O59" s="901"/>
      <c r="P59" s="903" t="s">
        <v>5</v>
      </c>
      <c r="Q59" s="904" t="s">
        <v>141</v>
      </c>
      <c r="R59" s="667"/>
      <c r="S59" s="667"/>
      <c r="T59" s="905"/>
      <c r="U59" s="400" t="str" cm="1">
        <f t="array" ref="U59">angleDecimal2Txt(AE58)</f>
        <v>+329°03.89 (+329.0649) [+329°03'54.00]</v>
      </c>
      <c r="V59" s="577"/>
      <c r="W59" s="577"/>
      <c r="X59" s="577"/>
      <c r="Y59" s="577"/>
      <c r="AA59" s="98"/>
      <c r="AB59" s="145"/>
      <c r="AC59" s="6" t="s">
        <v>339</v>
      </c>
      <c r="AD59" s="6">
        <f>VLOOKUP(P61,$B$38:$C$39,2)</f>
        <v>1</v>
      </c>
      <c r="AE59" s="6" cm="1">
        <f t="array" ref="AE59">AD59*angleConvert2Decimal(Q61)</f>
        <v>344.06333333333333</v>
      </c>
      <c r="BN59" s="106"/>
      <c r="BO59" s="98"/>
    </row>
    <row r="60" spans="1:67" customFormat="1" ht="17.25" customHeight="1" thickTop="1" thickBot="1">
      <c r="A60" s="98"/>
      <c r="B60" s="98"/>
      <c r="C60" s="143"/>
      <c r="D60" s="143"/>
      <c r="E60" s="143"/>
      <c r="F60" s="556"/>
      <c r="G60" s="556"/>
      <c r="H60" s="556"/>
      <c r="I60" s="809"/>
      <c r="J60" s="807"/>
      <c r="K60" s="807"/>
      <c r="L60" s="902"/>
      <c r="M60" s="553"/>
      <c r="N60" s="554"/>
      <c r="O60" s="658"/>
      <c r="P60" s="474"/>
      <c r="Q60" s="906"/>
      <c r="R60" s="907"/>
      <c r="S60" s="907"/>
      <c r="T60" s="908"/>
      <c r="U60" s="577"/>
      <c r="V60" s="577"/>
      <c r="W60" s="577"/>
      <c r="X60" s="577"/>
      <c r="Y60" s="577"/>
      <c r="AA60" s="98"/>
      <c r="AB60" s="145"/>
      <c r="AC60" s="6" t="s">
        <v>45</v>
      </c>
      <c r="AD60" s="8">
        <f>AE59-AE58</f>
        <v>14.998333333333335</v>
      </c>
      <c r="BN60" s="106"/>
      <c r="BO60" s="98"/>
    </row>
    <row r="61" spans="1:67" customFormat="1" ht="17.25" customHeight="1" thickTop="1" thickBot="1">
      <c r="A61" s="98"/>
      <c r="B61" s="98"/>
      <c r="C61" s="143"/>
      <c r="D61" s="143"/>
      <c r="E61" s="143"/>
      <c r="F61" s="556"/>
      <c r="G61" s="556"/>
      <c r="H61" s="556"/>
      <c r="I61" s="809"/>
      <c r="J61" s="807"/>
      <c r="K61" s="807"/>
      <c r="L61" s="902"/>
      <c r="M61" s="622">
        <v>11</v>
      </c>
      <c r="N61" s="623"/>
      <c r="O61" s="909"/>
      <c r="P61" s="910" t="s">
        <v>5</v>
      </c>
      <c r="Q61" s="826" t="s">
        <v>142</v>
      </c>
      <c r="R61" s="911"/>
      <c r="S61" s="911"/>
      <c r="T61" s="912"/>
      <c r="U61" s="400" t="str" cm="1">
        <f t="array" ref="U61">angleDecimal2Txt((AE59))</f>
        <v>+344°03.79 (+344.0633) [+344°03'48.00]</v>
      </c>
      <c r="V61" s="577"/>
      <c r="W61" s="577"/>
      <c r="X61" s="577"/>
      <c r="Y61" s="577"/>
      <c r="AA61" s="98"/>
      <c r="AB61" s="145"/>
      <c r="AC61" s="6" t="s">
        <v>341</v>
      </c>
      <c r="AD61" s="8">
        <f>M61-M59</f>
        <v>1</v>
      </c>
      <c r="AE61" s="98"/>
      <c r="BN61" s="106"/>
      <c r="BO61" s="98"/>
    </row>
    <row r="62" spans="1:67" customFormat="1" ht="17.25" customHeight="1" thickTop="1" thickBot="1">
      <c r="A62" s="98"/>
      <c r="B62" s="98"/>
      <c r="C62" s="143"/>
      <c r="D62" s="143"/>
      <c r="E62" s="143"/>
      <c r="F62" s="556"/>
      <c r="G62" s="556"/>
      <c r="H62" s="556"/>
      <c r="I62" s="809"/>
      <c r="J62" s="807"/>
      <c r="K62" s="807"/>
      <c r="L62" s="902"/>
      <c r="M62" s="553"/>
      <c r="N62" s="554"/>
      <c r="O62" s="658"/>
      <c r="P62" s="474"/>
      <c r="Q62" s="906"/>
      <c r="R62" s="907"/>
      <c r="S62" s="907"/>
      <c r="T62" s="908"/>
      <c r="U62" s="577"/>
      <c r="V62" s="577"/>
      <c r="W62" s="577"/>
      <c r="X62" s="577"/>
      <c r="Y62" s="577"/>
      <c r="AA62" s="98"/>
      <c r="AB62" s="145"/>
      <c r="AC62" s="6" t="s">
        <v>46</v>
      </c>
      <c r="AD62" s="8">
        <f>I59-M59</f>
        <v>-0.16638888888888914</v>
      </c>
      <c r="BN62" s="106"/>
      <c r="BO62" s="98"/>
    </row>
    <row r="63" spans="1:67" customFormat="1" ht="17.25" customHeight="1" thickTop="1" thickBot="1">
      <c r="A63" s="98"/>
      <c r="B63" s="98"/>
      <c r="C63" s="143"/>
      <c r="D63" s="143"/>
      <c r="E63" s="143"/>
      <c r="F63" s="412">
        <f>AC64</f>
        <v>0</v>
      </c>
      <c r="G63" s="413"/>
      <c r="H63" s="413"/>
      <c r="I63" s="413"/>
      <c r="J63" s="413"/>
      <c r="K63" s="414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AA63" s="96"/>
      <c r="AB63" s="145"/>
      <c r="AC63" s="6" t="s">
        <v>44</v>
      </c>
      <c r="AD63" s="6">
        <f>AE58+(AD60/AD61)*AD62</f>
        <v>326.56944398148147</v>
      </c>
      <c r="BN63" s="106"/>
      <c r="BO63" s="98"/>
    </row>
    <row r="64" spans="1:67" customFormat="1" ht="17.25" customHeight="1" thickTop="1">
      <c r="A64" s="98"/>
      <c r="B64" s="98"/>
      <c r="C64" s="116" t="s">
        <v>16</v>
      </c>
      <c r="D64" s="116"/>
      <c r="E64" s="117"/>
      <c r="F64" s="117"/>
      <c r="G64" s="96"/>
      <c r="H64" s="96"/>
      <c r="I64" s="96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AA64" s="96"/>
      <c r="AB64" s="145"/>
      <c r="BN64" s="106"/>
      <c r="BO64" s="98"/>
    </row>
    <row r="65" spans="1:67" customFormat="1" ht="17.25" customHeight="1">
      <c r="A65" s="98"/>
      <c r="B65" s="98"/>
      <c r="C65" s="96"/>
      <c r="D65" s="96"/>
      <c r="E65" s="96"/>
      <c r="F65" s="434" t="s">
        <v>9</v>
      </c>
      <c r="G65" s="435"/>
      <c r="H65" s="436"/>
      <c r="I65" s="434" t="s">
        <v>12</v>
      </c>
      <c r="J65" s="435"/>
      <c r="K65" s="435"/>
      <c r="L65" s="436"/>
      <c r="M65" s="440" t="s">
        <v>13</v>
      </c>
      <c r="N65" s="441"/>
      <c r="O65" s="442"/>
      <c r="P65" s="426" t="s">
        <v>18</v>
      </c>
      <c r="Q65" s="427"/>
      <c r="R65" s="427"/>
      <c r="S65" s="427"/>
      <c r="T65" s="428"/>
      <c r="U65" s="426" t="s">
        <v>126</v>
      </c>
      <c r="V65" s="427"/>
      <c r="W65" s="427"/>
      <c r="X65" s="427"/>
      <c r="Y65" s="428"/>
      <c r="Z65" s="98"/>
      <c r="AA65" s="96"/>
      <c r="AB65" s="145"/>
      <c r="AC65" s="6" t="s">
        <v>342</v>
      </c>
      <c r="AD65" s="6">
        <f>VLOOKUP(P67,$B$38:$C$39,2)</f>
        <v>1</v>
      </c>
      <c r="BN65" s="106"/>
      <c r="BO65" s="98"/>
    </row>
    <row r="66" spans="1:67" customFormat="1" ht="17.25" customHeight="1" collapsed="1">
      <c r="A66" s="98"/>
      <c r="B66" s="98"/>
      <c r="C66" s="143"/>
      <c r="D66" s="143"/>
      <c r="E66" s="143"/>
      <c r="F66" s="437"/>
      <c r="G66" s="438"/>
      <c r="H66" s="439"/>
      <c r="I66" s="437"/>
      <c r="J66" s="438"/>
      <c r="K66" s="438"/>
      <c r="L66" s="439"/>
      <c r="M66" s="443"/>
      <c r="N66" s="444"/>
      <c r="O66" s="445"/>
      <c r="P66" s="900"/>
      <c r="Q66" s="430"/>
      <c r="R66" s="430"/>
      <c r="S66" s="430"/>
      <c r="T66" s="431"/>
      <c r="U66" s="900"/>
      <c r="V66" s="430"/>
      <c r="W66" s="430"/>
      <c r="X66" s="430"/>
      <c r="Y66" s="431"/>
      <c r="Z66" s="96"/>
      <c r="AA66" s="96"/>
      <c r="AB66" s="145"/>
      <c r="AC66" s="6" t="s">
        <v>343</v>
      </c>
      <c r="AD66" s="6" cm="1">
        <f t="array" ref="AD66">angleConvert2Decimal(Q67)*AD65</f>
        <v>176.49</v>
      </c>
      <c r="BN66" s="106"/>
      <c r="BO66" s="98"/>
    </row>
    <row r="67" spans="1:67" customFormat="1" ht="17.25" customHeight="1">
      <c r="A67" s="98"/>
      <c r="B67" s="98"/>
      <c r="C67" s="143"/>
      <c r="D67" s="143"/>
      <c r="E67" s="98"/>
      <c r="F67" s="555">
        <f>IF(G55=AD56,AD69,"---")</f>
        <v>324.01383388888894</v>
      </c>
      <c r="G67" s="555"/>
      <c r="H67" s="555"/>
      <c r="I67" s="551">
        <f>E11</f>
        <v>9.8336111111111109</v>
      </c>
      <c r="J67" s="552"/>
      <c r="K67" s="552"/>
      <c r="L67" s="901"/>
      <c r="M67" s="551">
        <v>0</v>
      </c>
      <c r="N67" s="552"/>
      <c r="O67" s="901"/>
      <c r="P67" s="903" t="s">
        <v>5</v>
      </c>
      <c r="Q67" s="904" t="s">
        <v>228</v>
      </c>
      <c r="R67" s="667"/>
      <c r="S67" s="667"/>
      <c r="T67" s="913"/>
      <c r="U67" s="903" t="s">
        <v>5</v>
      </c>
      <c r="V67" s="904" t="s">
        <v>174</v>
      </c>
      <c r="W67" s="667"/>
      <c r="X67" s="667"/>
      <c r="Y67" s="913"/>
      <c r="Z67" s="96"/>
      <c r="AA67" s="98"/>
      <c r="AB67" s="145"/>
      <c r="AC67" s="6" t="s">
        <v>344</v>
      </c>
      <c r="AD67" s="6">
        <f>VLOOKUP(U67,$B$38:$C$39,2)</f>
        <v>1</v>
      </c>
      <c r="BN67" s="106"/>
      <c r="BO67" s="98"/>
    </row>
    <row r="68" spans="1:67" customFormat="1" ht="17.25" customHeight="1" thickBot="1">
      <c r="A68" s="98"/>
      <c r="B68" s="98"/>
      <c r="C68" s="143"/>
      <c r="D68" s="143"/>
      <c r="E68" s="143"/>
      <c r="F68" s="556"/>
      <c r="G68" s="556"/>
      <c r="H68" s="556"/>
      <c r="I68" s="809"/>
      <c r="J68" s="807"/>
      <c r="K68" s="807"/>
      <c r="L68" s="902"/>
      <c r="M68" s="553"/>
      <c r="N68" s="554"/>
      <c r="O68" s="658"/>
      <c r="P68" s="916"/>
      <c r="Q68" s="914"/>
      <c r="R68" s="668"/>
      <c r="S68" s="668"/>
      <c r="T68" s="915"/>
      <c r="U68" s="916"/>
      <c r="V68" s="914"/>
      <c r="W68" s="668"/>
      <c r="X68" s="668"/>
      <c r="Y68" s="915"/>
      <c r="Z68" s="96"/>
      <c r="AA68" s="98"/>
      <c r="AB68" s="145"/>
      <c r="AC68" s="6" t="s">
        <v>345</v>
      </c>
      <c r="AD68" s="6" cm="1">
        <f t="array" ref="AD68">angleConvert2Decimal(V67)*AD67</f>
        <v>15.002000000000001</v>
      </c>
      <c r="BN68" s="106"/>
      <c r="BO68" s="98"/>
    </row>
    <row r="69" spans="1:67" customFormat="1" ht="17.25" customHeight="1" thickTop="1" thickBot="1">
      <c r="A69" s="98"/>
      <c r="B69" s="98"/>
      <c r="C69" s="143"/>
      <c r="D69" s="143"/>
      <c r="E69" s="143"/>
      <c r="F69" s="402" t="str" cm="1">
        <f t="array" ref="F69">angleDecimal2Txt(F67)</f>
        <v>+324°00.83 (+324.0138) [+324°00'49.80]</v>
      </c>
      <c r="G69" s="402"/>
      <c r="H69" s="402"/>
      <c r="I69" s="402"/>
      <c r="J69" s="402"/>
      <c r="K69" s="402"/>
      <c r="L69" s="98"/>
      <c r="M69" s="98"/>
      <c r="N69" s="98"/>
      <c r="O69" s="98"/>
      <c r="P69" s="402" t="str" cm="1">
        <f t="array" ref="P69">angleDecimal2Txt(AD66)</f>
        <v>+176°29.39 (+176.4900) [+176°29'24.00]</v>
      </c>
      <c r="Q69" s="402"/>
      <c r="R69" s="402"/>
      <c r="S69" s="402"/>
      <c r="T69" s="402"/>
      <c r="U69" s="402" t="str" cm="1">
        <f t="array" ref="U69">angleDecimal2Txt(AD68)</f>
        <v>+15°00.12 (+15.0020) [+15°00'07.20]</v>
      </c>
      <c r="V69" s="588"/>
      <c r="W69" s="588"/>
      <c r="X69" s="588"/>
      <c r="Y69" s="588"/>
      <c r="Z69" s="98"/>
      <c r="AA69" s="98"/>
      <c r="AB69" s="145"/>
      <c r="AC69" s="6" t="s">
        <v>346</v>
      </c>
      <c r="AD69" s="6">
        <f>AD66+AD68*(I67-M67)</f>
        <v>324.01383388888894</v>
      </c>
      <c r="BN69" s="106"/>
      <c r="BO69" s="98"/>
    </row>
    <row r="70" spans="1:67" customFormat="1" ht="17.25" customHeight="1" thickTop="1">
      <c r="A70" s="98"/>
      <c r="B70" s="98"/>
      <c r="C70" s="143"/>
      <c r="D70" s="143"/>
      <c r="E70" s="143"/>
      <c r="F70" s="143"/>
      <c r="G70" s="143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6"/>
      <c r="T70" s="96"/>
      <c r="U70" s="96"/>
      <c r="V70" s="96"/>
      <c r="W70" s="96"/>
      <c r="X70" s="96"/>
      <c r="Y70" s="98"/>
      <c r="Z70" s="98"/>
      <c r="AA70" s="98"/>
      <c r="AB70" s="145"/>
      <c r="BN70" s="106"/>
      <c r="BO70" s="98"/>
    </row>
    <row r="71" spans="1:67" customFormat="1" ht="17.25" customHeight="1">
      <c r="A71" s="98"/>
      <c r="B71" s="98"/>
      <c r="C71" s="143"/>
      <c r="D71" s="143"/>
      <c r="E71" s="143"/>
      <c r="F71" s="143"/>
      <c r="G71" s="143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6"/>
      <c r="T71" s="96"/>
      <c r="U71" s="96"/>
      <c r="V71" s="96"/>
      <c r="W71" s="96"/>
      <c r="X71" s="98"/>
      <c r="Y71" s="98"/>
      <c r="Z71" s="98"/>
      <c r="AA71" s="98"/>
      <c r="AB71" s="145"/>
      <c r="BN71" s="106"/>
      <c r="BO71" s="98"/>
    </row>
    <row r="72" spans="1:67" customFormat="1" ht="17.25" customHeight="1" thickBot="1">
      <c r="A72" s="98"/>
      <c r="B72" s="98"/>
      <c r="C72" s="143"/>
      <c r="D72" s="143"/>
      <c r="E72" s="143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8"/>
      <c r="AB72" s="145"/>
      <c r="AI72" s="41"/>
      <c r="BN72" s="106"/>
      <c r="BO72" s="98"/>
    </row>
    <row r="73" spans="1:67" s="96" customFormat="1" ht="17.25" customHeight="1" thickBot="1">
      <c r="A73" s="98"/>
      <c r="B73" s="107" t="s">
        <v>51</v>
      </c>
      <c r="C73" s="108"/>
      <c r="D73" s="108"/>
      <c r="E73" s="108"/>
      <c r="F73" s="468">
        <f>I74</f>
        <v>349.23883388888891</v>
      </c>
      <c r="G73" s="468"/>
      <c r="H73" s="468"/>
      <c r="I73" s="108"/>
      <c r="J73" s="586" t="s">
        <v>83</v>
      </c>
      <c r="K73" s="586"/>
      <c r="L73" s="586"/>
      <c r="M73" s="558" t="str">
        <f>J22</f>
        <v>Etoile</v>
      </c>
      <c r="N73" s="558"/>
      <c r="O73" s="55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48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13"/>
    </row>
    <row r="74" spans="1:67" ht="17.25" customHeight="1" thickBot="1">
      <c r="C74" s="665" t="s">
        <v>23</v>
      </c>
      <c r="D74" s="665"/>
      <c r="E74" s="665"/>
      <c r="F74" s="665"/>
      <c r="G74" s="665"/>
      <c r="H74" s="666"/>
      <c r="I74" s="660">
        <f>AD75</f>
        <v>349.23883388888891</v>
      </c>
      <c r="J74" s="661"/>
      <c r="K74" s="661"/>
      <c r="L74" s="662"/>
      <c r="M74" s="118" t="s">
        <v>53</v>
      </c>
      <c r="N74" s="534">
        <f>AD74</f>
        <v>349.23883388888891</v>
      </c>
      <c r="O74" s="534"/>
      <c r="P74" s="534"/>
      <c r="Q74" s="534"/>
      <c r="AC74" s="6" t="s">
        <v>348</v>
      </c>
      <c r="AD74" s="8">
        <f>F54+F41+F50</f>
        <v>349.23883388888891</v>
      </c>
    </row>
    <row r="75" spans="1:67" ht="17.25" customHeight="1" thickTop="1" thickBot="1">
      <c r="A75" s="96"/>
      <c r="C75" s="96"/>
      <c r="D75" s="96"/>
      <c r="E75" s="96"/>
      <c r="F75" s="96"/>
      <c r="G75" s="96"/>
      <c r="H75" s="96"/>
      <c r="I75" s="588">
        <f>AC76</f>
        <v>0</v>
      </c>
      <c r="J75" s="588"/>
      <c r="K75" s="588"/>
      <c r="L75" s="588"/>
      <c r="M75" s="588"/>
      <c r="N75" s="588"/>
      <c r="AB75" s="150"/>
      <c r="AC75" s="6" t="s">
        <v>349</v>
      </c>
      <c r="AD75" s="8">
        <f>MOD(AD74,360)</f>
        <v>349.23883388888891</v>
      </c>
    </row>
    <row r="76" spans="1:67" ht="17.25" customHeight="1" thickTop="1" thickBot="1">
      <c r="B76" s="96"/>
      <c r="C76" s="98"/>
      <c r="D76" s="98"/>
      <c r="E76" s="98"/>
      <c r="F76" s="98"/>
      <c r="G76" s="98"/>
      <c r="AA76" s="96"/>
    </row>
    <row r="77" spans="1:67" ht="17.25" customHeight="1" thickBot="1">
      <c r="B77" s="107" t="s">
        <v>25</v>
      </c>
      <c r="C77" s="108"/>
      <c r="D77" s="633" t="s">
        <v>100</v>
      </c>
      <c r="E77" s="637"/>
      <c r="F77" s="468">
        <f>IF(G78=AD78,O115,O107)</f>
        <v>9.1383333333333372</v>
      </c>
      <c r="G77" s="468"/>
      <c r="H77" s="468"/>
      <c r="I77" s="108"/>
      <c r="J77" s="108"/>
      <c r="K77" s="108"/>
      <c r="L77" s="108" t="s">
        <v>88</v>
      </c>
      <c r="M77" s="633">
        <f>O80</f>
        <v>8.9666666666666703</v>
      </c>
      <c r="N77" s="633"/>
      <c r="O77" s="108"/>
      <c r="P77" s="144"/>
      <c r="Q77" s="108" t="s">
        <v>127</v>
      </c>
      <c r="R77" s="108"/>
      <c r="S77" s="672">
        <f>-O94+O89+O98</f>
        <v>-9.9381306065384825E-2</v>
      </c>
      <c r="T77" s="673"/>
      <c r="U77" s="674"/>
      <c r="V77" s="675" t="str" cm="1">
        <f t="array" ref="V77">angleDecimal2Txt(S77)</f>
        <v>-00°05.96 (-00.0993) [-00°05'57.77]</v>
      </c>
      <c r="W77" s="675"/>
      <c r="X77" s="675"/>
      <c r="Y77" s="675"/>
      <c r="Z77" s="675"/>
      <c r="AA77" s="108"/>
      <c r="AB77" s="148"/>
    </row>
    <row r="78" spans="1:67" ht="17.25" customHeight="1">
      <c r="C78" s="466" t="s">
        <v>42</v>
      </c>
      <c r="D78" s="466"/>
      <c r="E78" s="466"/>
      <c r="F78" s="466"/>
      <c r="G78" s="587" t="s">
        <v>58</v>
      </c>
      <c r="H78" s="587"/>
      <c r="I78" s="587"/>
      <c r="P78" s="98" t="s">
        <v>97</v>
      </c>
      <c r="V78" s="96"/>
      <c r="W78" s="96"/>
      <c r="X78" s="96"/>
      <c r="Y78" s="96"/>
      <c r="Z78" s="96"/>
      <c r="AC78" s="664" t="s">
        <v>43</v>
      </c>
      <c r="AD78" s="152" t="s">
        <v>58</v>
      </c>
    </row>
    <row r="79" spans="1:67" ht="17.25" customHeight="1" thickBot="1">
      <c r="C79" s="115"/>
      <c r="D79" s="115"/>
      <c r="E79" s="115"/>
      <c r="F79" s="539" t="s">
        <v>90</v>
      </c>
      <c r="G79" s="539"/>
      <c r="H79" s="589"/>
      <c r="I79" s="589"/>
      <c r="J79" s="671" t="str">
        <f>IF(G78=AD78,"---",O107)</f>
        <v>---</v>
      </c>
      <c r="K79" s="671"/>
      <c r="L79" s="671"/>
      <c r="V79" s="96"/>
      <c r="W79" s="96"/>
      <c r="X79" s="96"/>
      <c r="Y79" s="96"/>
      <c r="Z79" s="96"/>
      <c r="AC79" s="664"/>
      <c r="AD79" s="152" t="s">
        <v>59</v>
      </c>
    </row>
    <row r="80" spans="1:67" ht="17.25" customHeight="1" thickTop="1" thickBot="1">
      <c r="C80" s="98"/>
      <c r="D80" s="98"/>
      <c r="E80" s="98"/>
      <c r="F80" s="98"/>
      <c r="G80" s="98"/>
      <c r="H80" s="516" t="s">
        <v>55</v>
      </c>
      <c r="I80" s="516"/>
      <c r="J80" s="516"/>
      <c r="K80" s="516"/>
      <c r="L80" s="516"/>
      <c r="M80" s="516"/>
      <c r="N80" s="516"/>
      <c r="O80" s="389">
        <f>J21</f>
        <v>8.9666666666666703</v>
      </c>
      <c r="P80" s="389"/>
      <c r="Q80" s="389"/>
      <c r="R80" s="389"/>
      <c r="S80" s="98" t="s">
        <v>71</v>
      </c>
      <c r="U80" s="402" t="str" cm="1">
        <f t="array" ref="U80">angleDecimal2Txt(O80)</f>
        <v>+08°58.00 (+08.9666) [+08°58'00.00]</v>
      </c>
      <c r="V80" s="402"/>
      <c r="W80" s="402"/>
      <c r="X80" s="402"/>
      <c r="Y80" s="402"/>
      <c r="Z80" s="402"/>
    </row>
    <row r="81" spans="1:67" ht="17.25" customHeight="1" thickTop="1" thickBot="1">
      <c r="C81" s="98"/>
      <c r="D81" s="98"/>
      <c r="E81" s="98"/>
      <c r="F81" s="98"/>
      <c r="G81" s="98"/>
      <c r="H81" s="516" t="s">
        <v>26</v>
      </c>
      <c r="I81" s="516"/>
      <c r="J81" s="516"/>
      <c r="K81" s="516"/>
      <c r="L81" s="516"/>
      <c r="M81" s="516"/>
      <c r="N81" s="516"/>
      <c r="O81" s="389">
        <f>J20</f>
        <v>0</v>
      </c>
      <c r="P81" s="389"/>
      <c r="Q81" s="389"/>
      <c r="R81" s="389"/>
      <c r="S81" s="98" t="s">
        <v>71</v>
      </c>
      <c r="U81" s="402" t="str" cm="1">
        <f t="array" ref="U81">angleDecimal2Txt(O81)</f>
        <v>+00°00.00 (+00.0000) [+00°00'00.00]</v>
      </c>
      <c r="V81" s="402"/>
      <c r="W81" s="402"/>
      <c r="X81" s="402"/>
      <c r="Y81" s="402"/>
      <c r="Z81" s="402"/>
      <c r="AC81" s="6" t="s">
        <v>87</v>
      </c>
      <c r="AD81" s="8">
        <f>O81</f>
        <v>0</v>
      </c>
    </row>
    <row r="82" spans="1:67" ht="17.25" customHeight="1" thickTop="1" thickBot="1">
      <c r="G82" s="98"/>
      <c r="H82" s="545" t="s">
        <v>96</v>
      </c>
      <c r="I82" s="545"/>
      <c r="J82" s="545"/>
      <c r="K82" s="545"/>
      <c r="L82" s="545"/>
      <c r="M82" s="545"/>
      <c r="N82" s="545"/>
      <c r="O82" s="398">
        <f>AD83</f>
        <v>0</v>
      </c>
      <c r="P82" s="398"/>
      <c r="Q82" s="398"/>
      <c r="R82" s="398"/>
      <c r="S82" s="98" t="s">
        <v>71</v>
      </c>
      <c r="U82" s="402" t="str" cm="1">
        <f t="array" ref="U82">angleDecimal2Txt(O82)</f>
        <v>+00°00.00 (+00.0000) [+00°00'00.00]</v>
      </c>
      <c r="V82" s="402"/>
      <c r="W82" s="402"/>
      <c r="X82" s="402"/>
      <c r="Y82" s="402"/>
      <c r="Z82" s="402"/>
      <c r="AC82" s="6" t="s">
        <v>54</v>
      </c>
      <c r="AD82" s="6">
        <f>J19</f>
        <v>0</v>
      </c>
    </row>
    <row r="83" spans="1:67" ht="17.25" customHeight="1" thickTop="1" thickBot="1">
      <c r="K83" s="96"/>
      <c r="L83" s="96"/>
      <c r="M83" s="643" t="s">
        <v>178</v>
      </c>
      <c r="N83" s="643"/>
      <c r="O83" s="643"/>
      <c r="P83" s="643"/>
      <c r="Q83" s="96"/>
      <c r="R83" s="96"/>
      <c r="U83" s="96"/>
      <c r="V83" s="96"/>
      <c r="W83" s="96"/>
      <c r="X83" s="96"/>
      <c r="Y83" s="96"/>
      <c r="Z83" s="96"/>
      <c r="AC83" s="158" t="s">
        <v>95</v>
      </c>
      <c r="AD83" s="6">
        <f>0.0293 * SQRT(AD82)</f>
        <v>0</v>
      </c>
    </row>
    <row r="84" spans="1:67" ht="17.25" customHeight="1" thickTop="1" thickBot="1">
      <c r="G84" s="98"/>
      <c r="H84" s="446" t="s">
        <v>56</v>
      </c>
      <c r="I84" s="446"/>
      <c r="J84" s="446"/>
      <c r="K84" s="446"/>
      <c r="L84" s="446"/>
      <c r="M84" s="446"/>
      <c r="N84" s="446"/>
      <c r="O84" s="557">
        <f>O80-O81-O82</f>
        <v>8.9666666666666703</v>
      </c>
      <c r="P84" s="538"/>
      <c r="Q84" s="98" t="s">
        <v>71</v>
      </c>
      <c r="R84" s="563">
        <f>O84*D129</f>
        <v>0.15649785626215829</v>
      </c>
      <c r="S84" s="563"/>
      <c r="T84" s="119" t="s">
        <v>92</v>
      </c>
      <c r="U84" s="402" t="str" cm="1">
        <f t="array" ref="U84">angleDecimal2Txt(O84)</f>
        <v>+08°58.00 (+08.9666) [+08°58'00.00]</v>
      </c>
      <c r="V84" s="402"/>
      <c r="W84" s="402"/>
      <c r="X84" s="402"/>
      <c r="Y84" s="402"/>
      <c r="Z84" s="402"/>
    </row>
    <row r="85" spans="1:67" ht="17.25" customHeight="1" thickTop="1">
      <c r="C85" s="98"/>
      <c r="D85" s="98"/>
      <c r="E85" s="98"/>
      <c r="F85" s="98"/>
      <c r="G85" s="98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U85" s="96"/>
      <c r="V85" s="96"/>
      <c r="W85" s="96"/>
      <c r="X85" s="96"/>
      <c r="Y85" s="96"/>
      <c r="Z85" s="96"/>
    </row>
    <row r="86" spans="1:67" ht="17.25" customHeight="1">
      <c r="G86" s="98"/>
      <c r="H86" s="96"/>
      <c r="I86" s="96"/>
      <c r="J86" s="96"/>
      <c r="K86" s="96"/>
      <c r="L86" s="96"/>
      <c r="M86" s="559" t="s">
        <v>89</v>
      </c>
      <c r="N86" s="559"/>
      <c r="O86" s="559"/>
      <c r="P86" s="559"/>
      <c r="Q86" s="96"/>
      <c r="R86" s="96"/>
      <c r="U86" s="96"/>
      <c r="V86" s="96"/>
      <c r="W86" s="96"/>
      <c r="X86" s="96"/>
      <c r="Y86" s="96"/>
      <c r="Z86" s="96"/>
    </row>
    <row r="87" spans="1:67" ht="17.25" customHeight="1" thickBot="1">
      <c r="C87" s="98"/>
      <c r="D87" s="98"/>
      <c r="E87" s="98"/>
      <c r="F87" s="98"/>
      <c r="G87" s="98"/>
      <c r="M87" s="560" t="s">
        <v>243</v>
      </c>
      <c r="N87" s="560"/>
      <c r="O87" s="559"/>
      <c r="P87" s="559"/>
    </row>
    <row r="88" spans="1:67" ht="17.25" customHeight="1" thickTop="1" thickBot="1">
      <c r="A88" s="96"/>
      <c r="B88" s="96"/>
      <c r="C88" s="96"/>
      <c r="D88" s="96"/>
      <c r="E88" s="96"/>
      <c r="F88" s="98"/>
      <c r="G88" s="98"/>
      <c r="H88" s="398" t="s">
        <v>60</v>
      </c>
      <c r="I88" s="398"/>
      <c r="J88" s="398"/>
      <c r="K88" s="398"/>
      <c r="L88" s="398"/>
      <c r="M88" s="398"/>
      <c r="N88" s="398"/>
      <c r="O88" s="561">
        <f>J24</f>
        <v>0</v>
      </c>
      <c r="P88" s="562"/>
      <c r="Q88" s="562"/>
      <c r="R88" s="562"/>
      <c r="S88" s="98" t="s">
        <v>71</v>
      </c>
      <c r="U88" s="402" t="str" cm="1">
        <f t="array" ref="U88">angleDecimal2Txt(O88)</f>
        <v>+00°00.00 (+00.0000) [+00°00'00.00]</v>
      </c>
      <c r="V88" s="402"/>
      <c r="W88" s="402"/>
      <c r="X88" s="402"/>
      <c r="Y88" s="402"/>
      <c r="Z88" s="402"/>
      <c r="AC88" s="6" t="s">
        <v>350</v>
      </c>
      <c r="AD88" s="6">
        <f>O88*COS(R84)</f>
        <v>0</v>
      </c>
    </row>
    <row r="89" spans="1:67" customFormat="1" ht="17.25" customHeight="1" thickTop="1" thickBot="1">
      <c r="A89" s="96"/>
      <c r="B89" s="96"/>
      <c r="C89" s="96"/>
      <c r="D89" s="96"/>
      <c r="E89" s="96"/>
      <c r="F89" s="98"/>
      <c r="G89" s="98"/>
      <c r="H89" s="526" t="s">
        <v>244</v>
      </c>
      <c r="I89" s="527"/>
      <c r="J89" s="527"/>
      <c r="K89" s="527"/>
      <c r="L89" s="527"/>
      <c r="M89" s="527"/>
      <c r="N89" s="528"/>
      <c r="O89" s="390">
        <f>AD88</f>
        <v>0</v>
      </c>
      <c r="P89" s="390"/>
      <c r="Q89" s="390"/>
      <c r="R89" s="390"/>
      <c r="S89" s="98" t="s">
        <v>71</v>
      </c>
      <c r="T89" s="98"/>
      <c r="U89" s="402" t="str" cm="1">
        <f t="array" ref="U89">angleDecimal2Txt(O89)</f>
        <v>+00°00.00 (+00.0000) [+00°00'00.00]</v>
      </c>
      <c r="V89" s="402"/>
      <c r="W89" s="402"/>
      <c r="X89" s="402"/>
      <c r="Y89" s="402"/>
      <c r="Z89" s="402"/>
      <c r="AA89" s="98"/>
      <c r="AB89" s="145"/>
      <c r="BN89" s="106"/>
      <c r="BO89" s="98"/>
    </row>
    <row r="90" spans="1:67" customFormat="1" ht="17.25" customHeight="1" thickTop="1">
      <c r="A90" s="96"/>
      <c r="B90" s="96"/>
      <c r="C90" s="96"/>
      <c r="D90" s="96"/>
      <c r="E90" s="96"/>
      <c r="F90" s="98"/>
      <c r="G90" s="98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6"/>
      <c r="B91" s="96"/>
      <c r="C91" s="96"/>
      <c r="D91" s="96"/>
      <c r="E91" s="143"/>
      <c r="F91" s="98"/>
      <c r="G91" s="98"/>
      <c r="H91" s="96"/>
      <c r="I91" s="96"/>
      <c r="J91" s="96"/>
      <c r="K91" s="96"/>
      <c r="L91" s="96"/>
      <c r="M91" s="96"/>
      <c r="N91" s="96"/>
      <c r="O91" s="96"/>
      <c r="P91" s="98"/>
      <c r="Q91" s="98"/>
      <c r="R91" s="98"/>
      <c r="S91" s="512" t="s">
        <v>195</v>
      </c>
      <c r="T91" s="513"/>
      <c r="U91" s="514"/>
      <c r="V91" s="98"/>
      <c r="W91" s="98"/>
      <c r="X91" s="98"/>
      <c r="Y91" s="96"/>
      <c r="Z91" s="96"/>
      <c r="AA91" s="98"/>
      <c r="AB91" s="145"/>
      <c r="AC91" s="6" t="s">
        <v>57</v>
      </c>
      <c r="AD91" s="6" t="s">
        <v>352</v>
      </c>
      <c r="BN91" s="106"/>
      <c r="BO91" s="98"/>
    </row>
    <row r="92" spans="1:67" customFormat="1" ht="17.25" customHeight="1">
      <c r="A92" s="96"/>
      <c r="B92" s="96"/>
      <c r="C92" s="96"/>
      <c r="D92" s="96"/>
      <c r="E92" s="143"/>
      <c r="F92" s="98"/>
      <c r="G92" s="98"/>
      <c r="H92" s="398" t="s">
        <v>93</v>
      </c>
      <c r="I92" s="398"/>
      <c r="J92" s="398"/>
      <c r="K92" s="398"/>
      <c r="L92" s="398"/>
      <c r="M92" s="398"/>
      <c r="N92" s="398"/>
      <c r="O92" s="529">
        <f>S92</f>
        <v>10</v>
      </c>
      <c r="P92" s="530"/>
      <c r="Q92" s="530"/>
      <c r="R92" s="530"/>
      <c r="S92" s="640">
        <v>10</v>
      </c>
      <c r="T92" s="641"/>
      <c r="U92" s="642"/>
      <c r="V92" s="98"/>
      <c r="W92" s="98"/>
      <c r="X92" s="98"/>
      <c r="Y92" s="96"/>
      <c r="Z92" s="96"/>
      <c r="AA92" s="98"/>
      <c r="AB92" s="145"/>
      <c r="AC92" s="6" t="s">
        <v>353</v>
      </c>
      <c r="AD92" s="6">
        <f>1/TAN((O84 + 7.31 / (O84 + 4.4)) * D129)</f>
        <v>5.9670953924690036</v>
      </c>
      <c r="BN92" s="106"/>
      <c r="BO92" s="98"/>
    </row>
    <row r="93" spans="1:67" customFormat="1" ht="17.25" customHeight="1" thickBot="1">
      <c r="A93" s="96"/>
      <c r="B93" s="96"/>
      <c r="C93" s="96"/>
      <c r="D93" s="96"/>
      <c r="E93" s="96"/>
      <c r="F93" s="98"/>
      <c r="G93" s="98"/>
      <c r="H93" s="398" t="s">
        <v>94</v>
      </c>
      <c r="I93" s="398"/>
      <c r="J93" s="398"/>
      <c r="K93" s="398"/>
      <c r="L93" s="398"/>
      <c r="M93" s="398"/>
      <c r="N93" s="398"/>
      <c r="O93" s="529">
        <f>S93</f>
        <v>1010</v>
      </c>
      <c r="P93" s="530"/>
      <c r="Q93" s="530"/>
      <c r="R93" s="530"/>
      <c r="S93" s="640">
        <v>1010</v>
      </c>
      <c r="T93" s="641"/>
      <c r="U93" s="642"/>
      <c r="V93" s="98"/>
      <c r="W93" s="98"/>
      <c r="X93" s="98"/>
      <c r="Y93" s="96"/>
      <c r="Z93" s="96"/>
      <c r="AA93" s="98"/>
      <c r="AB93" s="145"/>
      <c r="AC93" s="6" t="s">
        <v>354</v>
      </c>
      <c r="AD93" s="6">
        <f>AD92/60</f>
        <v>9.9451589874483395E-2</v>
      </c>
      <c r="BN93" s="106"/>
      <c r="BO93" s="98"/>
    </row>
    <row r="94" spans="1:67" customFormat="1" ht="17.25" customHeight="1" thickTop="1" thickBot="1">
      <c r="A94" s="96"/>
      <c r="B94" s="96"/>
      <c r="C94" s="96"/>
      <c r="D94" s="96"/>
      <c r="E94" s="96"/>
      <c r="F94" s="98"/>
      <c r="G94" s="98"/>
      <c r="H94" s="526" t="s">
        <v>245</v>
      </c>
      <c r="I94" s="527"/>
      <c r="J94" s="527"/>
      <c r="K94" s="527"/>
      <c r="L94" s="527"/>
      <c r="M94" s="527"/>
      <c r="N94" s="528"/>
      <c r="O94" s="390">
        <f>AD95</f>
        <v>9.9381306065384825E-2</v>
      </c>
      <c r="P94" s="390"/>
      <c r="Q94" s="390"/>
      <c r="R94" s="390"/>
      <c r="S94" s="98" t="s">
        <v>71</v>
      </c>
      <c r="T94" s="98"/>
      <c r="U94" s="402" t="str" cm="1">
        <f t="array" ref="U94">angleDecimal2Txt(O94)</f>
        <v>+00°05.96 (+00.0993) [+00°05'57.77]</v>
      </c>
      <c r="V94" s="402"/>
      <c r="W94" s="402"/>
      <c r="X94" s="402"/>
      <c r="Y94" s="402"/>
      <c r="Z94" s="402"/>
      <c r="AA94" s="98"/>
      <c r="AB94" s="145"/>
      <c r="AC94" s="6" t="s">
        <v>128</v>
      </c>
      <c r="AD94" s="6">
        <f xml:space="preserve"> 0.28 * O93 / (273 + O92)</f>
        <v>0.99929328621908131</v>
      </c>
      <c r="BN94" s="106"/>
      <c r="BO94" s="98"/>
    </row>
    <row r="95" spans="1:67" customFormat="1" ht="17.25" customHeight="1" thickTop="1">
      <c r="A95" s="96"/>
      <c r="B95" s="96"/>
      <c r="C95" s="96"/>
      <c r="D95" s="96"/>
      <c r="E95" s="96"/>
      <c r="F95" s="98"/>
      <c r="G95" s="98"/>
      <c r="H95" s="96"/>
      <c r="I95" s="96"/>
      <c r="J95" s="96"/>
      <c r="K95" s="96"/>
      <c r="L95" s="96"/>
      <c r="M95" s="96"/>
      <c r="N95" s="96"/>
      <c r="O95" s="96"/>
      <c r="P95" s="98"/>
      <c r="Q95" s="98"/>
      <c r="R95" s="98"/>
      <c r="S95" s="98"/>
      <c r="T95" s="98"/>
      <c r="U95" s="98"/>
      <c r="V95" s="98"/>
      <c r="W95" s="98"/>
      <c r="X95" s="98"/>
      <c r="Y95" s="96"/>
      <c r="Z95" s="96"/>
      <c r="AA95" s="98"/>
      <c r="AB95" s="145"/>
      <c r="AC95" s="6" t="s">
        <v>351</v>
      </c>
      <c r="AD95" s="6">
        <f>AD94*AD93</f>
        <v>9.9381306065384825E-2</v>
      </c>
      <c r="BN95" s="106"/>
      <c r="BO95" s="98"/>
    </row>
    <row r="96" spans="1:67" customFormat="1" ht="17.25" customHeight="1">
      <c r="A96" s="96"/>
      <c r="B96" s="96"/>
      <c r="C96" s="96"/>
      <c r="D96" s="96"/>
      <c r="E96" s="96"/>
      <c r="F96" s="98"/>
      <c r="G96" s="98"/>
      <c r="H96" s="398" t="s">
        <v>134</v>
      </c>
      <c r="I96" s="398"/>
      <c r="J96" s="398"/>
      <c r="K96" s="398"/>
      <c r="L96" s="398"/>
      <c r="M96" s="398"/>
      <c r="N96" s="398"/>
      <c r="O96" s="515">
        <f>J28</f>
        <v>0</v>
      </c>
      <c r="P96" s="515"/>
      <c r="Q96" s="515"/>
      <c r="R96" s="515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 thickBot="1">
      <c r="A97" s="98"/>
      <c r="B97" s="96"/>
      <c r="C97" s="96"/>
      <c r="D97" s="96"/>
      <c r="E97" s="143"/>
      <c r="F97" s="143"/>
      <c r="G97" s="143"/>
      <c r="H97" s="398" t="s">
        <v>98</v>
      </c>
      <c r="I97" s="398"/>
      <c r="J97" s="398"/>
      <c r="K97" s="398"/>
      <c r="L97" s="398"/>
      <c r="M97" s="398"/>
      <c r="N97" s="398"/>
      <c r="O97" s="515" t="str">
        <f>J23</f>
        <v>Milieu</v>
      </c>
      <c r="P97" s="515"/>
      <c r="Q97" s="515"/>
      <c r="R97" s="515"/>
      <c r="S97" s="98"/>
      <c r="T97" s="98"/>
      <c r="U97" s="98"/>
      <c r="V97" s="98"/>
      <c r="W97" s="98"/>
      <c r="X97" s="98"/>
      <c r="Y97" s="98"/>
      <c r="Z97" s="98"/>
      <c r="AA97" s="98"/>
      <c r="AB97" s="145"/>
      <c r="AC97" s="6" t="s">
        <v>37</v>
      </c>
      <c r="AD97" s="378" t="str">
        <f>J22</f>
        <v>Etoile</v>
      </c>
      <c r="AE97" s="378"/>
      <c r="BN97" s="106"/>
      <c r="BO97" s="98"/>
    </row>
    <row r="98" spans="1:67" customFormat="1" ht="17.25" customHeight="1" thickTop="1" thickBot="1">
      <c r="A98" s="98"/>
      <c r="B98" s="98"/>
      <c r="C98" s="143"/>
      <c r="D98" s="143"/>
      <c r="E98" s="143"/>
      <c r="F98" s="143"/>
      <c r="G98" s="143"/>
      <c r="H98" s="531" t="s">
        <v>99</v>
      </c>
      <c r="I98" s="532"/>
      <c r="J98" s="532"/>
      <c r="K98" s="532"/>
      <c r="L98" s="532"/>
      <c r="M98" s="532"/>
      <c r="N98" s="533"/>
      <c r="O98" s="534">
        <f>AD101</f>
        <v>0</v>
      </c>
      <c r="P98" s="534"/>
      <c r="Q98" s="534"/>
      <c r="R98" s="534"/>
      <c r="S98" s="98" t="s">
        <v>71</v>
      </c>
      <c r="T98" s="98"/>
      <c r="U98" s="402" t="str" cm="1">
        <f t="array" ref="U98">angleDecimal2Txt(O98)</f>
        <v>+00°00.00 (+00.0000) [+00°00'00.00]</v>
      </c>
      <c r="V98" s="402"/>
      <c r="W98" s="402"/>
      <c r="X98" s="402"/>
      <c r="Y98" s="402"/>
      <c r="Z98" s="402"/>
      <c r="AA98" s="98"/>
      <c r="AB98" s="145"/>
      <c r="AC98" s="6" t="s">
        <v>358</v>
      </c>
      <c r="AD98" s="378" t="str">
        <f>O97</f>
        <v>Milieu</v>
      </c>
      <c r="AE98" s="378"/>
      <c r="BN98" s="106"/>
      <c r="BO98" s="98"/>
    </row>
    <row r="99" spans="1:67" customFormat="1" ht="17.25" customHeight="1" thickTop="1">
      <c r="A99" s="98"/>
      <c r="B99" s="98"/>
      <c r="C99" s="143"/>
      <c r="D99" s="143"/>
      <c r="E99" s="143"/>
      <c r="F99" s="143"/>
      <c r="G99" s="143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8"/>
      <c r="AB99" s="145"/>
      <c r="AC99" s="6" t="s">
        <v>359</v>
      </c>
      <c r="AD99" s="636">
        <f>HLOOKUP(AD98,AD27:AF28,2)</f>
        <v>-0.5</v>
      </c>
      <c r="AE99" s="636"/>
      <c r="BN99" s="106"/>
      <c r="BO99" s="98"/>
    </row>
    <row r="100" spans="1:67" customFormat="1" ht="17.25" customHeight="1">
      <c r="A100" s="98"/>
      <c r="B100" s="98"/>
      <c r="C100" s="143"/>
      <c r="D100" s="143"/>
      <c r="E100" s="143"/>
      <c r="F100" s="143"/>
      <c r="G100" s="542" t="s">
        <v>170</v>
      </c>
      <c r="H100" s="543"/>
      <c r="I100" s="543"/>
      <c r="J100" s="543"/>
      <c r="K100" s="543"/>
      <c r="L100" s="543"/>
      <c r="M100" s="543"/>
      <c r="N100" s="543"/>
      <c r="O100" s="543"/>
      <c r="P100" s="543"/>
      <c r="Q100" s="543"/>
      <c r="R100" s="543"/>
      <c r="S100" s="544"/>
      <c r="T100" s="96"/>
      <c r="U100" s="96"/>
      <c r="V100" s="96"/>
      <c r="W100" s="96"/>
      <c r="X100" s="96"/>
      <c r="Y100" s="96"/>
      <c r="Z100" s="96"/>
      <c r="AA100" s="98"/>
      <c r="AB100" s="145"/>
      <c r="AC100" s="6" t="s">
        <v>134</v>
      </c>
      <c r="AD100" s="6" t="str">
        <f>HLOOKUP(AD97,AD23:AF25,3)</f>
        <v>0.0'</v>
      </c>
      <c r="AE100" s="6" cm="1">
        <f t="array" ref="AE100">angleConvert2Decimal(AD100)</f>
        <v>0</v>
      </c>
      <c r="BN100" s="106"/>
      <c r="BO100" s="98"/>
    </row>
    <row r="101" spans="1:67" customFormat="1" ht="17.25" customHeight="1">
      <c r="A101" s="98"/>
      <c r="B101" s="98"/>
      <c r="C101" s="143"/>
      <c r="D101" s="143"/>
      <c r="E101" s="143"/>
      <c r="F101" s="143"/>
      <c r="G101" s="546" t="s">
        <v>183</v>
      </c>
      <c r="H101" s="548"/>
      <c r="I101" s="564" t="s">
        <v>175</v>
      </c>
      <c r="J101" s="565"/>
      <c r="K101" s="565"/>
      <c r="L101" s="565"/>
      <c r="M101" s="565"/>
      <c r="N101" s="566"/>
      <c r="O101" s="517">
        <f>(O89-O94-O82+O96/2) * 60</f>
        <v>-5.9628783639230898</v>
      </c>
      <c r="P101" s="518"/>
      <c r="Q101" s="518"/>
      <c r="R101" s="518"/>
      <c r="S101" s="521" t="s">
        <v>171</v>
      </c>
      <c r="T101" s="96"/>
      <c r="U101" s="96"/>
      <c r="V101" s="96"/>
      <c r="W101" s="96"/>
      <c r="X101" s="96"/>
      <c r="Y101" s="96"/>
      <c r="Z101" s="96"/>
      <c r="AA101" s="98"/>
      <c r="AB101" s="145"/>
      <c r="AC101" s="6" t="s">
        <v>359</v>
      </c>
      <c r="AD101" s="636">
        <f>AE100*AD99</f>
        <v>0</v>
      </c>
      <c r="AE101" s="636"/>
      <c r="BN101" s="106"/>
      <c r="BO101" s="98"/>
    </row>
    <row r="102" spans="1:67" customFormat="1" ht="17.25" customHeight="1">
      <c r="A102" s="98"/>
      <c r="B102" s="98"/>
      <c r="C102" s="143"/>
      <c r="D102" s="143"/>
      <c r="E102" s="143"/>
      <c r="F102" s="143"/>
      <c r="G102" s="644"/>
      <c r="H102" s="645"/>
      <c r="I102" s="567" t="s">
        <v>179</v>
      </c>
      <c r="J102" s="568"/>
      <c r="K102" s="568"/>
      <c r="L102" s="568"/>
      <c r="M102" s="568"/>
      <c r="N102" s="569"/>
      <c r="O102" s="519"/>
      <c r="P102" s="520"/>
      <c r="Q102" s="520"/>
      <c r="R102" s="520"/>
      <c r="S102" s="522"/>
      <c r="T102" s="96"/>
      <c r="U102" s="96"/>
      <c r="V102" s="96"/>
      <c r="W102" s="96"/>
      <c r="X102" s="96"/>
      <c r="Y102" s="96"/>
      <c r="Z102" s="96"/>
      <c r="AA102" s="98"/>
      <c r="AB102" s="145"/>
      <c r="BN102" s="106"/>
      <c r="BO102" s="98"/>
    </row>
    <row r="103" spans="1:67" customFormat="1" ht="17.25" customHeight="1">
      <c r="A103" s="98"/>
      <c r="B103" s="98"/>
      <c r="C103" s="143"/>
      <c r="D103" s="143"/>
      <c r="E103" s="143"/>
      <c r="F103" s="143"/>
      <c r="G103" s="143"/>
      <c r="H103" s="96"/>
      <c r="I103" s="564" t="s">
        <v>176</v>
      </c>
      <c r="J103" s="565"/>
      <c r="K103" s="565"/>
      <c r="L103" s="565"/>
      <c r="M103" s="565"/>
      <c r="N103" s="566"/>
      <c r="O103" s="518">
        <f>(O89-O94+O96/2)*60</f>
        <v>-5.9628783639230898</v>
      </c>
      <c r="P103" s="518"/>
      <c r="Q103" s="518"/>
      <c r="R103" s="518"/>
      <c r="S103" s="521" t="s">
        <v>171</v>
      </c>
      <c r="T103" s="96"/>
      <c r="U103" s="96"/>
      <c r="V103" s="96"/>
      <c r="W103" s="96"/>
      <c r="X103" s="96"/>
      <c r="Y103" s="96"/>
      <c r="Z103" s="96"/>
      <c r="AA103" s="98"/>
      <c r="AB103" s="145"/>
      <c r="BN103" s="106"/>
      <c r="BO103" s="98"/>
    </row>
    <row r="104" spans="1:67" customFormat="1" ht="17.25" customHeight="1">
      <c r="A104" s="98"/>
      <c r="B104" s="98"/>
      <c r="C104" s="143"/>
      <c r="D104" s="143"/>
      <c r="E104" s="143"/>
      <c r="F104" s="143"/>
      <c r="G104" s="143"/>
      <c r="H104" s="96"/>
      <c r="I104" s="523" t="s">
        <v>177</v>
      </c>
      <c r="J104" s="524"/>
      <c r="K104" s="524"/>
      <c r="L104" s="524"/>
      <c r="M104" s="524"/>
      <c r="N104" s="525"/>
      <c r="O104" s="520"/>
      <c r="P104" s="520"/>
      <c r="Q104" s="520"/>
      <c r="R104" s="520"/>
      <c r="S104" s="522"/>
      <c r="T104" s="96"/>
      <c r="U104" s="96"/>
      <c r="V104" s="96"/>
      <c r="W104" s="96"/>
      <c r="X104" s="96"/>
      <c r="Y104" s="96"/>
      <c r="Z104" s="96"/>
      <c r="AA104" s="98"/>
      <c r="AB104" s="145"/>
      <c r="BN104" s="106"/>
      <c r="BO104" s="98"/>
    </row>
    <row r="105" spans="1:67" customFormat="1" ht="17.25" customHeight="1">
      <c r="A105" s="98"/>
      <c r="B105" s="98"/>
      <c r="C105" s="143"/>
      <c r="D105" s="143"/>
      <c r="E105" s="143"/>
      <c r="F105" s="143"/>
      <c r="G105" s="143"/>
      <c r="H105" s="96"/>
      <c r="I105" s="489" t="s">
        <v>99</v>
      </c>
      <c r="J105" s="489"/>
      <c r="K105" s="489"/>
      <c r="L105" s="489"/>
      <c r="M105" s="489"/>
      <c r="N105" s="489"/>
      <c r="O105" s="490">
        <f>O98*60</f>
        <v>0</v>
      </c>
      <c r="P105" s="491"/>
      <c r="Q105" s="491"/>
      <c r="R105" s="491"/>
      <c r="S105" s="159" t="s">
        <v>171</v>
      </c>
      <c r="T105" s="96"/>
      <c r="U105" s="96"/>
      <c r="V105" s="96"/>
      <c r="W105" s="96"/>
      <c r="X105" s="96"/>
      <c r="Y105" s="96"/>
      <c r="Z105" s="96"/>
      <c r="AA105" s="98"/>
      <c r="AB105" s="145"/>
      <c r="BN105" s="106"/>
      <c r="BO105" s="98"/>
    </row>
    <row r="106" spans="1:67" customFormat="1" ht="17.25" customHeight="1" thickBot="1">
      <c r="A106" s="98"/>
      <c r="B106" s="98"/>
      <c r="C106" s="143"/>
      <c r="D106" s="143"/>
      <c r="E106" s="143"/>
      <c r="F106" s="143"/>
      <c r="G106" s="143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8"/>
      <c r="T106" s="98"/>
      <c r="U106" s="98"/>
      <c r="V106" s="98"/>
      <c r="W106" s="98"/>
      <c r="X106" s="98"/>
      <c r="Y106" s="98"/>
      <c r="Z106" s="98"/>
      <c r="AA106" s="98"/>
      <c r="AB106" s="145"/>
      <c r="BN106" s="106"/>
      <c r="BO106" s="98"/>
    </row>
    <row r="107" spans="1:67" customFormat="1" ht="17.25" customHeight="1" thickTop="1" thickBot="1">
      <c r="A107" s="98"/>
      <c r="B107" s="98"/>
      <c r="C107" s="143"/>
      <c r="D107" s="143"/>
      <c r="E107" s="143"/>
      <c r="F107" s="143"/>
      <c r="G107" s="143"/>
      <c r="H107" s="535" t="s">
        <v>246</v>
      </c>
      <c r="I107" s="536"/>
      <c r="J107" s="536"/>
      <c r="K107" s="536"/>
      <c r="L107" s="536"/>
      <c r="M107" s="536"/>
      <c r="N107" s="537"/>
      <c r="O107" s="538">
        <f>O84-O94+O89+O98</f>
        <v>8.8672853606012847</v>
      </c>
      <c r="P107" s="390"/>
      <c r="Q107" s="390"/>
      <c r="R107" s="390"/>
      <c r="S107" s="98" t="s">
        <v>71</v>
      </c>
      <c r="T107" s="98"/>
      <c r="U107" s="402" t="str" cm="1">
        <f t="array" ref="U107">angleDecimal2Txt(O107)</f>
        <v>+08°52.03 (+08.8672) [+08°52'02.22]</v>
      </c>
      <c r="V107" s="402"/>
      <c r="W107" s="402"/>
      <c r="X107" s="402"/>
      <c r="Y107" s="402"/>
      <c r="Z107" s="402"/>
      <c r="AA107" s="98"/>
      <c r="AB107" s="145"/>
      <c r="BN107" s="106"/>
      <c r="BO107" s="98"/>
    </row>
    <row r="108" spans="1:67" customFormat="1" ht="17.25" customHeight="1" thickTop="1">
      <c r="A108" s="98"/>
      <c r="B108" s="98"/>
      <c r="C108" s="143"/>
      <c r="D108" s="143"/>
      <c r="E108" s="143"/>
      <c r="F108" s="143"/>
      <c r="G108" s="143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145"/>
      <c r="BN108" s="106"/>
      <c r="BO108" s="98"/>
    </row>
    <row r="109" spans="1:67" customFormat="1" ht="17.25" customHeight="1">
      <c r="A109" s="98"/>
      <c r="B109" s="98"/>
      <c r="C109" s="143"/>
      <c r="D109" s="143"/>
      <c r="E109" s="143"/>
      <c r="F109" s="539" t="s">
        <v>91</v>
      </c>
      <c r="G109" s="539"/>
      <c r="H109" s="539"/>
      <c r="I109" s="539"/>
      <c r="J109" s="390">
        <f>IF(G78=AD78,O115,"---")</f>
        <v>9.1383333333333372</v>
      </c>
      <c r="K109" s="390"/>
      <c r="L109" s="390"/>
      <c r="M109" s="98"/>
      <c r="N109" s="98"/>
      <c r="O109" s="98"/>
      <c r="P109" s="98"/>
      <c r="Q109" s="98"/>
      <c r="R109" s="120" t="s">
        <v>112</v>
      </c>
      <c r="S109" s="98" t="s">
        <v>40</v>
      </c>
      <c r="T109" s="98"/>
      <c r="U109" s="98"/>
      <c r="V109" s="98"/>
      <c r="W109" s="98"/>
      <c r="X109" s="98"/>
      <c r="Y109" s="98"/>
      <c r="Z109" s="98"/>
      <c r="AA109" s="98"/>
      <c r="AB109" s="145"/>
      <c r="BN109" s="106"/>
      <c r="BO109" s="98"/>
    </row>
    <row r="110" spans="1:67" customFormat="1" ht="17.25" customHeight="1">
      <c r="A110" s="98"/>
      <c r="B110" s="98"/>
      <c r="C110" s="143"/>
      <c r="D110" s="143"/>
      <c r="E110" s="143"/>
      <c r="F110" s="143"/>
      <c r="G110" s="143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121" t="s">
        <v>108</v>
      </c>
      <c r="S110" s="98" t="s">
        <v>110</v>
      </c>
      <c r="T110" s="98"/>
      <c r="U110" s="98"/>
      <c r="V110" s="98"/>
      <c r="W110" s="98"/>
      <c r="X110" s="98"/>
      <c r="Y110" s="98"/>
      <c r="Z110" s="98"/>
      <c r="AA110" s="98"/>
      <c r="AB110" s="145"/>
      <c r="BN110" s="106"/>
      <c r="BO110" s="98"/>
    </row>
    <row r="111" spans="1:67" customFormat="1" ht="17.25" customHeight="1">
      <c r="A111" s="98"/>
      <c r="B111" s="98"/>
      <c r="C111" s="143"/>
      <c r="D111" s="143"/>
      <c r="E111" s="143"/>
      <c r="F111" s="143"/>
      <c r="G111" s="143"/>
      <c r="H111" s="98" t="s">
        <v>100</v>
      </c>
      <c r="I111" s="122" t="s">
        <v>102</v>
      </c>
      <c r="J111" s="98" t="s">
        <v>88</v>
      </c>
      <c r="K111" s="122" t="s">
        <v>105</v>
      </c>
      <c r="L111" s="98" t="s">
        <v>87</v>
      </c>
      <c r="M111" s="98"/>
      <c r="N111" s="122" t="s">
        <v>106</v>
      </c>
      <c r="O111" s="98"/>
      <c r="P111" s="98"/>
      <c r="Q111" s="122" t="s">
        <v>107</v>
      </c>
      <c r="R111" s="123" t="s">
        <v>109</v>
      </c>
      <c r="S111" s="98" t="s">
        <v>111</v>
      </c>
      <c r="T111" s="98"/>
      <c r="U111" s="98"/>
      <c r="AB111" s="145"/>
      <c r="BN111" s="106"/>
      <c r="BO111" s="98"/>
    </row>
    <row r="112" spans="1:67" customFormat="1" ht="17.25" customHeight="1" thickBot="1">
      <c r="A112" s="98"/>
      <c r="B112" s="98"/>
      <c r="C112" s="143"/>
      <c r="D112" s="143"/>
      <c r="E112" s="143"/>
      <c r="F112" s="143"/>
      <c r="G112" s="143"/>
      <c r="H112" s="98"/>
      <c r="I112" s="122"/>
      <c r="J112" s="124">
        <f>O80</f>
        <v>8.9666666666666703</v>
      </c>
      <c r="K112" s="122" t="s">
        <v>105</v>
      </c>
      <c r="L112" s="125">
        <f>O81</f>
        <v>0</v>
      </c>
      <c r="M112" s="98"/>
      <c r="N112" s="918" t="s">
        <v>250</v>
      </c>
      <c r="O112" s="918"/>
      <c r="P112" s="918"/>
      <c r="Q112" s="122" t="s">
        <v>107</v>
      </c>
      <c r="R112" s="126">
        <v>0</v>
      </c>
      <c r="S112" s="98"/>
      <c r="T112" s="98"/>
      <c r="U112" s="98"/>
      <c r="AB112" s="145"/>
      <c r="BN112" s="106"/>
      <c r="BO112" s="98"/>
    </row>
    <row r="113" spans="1:67" customFormat="1" ht="17.25" customHeight="1" thickTop="1" thickBot="1">
      <c r="A113" s="98"/>
      <c r="B113" s="98"/>
      <c r="C113" s="143"/>
      <c r="D113" s="143"/>
      <c r="E113" s="143"/>
      <c r="F113" s="143"/>
      <c r="G113" s="143"/>
      <c r="H113" s="98"/>
      <c r="I113" s="122"/>
      <c r="K113" s="122"/>
      <c r="L113" s="160" cm="1">
        <f t="array" ref="L113">angleConvert2Decimal(L112)</f>
        <v>0</v>
      </c>
      <c r="N113" s="917" cm="1">
        <f t="array" ref="N113">angleConvert2Decimal(N112)</f>
        <v>0.17166666666666669</v>
      </c>
      <c r="O113" s="917"/>
      <c r="P113" s="917"/>
      <c r="Q113" s="41"/>
      <c r="R113" s="160" cm="1">
        <f t="array" ref="R113">angleConvert2Decimal(R112)</f>
        <v>0</v>
      </c>
      <c r="T113" s="13" t="s">
        <v>139</v>
      </c>
      <c r="U113" s="13"/>
      <c r="V113" s="13">
        <f>R113+N113</f>
        <v>0.17166666666666669</v>
      </c>
      <c r="W113" s="412" t="str" cm="1">
        <f t="array" ref="W113">angleDecimal2Txt(V113)</f>
        <v>+00°10.30 (+00.1716) [+00°10'18.00]</v>
      </c>
      <c r="X113" s="413"/>
      <c r="Y113" s="413"/>
      <c r="Z113" s="413"/>
      <c r="AA113" s="414"/>
      <c r="AB113" s="145"/>
      <c r="BN113" s="106"/>
      <c r="BO113" s="98"/>
    </row>
    <row r="114" spans="1:67" customFormat="1" ht="17.25" customHeight="1" thickTop="1" thickBot="1">
      <c r="A114" s="98"/>
      <c r="B114" s="98"/>
      <c r="C114" s="143"/>
      <c r="D114" s="143"/>
      <c r="E114" s="143"/>
      <c r="F114" s="143"/>
      <c r="G114" s="143"/>
      <c r="H114" s="98"/>
      <c r="I114" s="122"/>
      <c r="J114" s="98"/>
      <c r="K114" s="122"/>
      <c r="L114" s="98"/>
      <c r="M114" s="98"/>
      <c r="N114" s="122"/>
      <c r="O114" s="98"/>
      <c r="P114" s="98"/>
      <c r="Q114" s="122"/>
      <c r="R114" s="127"/>
      <c r="S114" s="98"/>
      <c r="T114" s="98"/>
      <c r="U114" s="98"/>
      <c r="V114" s="98"/>
      <c r="W114" s="98"/>
      <c r="X114" s="98"/>
      <c r="Y114" s="98"/>
      <c r="Z114" s="98"/>
      <c r="AA114" s="98"/>
      <c r="AB114" s="145"/>
      <c r="BN114" s="106"/>
      <c r="BO114" s="98"/>
    </row>
    <row r="115" spans="1:67" customFormat="1" ht="17.25" customHeight="1" thickTop="1" thickBot="1">
      <c r="A115" s="98"/>
      <c r="B115" s="98"/>
      <c r="C115" s="143"/>
      <c r="D115" s="143"/>
      <c r="E115" s="143"/>
      <c r="F115" s="143"/>
      <c r="G115" s="143"/>
      <c r="H115" s="535" t="s">
        <v>249</v>
      </c>
      <c r="I115" s="536"/>
      <c r="J115" s="536"/>
      <c r="K115" s="536"/>
      <c r="L115" s="536"/>
      <c r="M115" s="536"/>
      <c r="N115" s="537"/>
      <c r="O115" s="538">
        <f>J112-L113+N113+R113</f>
        <v>9.1383333333333372</v>
      </c>
      <c r="P115" s="390"/>
      <c r="Q115" s="390"/>
      <c r="R115" s="390"/>
      <c r="S115" s="98" t="s">
        <v>71</v>
      </c>
      <c r="T115" s="98"/>
      <c r="U115" s="402" t="str" cm="1">
        <f t="array" ref="U115">angleDecimal2Txt(O115)</f>
        <v>+09°08.30 (+09.1383) [+09°08'18.00]</v>
      </c>
      <c r="V115" s="402"/>
      <c r="W115" s="402"/>
      <c r="X115" s="402"/>
      <c r="Y115" s="402"/>
      <c r="Z115" s="402"/>
      <c r="AA115" s="98"/>
      <c r="AB115" s="145"/>
      <c r="BN115" s="106"/>
      <c r="BO115" s="98"/>
    </row>
    <row r="116" spans="1:67" customFormat="1" ht="17.25" customHeight="1" thickTop="1" thickBot="1">
      <c r="A116" s="98"/>
      <c r="B116" s="98"/>
      <c r="C116" s="143"/>
      <c r="D116" s="128"/>
      <c r="E116" s="143"/>
      <c r="F116" s="143"/>
      <c r="G116" s="143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145"/>
      <c r="BN116" s="106"/>
      <c r="BO116" s="98"/>
    </row>
    <row r="117" spans="1:67" customFormat="1" ht="17.25" customHeight="1" thickBot="1">
      <c r="A117" s="98"/>
      <c r="B117" s="107" t="s">
        <v>52</v>
      </c>
      <c r="C117" s="108"/>
      <c r="D117" s="129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46"/>
      <c r="BN117" s="106"/>
      <c r="BO117" s="98"/>
    </row>
    <row r="118" spans="1:67" customFormat="1" ht="17.2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507" t="s">
        <v>113</v>
      </c>
      <c r="P118" s="507"/>
      <c r="Q118" s="507"/>
      <c r="R118" s="507"/>
      <c r="S118" s="507"/>
      <c r="T118" s="507"/>
      <c r="U118" s="507"/>
      <c r="V118" s="507"/>
      <c r="W118" s="507"/>
      <c r="X118" s="507"/>
      <c r="Y118" s="507"/>
      <c r="Z118" s="507"/>
      <c r="AA118" s="507"/>
      <c r="AB118" s="145"/>
      <c r="BN118" s="106"/>
      <c r="BO118" s="98"/>
    </row>
    <row r="119" spans="1:67" customFormat="1" ht="17.25" customHeight="1">
      <c r="A119" s="98"/>
      <c r="B119" s="98"/>
      <c r="C119" s="96"/>
      <c r="D119" s="96"/>
      <c r="E119" s="498" t="s">
        <v>24</v>
      </c>
      <c r="F119" s="499"/>
      <c r="G119" s="499"/>
      <c r="H119" s="499"/>
      <c r="I119" s="401" t="e">
        <f>AD121</f>
        <v>#NAME?</v>
      </c>
      <c r="J119" s="401"/>
      <c r="K119" s="401"/>
      <c r="L119" s="401"/>
      <c r="M119" s="401"/>
      <c r="N119" s="98"/>
      <c r="O119" s="389" t="s">
        <v>114</v>
      </c>
      <c r="P119" s="389"/>
      <c r="Q119" s="389" t="e">
        <f>D</f>
        <v>#NAME?</v>
      </c>
      <c r="R119" s="389"/>
      <c r="S119" s="389"/>
      <c r="T119" s="484" t="s">
        <v>71</v>
      </c>
      <c r="U119" s="403" t="e">
        <f>Q119*$D$129</f>
        <v>#NAME?</v>
      </c>
      <c r="V119" s="404"/>
      <c r="W119" s="482"/>
      <c r="X119" s="484" t="s">
        <v>92</v>
      </c>
      <c r="Y119" s="98"/>
      <c r="Z119" s="98"/>
      <c r="AA119" s="98"/>
      <c r="AB119" s="145"/>
      <c r="AC119" s="6" t="s">
        <v>360</v>
      </c>
      <c r="AD119" s="6" t="e">
        <f>SIN(U119)*SIN(U120)+COS(U119)*COS(U120)*COS(U121)</f>
        <v>#NAME?</v>
      </c>
      <c r="AE119" s="6"/>
      <c r="BN119" s="106"/>
      <c r="BO119" s="98"/>
    </row>
    <row r="120" spans="1:67" customFormat="1" ht="17.25" customHeight="1" thickBot="1">
      <c r="A120" s="98"/>
      <c r="B120" s="98"/>
      <c r="C120" s="96"/>
      <c r="D120" s="96"/>
      <c r="E120" s="501"/>
      <c r="F120" s="502"/>
      <c r="G120" s="502"/>
      <c r="H120" s="502"/>
      <c r="I120" s="401"/>
      <c r="J120" s="401"/>
      <c r="K120" s="401"/>
      <c r="L120" s="401"/>
      <c r="M120" s="401"/>
      <c r="N120" s="130" t="s">
        <v>184</v>
      </c>
      <c r="O120" s="389" t="s">
        <v>115</v>
      </c>
      <c r="P120" s="389"/>
      <c r="Q120" s="389" t="e">
        <f>L</f>
        <v>#NAME?</v>
      </c>
      <c r="R120" s="389"/>
      <c r="S120" s="389"/>
      <c r="T120" s="484"/>
      <c r="U120" s="403" t="e">
        <f>Q120*$D$129</f>
        <v>#NAME?</v>
      </c>
      <c r="V120" s="404"/>
      <c r="W120" s="482"/>
      <c r="X120" s="484"/>
      <c r="Y120" s="98"/>
      <c r="Z120" s="98"/>
      <c r="AA120" s="98"/>
      <c r="AB120" s="145"/>
      <c r="AC120" s="6" t="s">
        <v>361</v>
      </c>
      <c r="AD120" s="6" t="e">
        <f>ASIN(AD119)</f>
        <v>#NAME?</v>
      </c>
      <c r="AE120" s="6" t="s">
        <v>92</v>
      </c>
      <c r="BN120" s="106"/>
      <c r="BO120" s="98"/>
    </row>
    <row r="121" spans="1:67" customFormat="1" ht="17.25" customHeight="1" thickTop="1" thickBot="1">
      <c r="A121" s="98"/>
      <c r="B121" s="98"/>
      <c r="C121" s="96"/>
      <c r="D121" s="96"/>
      <c r="E121" s="504"/>
      <c r="F121" s="505"/>
      <c r="G121" s="505"/>
      <c r="H121" s="505"/>
      <c r="I121" s="402" t="e" cm="1">
        <f t="array" ref="I121">angleDecimal2Txt(A)</f>
        <v>#VALUE!</v>
      </c>
      <c r="J121" s="402"/>
      <c r="K121" s="402"/>
      <c r="L121" s="402"/>
      <c r="M121" s="402"/>
      <c r="N121" s="98"/>
      <c r="O121" s="389" t="s">
        <v>51</v>
      </c>
      <c r="P121" s="389"/>
      <c r="Q121" s="389">
        <f>F73</f>
        <v>349.23883388888891</v>
      </c>
      <c r="R121" s="389"/>
      <c r="S121" s="389"/>
      <c r="T121" s="484"/>
      <c r="U121" s="403">
        <f>Q121*$D$129</f>
        <v>6.0953675271866636</v>
      </c>
      <c r="V121" s="404"/>
      <c r="W121" s="482"/>
      <c r="X121" s="484"/>
      <c r="Y121" s="98"/>
      <c r="Z121" s="98"/>
      <c r="AA121" s="98"/>
      <c r="AB121" s="145"/>
      <c r="AC121" s="6"/>
      <c r="AD121" s="6" t="e">
        <f>AD120*D130</f>
        <v>#NAME?</v>
      </c>
      <c r="AE121" s="6" t="s">
        <v>71</v>
      </c>
      <c r="BN121" s="106"/>
      <c r="BO121" s="98"/>
    </row>
    <row r="122" spans="1:67" customFormat="1" ht="17.25" customHeight="1" thickTop="1">
      <c r="A122" s="98"/>
      <c r="B122" s="98"/>
      <c r="C122" s="96"/>
      <c r="D122" s="96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145"/>
      <c r="BN122" s="106"/>
      <c r="BO122" s="98"/>
    </row>
    <row r="123" spans="1:67" customFormat="1" ht="17.25" customHeight="1">
      <c r="A123" s="98"/>
      <c r="B123" s="98"/>
      <c r="C123" s="96"/>
      <c r="D123" s="96"/>
      <c r="E123" s="498" t="s">
        <v>31</v>
      </c>
      <c r="F123" s="499"/>
      <c r="G123" s="499"/>
      <c r="H123" s="499"/>
      <c r="I123" s="401">
        <f>F77</f>
        <v>9.1383333333333372</v>
      </c>
      <c r="J123" s="401"/>
      <c r="K123" s="401"/>
      <c r="L123" s="401"/>
      <c r="M123" s="401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145"/>
      <c r="BN123" s="106"/>
      <c r="BO123" s="98"/>
    </row>
    <row r="124" spans="1:67" customFormat="1" ht="17.25" customHeight="1" thickBot="1">
      <c r="A124" s="98"/>
      <c r="B124" s="98"/>
      <c r="C124" s="96"/>
      <c r="D124" s="96"/>
      <c r="E124" s="501"/>
      <c r="F124" s="502"/>
      <c r="G124" s="502"/>
      <c r="H124" s="502"/>
      <c r="I124" s="401"/>
      <c r="J124" s="401"/>
      <c r="K124" s="401"/>
      <c r="L124" s="401"/>
      <c r="M124" s="401"/>
      <c r="N124" s="98"/>
      <c r="O124" s="376" t="s">
        <v>33</v>
      </c>
      <c r="P124" s="377"/>
      <c r="Q124" s="377"/>
      <c r="R124" s="377"/>
      <c r="S124" s="483"/>
      <c r="T124" s="131" t="e">
        <f>I123-A</f>
        <v>#NAME?</v>
      </c>
      <c r="U124" s="132" t="s">
        <v>34</v>
      </c>
      <c r="V124" s="133" t="e">
        <f>T124*60</f>
        <v>#NAME?</v>
      </c>
      <c r="W124" s="132" t="s">
        <v>149</v>
      </c>
      <c r="X124" s="96"/>
      <c r="Y124" s="485" t="e">
        <f>IF(T124&gt;0,"Vers Pg", "Oppose de Pg")</f>
        <v>#NAME?</v>
      </c>
      <c r="Z124" s="485"/>
      <c r="AA124" s="98"/>
      <c r="AB124" s="145"/>
      <c r="BN124" s="106"/>
      <c r="BO124" s="98"/>
    </row>
    <row r="125" spans="1:67" customFormat="1" ht="17.25" customHeight="1" thickTop="1" thickBot="1">
      <c r="A125" s="98"/>
      <c r="B125" s="98"/>
      <c r="C125" s="96"/>
      <c r="D125" s="96"/>
      <c r="E125" s="504"/>
      <c r="F125" s="505"/>
      <c r="G125" s="505"/>
      <c r="H125" s="505"/>
      <c r="I125" s="402" t="str" cm="1">
        <f t="array" ref="I125">angleDecimal2Txt(I123)</f>
        <v>+09°08.30 (+09.1383) [+09°08'18.00]</v>
      </c>
      <c r="J125" s="402"/>
      <c r="K125" s="402"/>
      <c r="L125" s="402"/>
      <c r="M125" s="402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145"/>
      <c r="BN125" s="106"/>
      <c r="BO125" s="98"/>
    </row>
    <row r="126" spans="1:67" customFormat="1" ht="17.25" customHeight="1" thickTop="1">
      <c r="A126" s="98"/>
      <c r="B126" s="98"/>
      <c r="C126" s="96"/>
      <c r="D126" s="96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6"/>
      <c r="U126" s="96"/>
      <c r="V126" s="96"/>
      <c r="W126" s="96"/>
      <c r="X126" s="96"/>
      <c r="Y126" s="96"/>
      <c r="Z126" s="98"/>
      <c r="AA126" s="98"/>
      <c r="AB126" s="145"/>
      <c r="BN126" s="106"/>
      <c r="BO126" s="98"/>
    </row>
    <row r="127" spans="1:67" customFormat="1" ht="17.25" customHeight="1" thickBot="1">
      <c r="A127" s="98"/>
      <c r="B127" s="98"/>
      <c r="C127" s="98"/>
      <c r="D127" s="98"/>
      <c r="E127" s="98"/>
      <c r="F127" s="98"/>
      <c r="G127" s="143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6"/>
      <c r="U127" s="96"/>
      <c r="V127" s="96"/>
      <c r="W127" s="96"/>
      <c r="X127" s="96"/>
      <c r="Y127" s="96"/>
      <c r="Z127" s="98"/>
      <c r="AA127" s="98"/>
      <c r="AB127" s="145"/>
      <c r="BN127" s="106"/>
      <c r="BO127" s="98"/>
    </row>
    <row r="128" spans="1:67" customFormat="1" ht="17.25" customHeight="1">
      <c r="A128" s="369" t="s">
        <v>138</v>
      </c>
      <c r="B128" s="370"/>
      <c r="C128" s="370"/>
      <c r="D128" s="371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6"/>
      <c r="U128" s="96"/>
      <c r="V128" s="96"/>
      <c r="W128" s="96"/>
      <c r="X128" s="96"/>
      <c r="Y128" s="96"/>
      <c r="Z128" s="98"/>
      <c r="AA128" s="98"/>
      <c r="AB128" s="145"/>
      <c r="BN128" s="106"/>
      <c r="BO128" s="98"/>
    </row>
    <row r="129" spans="1:67" customFormat="1" ht="17.25" customHeight="1">
      <c r="A129" s="134" t="s">
        <v>62</v>
      </c>
      <c r="B129" s="135" t="s">
        <v>121</v>
      </c>
      <c r="C129" s="136" t="s">
        <v>310</v>
      </c>
      <c r="D129" s="137">
        <f>PI()/180</f>
        <v>1.7453292519943295E-2</v>
      </c>
      <c r="E129" s="98"/>
      <c r="F129" s="143"/>
      <c r="G129" s="143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145"/>
      <c r="BN129" s="106"/>
      <c r="BO129" s="98"/>
    </row>
    <row r="130" spans="1:67" customFormat="1" ht="17.25" customHeight="1" thickBot="1">
      <c r="A130" s="101" t="s">
        <v>123</v>
      </c>
      <c r="B130" s="138" t="s">
        <v>121</v>
      </c>
      <c r="C130" s="139" t="s">
        <v>311</v>
      </c>
      <c r="D130" s="140">
        <f>180/PI()</f>
        <v>57.295779513082323</v>
      </c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508" t="s">
        <v>116</v>
      </c>
      <c r="P130" s="509"/>
      <c r="Q130" s="509"/>
      <c r="R130" s="509"/>
      <c r="S130" s="509"/>
      <c r="T130" s="509"/>
      <c r="U130" s="509"/>
      <c r="V130" s="509"/>
      <c r="W130" s="509"/>
      <c r="X130" s="509"/>
      <c r="Y130" s="509"/>
      <c r="Z130" s="509"/>
      <c r="AA130" s="509"/>
      <c r="AB130" s="145"/>
      <c r="AC130" s="6" t="s">
        <v>117</v>
      </c>
      <c r="AD130" s="6" t="e">
        <f>(SIN(U131)-SIN(U132)*SIN(AD120))/(COS(U132)*COS(AD120))</f>
        <v>#NAME?</v>
      </c>
      <c r="AE130" s="6"/>
      <c r="BN130" s="106"/>
      <c r="BO130" s="98"/>
    </row>
    <row r="131" spans="1:67" customFormat="1" ht="17.25" customHeight="1">
      <c r="A131" s="96"/>
      <c r="B131" s="96"/>
      <c r="C131" s="96"/>
      <c r="D131" s="96"/>
      <c r="E131" s="498" t="s">
        <v>124</v>
      </c>
      <c r="F131" s="499"/>
      <c r="G131" s="499"/>
      <c r="H131" s="500"/>
      <c r="I131" s="394" t="e">
        <f>AD132</f>
        <v>#NAME?</v>
      </c>
      <c r="J131" s="394"/>
      <c r="K131" s="394"/>
      <c r="L131" s="394"/>
      <c r="M131" s="395"/>
      <c r="N131" s="98"/>
      <c r="O131" s="389" t="s">
        <v>114</v>
      </c>
      <c r="P131" s="389"/>
      <c r="Q131" s="389" t="e">
        <f>D</f>
        <v>#NAME?</v>
      </c>
      <c r="R131" s="389"/>
      <c r="S131" s="389"/>
      <c r="T131" s="484" t="s">
        <v>71</v>
      </c>
      <c r="U131" s="389" t="e">
        <f>Q131*$D$129</f>
        <v>#NAME?</v>
      </c>
      <c r="V131" s="389"/>
      <c r="W131" s="389"/>
      <c r="X131" s="484" t="s">
        <v>92</v>
      </c>
      <c r="Y131" s="98"/>
      <c r="Z131" s="98"/>
      <c r="AA131" s="98"/>
      <c r="AB131" s="145"/>
      <c r="AC131" s="6" t="s">
        <v>362</v>
      </c>
      <c r="AD131" s="6" t="e">
        <f>ACOS(AD130)</f>
        <v>#NAME?</v>
      </c>
      <c r="AE131" s="6" t="s">
        <v>92</v>
      </c>
      <c r="BN131" s="106"/>
      <c r="BO131" s="98"/>
    </row>
    <row r="132" spans="1:67" customFormat="1" ht="17.25" customHeight="1" thickBot="1">
      <c r="A132" s="98"/>
      <c r="B132" s="98"/>
      <c r="C132" s="96"/>
      <c r="D132" s="96"/>
      <c r="E132" s="501"/>
      <c r="F132" s="502"/>
      <c r="G132" s="502"/>
      <c r="H132" s="503"/>
      <c r="I132" s="396"/>
      <c r="J132" s="396"/>
      <c r="K132" s="396"/>
      <c r="L132" s="396"/>
      <c r="M132" s="397"/>
      <c r="N132" s="130" t="s">
        <v>184</v>
      </c>
      <c r="O132" s="389" t="s">
        <v>115</v>
      </c>
      <c r="P132" s="389"/>
      <c r="Q132" s="389" t="e">
        <f>L</f>
        <v>#NAME?</v>
      </c>
      <c r="R132" s="389"/>
      <c r="S132" s="389"/>
      <c r="T132" s="484"/>
      <c r="U132" s="389" t="e">
        <f>Q132*$D$129</f>
        <v>#NAME?</v>
      </c>
      <c r="V132" s="389"/>
      <c r="W132" s="389"/>
      <c r="X132" s="484"/>
      <c r="Y132" s="98"/>
      <c r="Z132" s="98"/>
      <c r="AA132" s="98"/>
      <c r="AB132" s="145"/>
      <c r="AC132" s="6"/>
      <c r="AD132" s="6" t="e">
        <f>AD131*$D$130</f>
        <v>#NAME?</v>
      </c>
      <c r="AE132" s="6" t="s">
        <v>71</v>
      </c>
      <c r="BN132" s="106"/>
      <c r="BO132" s="98"/>
    </row>
    <row r="133" spans="1:67" customFormat="1" ht="17.25" customHeight="1" thickTop="1" thickBot="1">
      <c r="A133" s="98"/>
      <c r="B133" s="98"/>
      <c r="C133" s="96"/>
      <c r="D133" s="96"/>
      <c r="E133" s="504"/>
      <c r="F133" s="505"/>
      <c r="G133" s="505"/>
      <c r="H133" s="506"/>
      <c r="I133" s="399" t="e" cm="1">
        <f t="array" ref="I133">angleDecimal2Txt(I131)</f>
        <v>#VALUE!</v>
      </c>
      <c r="J133" s="400"/>
      <c r="K133" s="400"/>
      <c r="L133" s="400"/>
      <c r="M133" s="400"/>
      <c r="N133" s="98"/>
      <c r="O133" s="389" t="s">
        <v>51</v>
      </c>
      <c r="P133" s="389"/>
      <c r="Q133" s="389">
        <f>F73</f>
        <v>349.23883388888891</v>
      </c>
      <c r="R133" s="389"/>
      <c r="S133" s="389"/>
      <c r="T133" s="484"/>
      <c r="U133" s="389">
        <f>Q133*$D$129</f>
        <v>6.0953675271866636</v>
      </c>
      <c r="V133" s="389"/>
      <c r="W133" s="389"/>
      <c r="X133" s="484"/>
      <c r="Y133" s="98"/>
      <c r="Z133" s="98"/>
      <c r="AA133" s="98"/>
      <c r="AB133" s="145"/>
      <c r="BN133" s="106"/>
      <c r="BO133" s="98"/>
    </row>
    <row r="134" spans="1:67" customFormat="1" ht="17.25" customHeight="1" thickTop="1">
      <c r="A134" s="98"/>
      <c r="B134" s="98"/>
      <c r="C134" s="96"/>
      <c r="D134" s="96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145"/>
      <c r="BN134" s="106"/>
      <c r="BO134" s="98"/>
    </row>
    <row r="135" spans="1:67" customFormat="1" ht="17.25" customHeight="1">
      <c r="A135" s="98"/>
      <c r="B135" s="98"/>
      <c r="C135" s="98"/>
      <c r="D135" s="98"/>
      <c r="E135" s="143"/>
      <c r="F135" s="98"/>
      <c r="G135" s="98"/>
      <c r="H135" s="98"/>
      <c r="I135" s="391" t="s">
        <v>247</v>
      </c>
      <c r="J135" s="392"/>
      <c r="K135" s="392"/>
      <c r="L135" s="392"/>
      <c r="M135" s="392"/>
      <c r="N135" s="393"/>
      <c r="O135" s="391" t="s">
        <v>248</v>
      </c>
      <c r="P135" s="392"/>
      <c r="Q135" s="392"/>
      <c r="R135" s="392"/>
      <c r="S135" s="392"/>
      <c r="T135" s="393"/>
      <c r="U135" s="98"/>
      <c r="V135" s="98"/>
      <c r="W135" s="98"/>
      <c r="X135" s="98"/>
      <c r="Y135" s="98"/>
      <c r="Z135" s="98"/>
      <c r="AA135" s="98"/>
      <c r="AB135" s="145"/>
      <c r="BN135" s="106"/>
      <c r="BO135" s="98"/>
    </row>
    <row r="136" spans="1:67" customFormat="1" ht="17.25" customHeight="1">
      <c r="A136" s="98"/>
      <c r="B136" s="98"/>
      <c r="C136" s="143"/>
      <c r="D136" s="143"/>
      <c r="E136" s="143"/>
      <c r="F136" s="98"/>
      <c r="G136" s="98"/>
      <c r="H136" s="98"/>
      <c r="I136" s="638"/>
      <c r="J136" s="486" t="s">
        <v>185</v>
      </c>
      <c r="K136" s="487"/>
      <c r="L136" s="488"/>
      <c r="M136" s="450" t="s">
        <v>186</v>
      </c>
      <c r="N136" s="451"/>
      <c r="O136" s="638"/>
      <c r="P136" s="486" t="s">
        <v>185</v>
      </c>
      <c r="Q136" s="487"/>
      <c r="R136" s="488"/>
      <c r="S136" s="450" t="s">
        <v>187</v>
      </c>
      <c r="T136" s="451"/>
      <c r="U136" s="98"/>
      <c r="V136" s="98"/>
      <c r="W136" s="98"/>
      <c r="X136" s="98"/>
      <c r="Y136" s="98"/>
      <c r="Z136" s="98"/>
      <c r="AA136" s="98"/>
      <c r="AB136" s="145"/>
      <c r="BN136" s="106"/>
      <c r="BO136" s="98"/>
    </row>
    <row r="137" spans="1:67" ht="17.25" customHeight="1">
      <c r="F137" s="98"/>
      <c r="G137" s="98"/>
      <c r="I137" s="639"/>
      <c r="J137" s="447" t="s">
        <v>118</v>
      </c>
      <c r="K137" s="448"/>
      <c r="L137" s="449"/>
      <c r="M137" s="452" t="s">
        <v>119</v>
      </c>
      <c r="N137" s="453"/>
      <c r="O137" s="639"/>
      <c r="P137" s="447" t="s">
        <v>118</v>
      </c>
      <c r="Q137" s="448"/>
      <c r="R137" s="449"/>
      <c r="S137" s="452" t="s">
        <v>120</v>
      </c>
      <c r="T137" s="453"/>
    </row>
    <row r="138" spans="1:67" ht="17.25" customHeight="1">
      <c r="F138" s="96"/>
      <c r="G138" s="96"/>
      <c r="H138" s="96"/>
      <c r="I138" s="96"/>
      <c r="J138" s="96"/>
      <c r="K138" s="96"/>
      <c r="Q138" s="96"/>
      <c r="R138" s="96"/>
      <c r="S138" s="96"/>
      <c r="T138" s="454"/>
      <c r="U138" s="454"/>
      <c r="V138" s="454"/>
      <c r="W138" s="96"/>
      <c r="X138" s="454"/>
      <c r="Y138" s="454"/>
      <c r="Z138" s="454"/>
    </row>
    <row r="139" spans="1:67" ht="17.25" customHeight="1">
      <c r="F139" s="96"/>
      <c r="N139" s="481"/>
      <c r="O139" s="481"/>
      <c r="Q139" s="454"/>
      <c r="R139" s="454"/>
      <c r="S139" s="454"/>
      <c r="T139" s="454"/>
      <c r="U139" s="454"/>
      <c r="V139" s="454"/>
      <c r="W139" s="96"/>
      <c r="X139" s="454"/>
      <c r="Y139" s="454"/>
      <c r="Z139" s="454"/>
    </row>
    <row r="140" spans="1:67" ht="17.25" customHeight="1">
      <c r="I140" s="389" t="s">
        <v>115</v>
      </c>
      <c r="J140" s="389"/>
      <c r="K140" s="141" t="e">
        <f>L</f>
        <v>#NAME?</v>
      </c>
      <c r="L140" s="390" t="e">
        <f>CONCATENATE("Sens: ",IF(Q132&gt;0,"Nord","Sud"))</f>
        <v>#NAME?</v>
      </c>
      <c r="M140" s="390"/>
    </row>
    <row r="141" spans="1:67" ht="17.25" customHeight="1" thickBot="1">
      <c r="I141" s="389" t="s">
        <v>51</v>
      </c>
      <c r="J141" s="389"/>
      <c r="K141" s="141">
        <f>Q133</f>
        <v>349.23883388888891</v>
      </c>
      <c r="L141" s="390" t="str">
        <f>CONCATENATE("Is &gt; 180? ", IF(Q133&gt;180,"Y", "N"))</f>
        <v>Is &gt; 180? Y</v>
      </c>
      <c r="M141" s="390"/>
      <c r="O141" s="376" t="s">
        <v>125</v>
      </c>
      <c r="P141" s="377"/>
      <c r="Q141" s="377"/>
      <c r="R141" s="377"/>
      <c r="S141" s="377"/>
      <c r="T141" s="406" t="e">
        <f>ABS(IF(Q120&gt;0,IF(Q121&gt;180,I131,360-I131),IF(Q121&gt;180,180-I131,180+I131)))</f>
        <v>#NAME?</v>
      </c>
      <c r="U141" s="407"/>
      <c r="V141" s="132" t="s">
        <v>34</v>
      </c>
      <c r="W141" s="96"/>
    </row>
    <row r="142" spans="1:67" ht="17.25" customHeight="1" thickTop="1" thickBot="1">
      <c r="I142" s="403" t="s">
        <v>188</v>
      </c>
      <c r="J142" s="404"/>
      <c r="K142" s="405"/>
      <c r="L142" s="390" t="e">
        <f>IF(K140&gt;0,IF(K141&gt;180,M136,M137),IF(K141&gt;180,S136,S137))</f>
        <v>#NAME?</v>
      </c>
      <c r="M142" s="390"/>
      <c r="T142" s="402">
        <f>AC135</f>
        <v>0</v>
      </c>
      <c r="U142" s="402"/>
      <c r="V142" s="402"/>
      <c r="W142" s="402"/>
      <c r="X142" s="402"/>
      <c r="Y142" s="402"/>
    </row>
    <row r="143" spans="1:67" ht="17.25" customHeight="1" thickTop="1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abSelected="1" topLeftCell="A103" zoomScaleNormal="100" workbookViewId="0">
      <selection activeCell="A12" sqref="A12:XFD12"/>
    </sheetView>
  </sheetViews>
  <sheetFormatPr defaultColWidth="5.140625" defaultRowHeight="17.25" customHeight="1" outlineLevelCol="1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8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>
      <c r="B1" s="98"/>
      <c r="C1" s="464" t="s">
        <v>236</v>
      </c>
      <c r="D1" s="464"/>
      <c r="E1" s="464"/>
      <c r="F1" s="464"/>
      <c r="G1" s="455" t="s">
        <v>237</v>
      </c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98"/>
      <c r="AA1" s="98"/>
      <c r="AB1" s="145"/>
      <c r="BN1" s="106"/>
    </row>
    <row r="2" spans="2:66" customFormat="1" ht="17.25" customHeight="1">
      <c r="B2" s="98"/>
      <c r="C2" s="464"/>
      <c r="D2" s="464"/>
      <c r="E2" s="464"/>
      <c r="F2" s="464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98"/>
      <c r="AA2" s="98"/>
      <c r="AB2" s="145"/>
      <c r="BN2" s="106"/>
    </row>
    <row r="3" spans="2:66" customFormat="1" ht="17.25" customHeight="1">
      <c r="B3" s="98"/>
      <c r="C3" s="464"/>
      <c r="D3" s="464"/>
      <c r="E3" s="464"/>
      <c r="F3" s="464"/>
      <c r="G3" s="460" t="s">
        <v>241</v>
      </c>
      <c r="H3" s="460"/>
      <c r="I3" s="460"/>
      <c r="J3" s="949" t="s">
        <v>240</v>
      </c>
      <c r="K3" s="949"/>
      <c r="L3" s="949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464"/>
      <c r="D4" s="464"/>
      <c r="E4" s="464"/>
      <c r="F4" s="464"/>
      <c r="G4" s="461"/>
      <c r="H4" s="461"/>
      <c r="I4" s="461"/>
      <c r="J4" s="612"/>
      <c r="K4" s="612"/>
      <c r="L4" s="612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5" spans="2:66" s="98" customFormat="1" ht="17.25" customHeight="1">
      <c r="C5" s="143"/>
      <c r="D5" s="143"/>
      <c r="E5" s="143"/>
      <c r="F5" s="143"/>
      <c r="G5" s="143"/>
      <c r="AB5" s="14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15/4/2008</v>
      </c>
      <c r="F7" s="142"/>
      <c r="G7" s="142" t="str" cm="1">
        <f t="array" ref="G7">heureDecimal2Txt(E11)</f>
        <v>18:48:30.00(18.8083)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456" t="s">
        <v>1</v>
      </c>
      <c r="D8" s="457"/>
      <c r="E8" s="590" t="s">
        <v>371</v>
      </c>
      <c r="F8" s="591"/>
      <c r="G8" s="591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18.808333333333334</v>
      </c>
      <c r="BN8" s="106"/>
    </row>
    <row r="9" spans="2:66" customFormat="1" ht="17.25" customHeight="1" thickBot="1">
      <c r="B9" s="98"/>
      <c r="C9" s="434" t="s">
        <v>11</v>
      </c>
      <c r="D9" s="436"/>
      <c r="E9" s="434" t="s">
        <v>2</v>
      </c>
      <c r="F9" s="435"/>
      <c r="G9" s="435"/>
      <c r="H9" s="436"/>
      <c r="I9" s="540" t="s">
        <v>192</v>
      </c>
      <c r="J9" s="540"/>
      <c r="K9" s="540"/>
      <c r="L9" s="540" t="s">
        <v>193</v>
      </c>
      <c r="M9" s="540"/>
      <c r="N9" s="540"/>
      <c r="O9" s="540"/>
      <c r="P9" s="540"/>
      <c r="Q9" s="540" t="s">
        <v>194</v>
      </c>
      <c r="R9" s="540"/>
      <c r="S9" s="540"/>
      <c r="T9" s="540"/>
      <c r="U9" s="540"/>
      <c r="V9" s="571" t="s">
        <v>191</v>
      </c>
      <c r="W9" s="572"/>
      <c r="X9" s="572"/>
      <c r="Y9" s="573"/>
      <c r="Z9" s="98"/>
      <c r="AA9" s="98"/>
      <c r="AB9" s="147"/>
      <c r="AC9" s="6" t="s">
        <v>329</v>
      </c>
      <c r="AD9" s="151">
        <f>L11</f>
        <v>0</v>
      </c>
      <c r="BN9" s="106"/>
    </row>
    <row r="10" spans="2:66" customFormat="1" ht="17.25" customHeight="1">
      <c r="B10" s="98"/>
      <c r="C10" s="458"/>
      <c r="D10" s="459"/>
      <c r="E10" s="437"/>
      <c r="F10" s="438"/>
      <c r="G10" s="438"/>
      <c r="H10" s="439"/>
      <c r="I10" s="540"/>
      <c r="J10" s="540"/>
      <c r="K10" s="540"/>
      <c r="L10" s="540"/>
      <c r="M10" s="540"/>
      <c r="N10" s="540"/>
      <c r="O10" s="540"/>
      <c r="P10" s="540"/>
      <c r="Q10" s="540"/>
      <c r="R10" s="540"/>
      <c r="S10" s="540"/>
      <c r="T10" s="540"/>
      <c r="U10" s="540"/>
      <c r="V10" s="574"/>
      <c r="W10" s="575"/>
      <c r="X10" s="575"/>
      <c r="Y10" s="576"/>
      <c r="Z10" s="98"/>
      <c r="AA10" s="98"/>
      <c r="AB10" s="145"/>
      <c r="AC10" s="6" t="s">
        <v>330</v>
      </c>
      <c r="AD10" s="6">
        <f>Q11/3600</f>
        <v>0</v>
      </c>
      <c r="BN10" s="106"/>
    </row>
    <row r="11" spans="2:66" customFormat="1" ht="17.25" customHeight="1" thickBot="1">
      <c r="B11" s="98"/>
      <c r="C11" s="437"/>
      <c r="D11" s="439"/>
      <c r="E11" s="409">
        <f>AD8+AD9+AD10+AD11</f>
        <v>18.808333333333334</v>
      </c>
      <c r="F11" s="410"/>
      <c r="G11" s="410"/>
      <c r="H11" s="411"/>
      <c r="I11" s="585" t="s">
        <v>375</v>
      </c>
      <c r="J11" s="585"/>
      <c r="K11" s="585"/>
      <c r="L11" s="617">
        <v>0</v>
      </c>
      <c r="M11" s="617"/>
      <c r="N11" s="617"/>
      <c r="O11" s="617"/>
      <c r="P11" s="617"/>
      <c r="Q11" s="617">
        <v>0</v>
      </c>
      <c r="R11" s="617"/>
      <c r="S11" s="617"/>
      <c r="T11" s="617"/>
      <c r="U11" s="618"/>
      <c r="V11" s="616" t="s">
        <v>190</v>
      </c>
      <c r="W11" s="616"/>
      <c r="X11" s="616"/>
      <c r="Y11" s="616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646" t="str" cm="1">
        <f t="array" ref="E12">heureDecimal2Txt(E11)</f>
        <v>18:48:30.00(18.8083)</v>
      </c>
      <c r="F12" s="647"/>
      <c r="G12" s="647"/>
      <c r="H12" s="64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B15" s="98"/>
      <c r="C15" s="679" t="s">
        <v>21</v>
      </c>
      <c r="D15" s="679"/>
      <c r="E15" s="679"/>
      <c r="F15" s="679"/>
      <c r="G15" s="679"/>
      <c r="H15" s="679"/>
      <c r="I15" s="679"/>
      <c r="J15" s="619">
        <f>M15</f>
        <v>5.5</v>
      </c>
      <c r="K15" s="620"/>
      <c r="L15" s="621"/>
      <c r="M15" s="583">
        <v>5.5</v>
      </c>
      <c r="N15" s="583"/>
      <c r="O15" s="583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8"/>
      <c r="AA15" s="98"/>
      <c r="AB15" s="145"/>
      <c r="BN15" s="106"/>
    </row>
    <row r="16" spans="2:66" customFormat="1" ht="18" customHeight="1" thickTop="1" thickBot="1">
      <c r="B16" s="96"/>
      <c r="C16" s="892" t="s">
        <v>22</v>
      </c>
      <c r="D16" s="893"/>
      <c r="E16" s="893"/>
      <c r="F16" s="893"/>
      <c r="G16" s="893"/>
      <c r="H16" s="893"/>
      <c r="I16" s="894"/>
      <c r="J16" s="390" cm="1">
        <f t="array" ref="J16">angleConvert2Decimal(M16)</f>
        <v>0</v>
      </c>
      <c r="K16" s="485"/>
      <c r="L16" s="485"/>
      <c r="M16" s="582">
        <v>0</v>
      </c>
      <c r="N16" s="583"/>
      <c r="O16" s="583"/>
      <c r="P16" s="402" t="str" cm="1">
        <f t="array" ref="P16">angleDecimal2Txt(J16)</f>
        <v>+00°00.00 (+00.0000) [+00°00'00.00]</v>
      </c>
      <c r="Q16" s="402"/>
      <c r="R16" s="402"/>
      <c r="S16" s="402"/>
      <c r="T16" s="402"/>
      <c r="U16" s="402"/>
      <c r="V16" s="402"/>
      <c r="W16" s="402"/>
      <c r="X16" s="402"/>
      <c r="Y16" s="96"/>
      <c r="Z16" s="98"/>
      <c r="AA16" s="98"/>
      <c r="AB16" s="145"/>
      <c r="BN16" s="106"/>
    </row>
    <row r="17" spans="1:66" customFormat="1" ht="18" customHeight="1" thickTop="1" thickBot="1">
      <c r="B17" s="98"/>
      <c r="C17" s="683" t="s">
        <v>32</v>
      </c>
      <c r="D17" s="683"/>
      <c r="E17" s="683"/>
      <c r="F17" s="683"/>
      <c r="G17" s="683"/>
      <c r="H17" s="683"/>
      <c r="I17" s="683"/>
      <c r="J17" s="895" cm="1">
        <f t="array" ref="J17">angleConvert2Decimal(M17)</f>
        <v>28.916666666666668</v>
      </c>
      <c r="K17" s="896"/>
      <c r="L17" s="896"/>
      <c r="M17" s="897" t="s">
        <v>376</v>
      </c>
      <c r="N17" s="898"/>
      <c r="O17" s="899"/>
      <c r="P17" s="402" t="str" cm="1">
        <f t="array" ref="P17">angleDecimal2Txt(J17)</f>
        <v>+28°55.00 (+28.9166) [+28°55'00.00]</v>
      </c>
      <c r="Q17" s="402"/>
      <c r="R17" s="402"/>
      <c r="S17" s="402"/>
      <c r="T17" s="402"/>
      <c r="U17" s="402"/>
      <c r="V17" s="402"/>
      <c r="W17" s="402"/>
      <c r="X17" s="402"/>
      <c r="Y17" s="96"/>
      <c r="Z17" s="98"/>
      <c r="AA17" s="98"/>
      <c r="AB17" s="145"/>
      <c r="BN17" s="106"/>
    </row>
    <row r="18" spans="1:66" customFormat="1" ht="18" customHeight="1" thickTop="1">
      <c r="B18" s="98"/>
      <c r="C18" s="679" t="s">
        <v>37</v>
      </c>
      <c r="D18" s="679"/>
      <c r="E18" s="679"/>
      <c r="F18" s="679"/>
      <c r="G18" s="679"/>
      <c r="H18" s="679"/>
      <c r="I18" s="679"/>
      <c r="J18" s="680" t="str">
        <f>M18</f>
        <v>Polaire</v>
      </c>
      <c r="K18" s="681"/>
      <c r="L18" s="682"/>
      <c r="M18" s="592" t="s">
        <v>316</v>
      </c>
      <c r="N18" s="593"/>
      <c r="O18" s="594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8"/>
      <c r="AA18" s="98"/>
      <c r="AB18" s="145"/>
      <c r="AG18" s="98"/>
      <c r="AH18" s="98"/>
      <c r="BN18" s="106"/>
    </row>
    <row r="19" spans="1:66" customFormat="1" ht="18" customHeight="1">
      <c r="B19" s="98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AG19" s="98"/>
      <c r="AH19" s="98"/>
      <c r="BN19" s="106"/>
    </row>
    <row r="20" spans="1:66" customFormat="1" ht="17.25" customHeight="1" thickBot="1">
      <c r="B20" s="98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8"/>
      <c r="AA20" s="98"/>
      <c r="AB20" s="145"/>
      <c r="BN20" s="106"/>
    </row>
    <row r="21" spans="1:66" customFormat="1" ht="17.25" customHeight="1" thickBot="1">
      <c r="B21" s="107" t="s">
        <v>19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46"/>
      <c r="BN21" s="106"/>
    </row>
    <row r="22" spans="1:66" s="98" customFormat="1" ht="17.25" customHeight="1">
      <c r="C22" s="96"/>
      <c r="D22" s="96"/>
      <c r="E22" s="686" t="s">
        <v>7</v>
      </c>
      <c r="F22" s="686"/>
      <c r="G22" s="686"/>
      <c r="H22" s="68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1:66" s="98" customFormat="1" ht="17.25" customHeight="1" thickBot="1">
      <c r="C23" s="96"/>
      <c r="D23" s="96"/>
      <c r="E23" s="686"/>
      <c r="F23" s="686"/>
      <c r="G23" s="686"/>
      <c r="H23" s="686"/>
      <c r="I23" s="96"/>
      <c r="J23" s="96" t="s">
        <v>233</v>
      </c>
      <c r="K23" s="96"/>
      <c r="L23" s="96" t="s">
        <v>234</v>
      </c>
      <c r="M23" s="96"/>
      <c r="N23" s="96"/>
      <c r="O23" s="96"/>
      <c r="P23" s="96"/>
      <c r="Q23" s="96"/>
      <c r="R23" s="96"/>
      <c r="S23" s="96"/>
      <c r="T23" s="96"/>
      <c r="U23" s="96"/>
      <c r="V23" s="96"/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1:66" s="98" customFormat="1" ht="17.25" customHeight="1" thickTop="1" thickBot="1">
      <c r="A24" s="372" t="s">
        <v>41</v>
      </c>
      <c r="B24" s="373"/>
      <c r="C24" s="374"/>
      <c r="D24" s="96"/>
      <c r="E24" s="96"/>
      <c r="F24" s="556">
        <f>AD25</f>
        <v>29.083333333333332</v>
      </c>
      <c r="G24" s="579"/>
      <c r="H24" s="579"/>
      <c r="I24" s="475" t="s">
        <v>3</v>
      </c>
      <c r="J24" s="477" t="s">
        <v>373</v>
      </c>
      <c r="K24" s="475"/>
      <c r="L24" s="475"/>
      <c r="M24" s="475"/>
      <c r="N24" s="475"/>
      <c r="O24" s="400" t="str" cm="1">
        <f t="array" ref="O24">angleDecimal2Txt(F24)</f>
        <v>+29°05.00 (+29.0833) [+29°05'00.00]</v>
      </c>
      <c r="P24" s="400"/>
      <c r="Q24" s="400"/>
      <c r="R24" s="400"/>
      <c r="S24" s="400"/>
      <c r="T24" s="400"/>
      <c r="U24" s="400"/>
      <c r="V24" s="400"/>
      <c r="W24" s="400"/>
      <c r="X24" s="400"/>
      <c r="Y24" s="96"/>
      <c r="Z24" s="96"/>
      <c r="AB24" s="145"/>
      <c r="AC24" s="6" t="s">
        <v>334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3"/>
    </row>
    <row r="25" spans="1:66" s="98" customFormat="1" ht="17.25" customHeight="1" thickTop="1" thickBot="1">
      <c r="A25" s="99" t="s">
        <v>49</v>
      </c>
      <c r="B25" s="114" t="s">
        <v>50</v>
      </c>
      <c r="C25" s="100"/>
      <c r="D25" s="96"/>
      <c r="E25" s="96"/>
      <c r="F25" s="579"/>
      <c r="G25" s="579"/>
      <c r="H25" s="579"/>
      <c r="I25" s="475"/>
      <c r="J25" s="475"/>
      <c r="K25" s="475"/>
      <c r="L25" s="475"/>
      <c r="M25" s="475"/>
      <c r="N25" s="475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96"/>
      <c r="Z25" s="96"/>
      <c r="AB25" s="145"/>
      <c r="AC25" s="6" t="s">
        <v>335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3"/>
    </row>
    <row r="26" spans="1:66" s="98" customFormat="1" ht="17.25" customHeight="1" thickTop="1">
      <c r="A26" s="99" t="s">
        <v>3</v>
      </c>
      <c r="B26" s="114" t="s">
        <v>5</v>
      </c>
      <c r="C26" s="100">
        <v>1</v>
      </c>
      <c r="D26" s="96"/>
      <c r="E26" s="96"/>
      <c r="F26" s="96"/>
      <c r="G26" s="96"/>
      <c r="H26" s="96"/>
      <c r="AB26" s="14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3"/>
    </row>
    <row r="27" spans="1:66" s="98" customFormat="1" ht="17.25" customHeight="1" thickBot="1">
      <c r="A27" s="101" t="s">
        <v>4</v>
      </c>
      <c r="B27" s="102" t="s">
        <v>6</v>
      </c>
      <c r="C27" s="103">
        <v>-1</v>
      </c>
      <c r="D27" s="96"/>
      <c r="E27" s="580" t="s">
        <v>8</v>
      </c>
      <c r="F27" s="580"/>
      <c r="G27" s="580"/>
      <c r="H27" s="580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AB27" s="14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3"/>
    </row>
    <row r="28" spans="1:66" s="98" customFormat="1" ht="17.25" customHeight="1" thickBot="1">
      <c r="C28" s="96"/>
      <c r="D28" s="96"/>
      <c r="E28" s="580"/>
      <c r="F28" s="580"/>
      <c r="G28" s="580"/>
      <c r="H28" s="580"/>
      <c r="I28" s="96"/>
      <c r="J28" s="96" t="s">
        <v>233</v>
      </c>
      <c r="K28" s="96"/>
      <c r="L28" s="96" t="s">
        <v>242</v>
      </c>
      <c r="M28" s="96"/>
      <c r="N28" s="96"/>
      <c r="O28" s="96"/>
      <c r="P28" s="96"/>
      <c r="Q28" s="96"/>
      <c r="R28" s="96"/>
      <c r="S28" s="96"/>
      <c r="T28" s="96"/>
      <c r="U28" s="96"/>
      <c r="V28" s="96"/>
      <c r="AB28" s="14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3"/>
    </row>
    <row r="29" spans="1:66" s="98" customFormat="1" ht="17.25" customHeight="1" thickTop="1" thickBot="1">
      <c r="B29" s="96"/>
      <c r="C29" s="96"/>
      <c r="D29" s="96"/>
      <c r="E29" s="96"/>
      <c r="F29" s="556">
        <f>AD30</f>
        <v>-12.5</v>
      </c>
      <c r="G29" s="579"/>
      <c r="H29" s="579"/>
      <c r="I29" s="475" t="s">
        <v>6</v>
      </c>
      <c r="J29" s="477" t="s">
        <v>374</v>
      </c>
      <c r="K29" s="475"/>
      <c r="L29" s="475"/>
      <c r="M29" s="475"/>
      <c r="N29" s="475"/>
      <c r="O29" s="400" t="str" cm="1">
        <f t="array" ref="O29">angleDecimal2Txt(F29)</f>
        <v>-12°30.00 (-12.5000) [-12°30'00.00]</v>
      </c>
      <c r="P29" s="400"/>
      <c r="Q29" s="400"/>
      <c r="R29" s="400"/>
      <c r="S29" s="400"/>
      <c r="T29" s="400"/>
      <c r="U29" s="400"/>
      <c r="V29" s="400"/>
      <c r="W29" s="400"/>
      <c r="X29" s="400"/>
      <c r="Y29" s="96"/>
      <c r="Z29" s="96"/>
      <c r="AB29" s="145"/>
      <c r="AC29" s="6" t="s">
        <v>336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6"/>
    </row>
    <row r="30" spans="1:66" s="98" customFormat="1" ht="17.25" customHeight="1" thickTop="1" thickBot="1">
      <c r="C30" s="96"/>
      <c r="D30" s="96"/>
      <c r="E30" s="96"/>
      <c r="F30" s="579"/>
      <c r="G30" s="579"/>
      <c r="H30" s="579"/>
      <c r="I30" s="475"/>
      <c r="J30" s="475"/>
      <c r="K30" s="475"/>
      <c r="L30" s="475"/>
      <c r="M30" s="475"/>
      <c r="N30" s="475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96"/>
      <c r="Z30" s="96"/>
      <c r="AB30" s="145"/>
      <c r="AC30" s="6" t="s">
        <v>337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6"/>
    </row>
    <row r="31" spans="1:66" s="98" customFormat="1" ht="17.25" customHeight="1" thickTop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B31" s="14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6"/>
    </row>
    <row r="32" spans="1:66" s="98" customFormat="1" ht="17.25" customHeight="1" thickBot="1">
      <c r="C32" s="143"/>
      <c r="D32" s="143"/>
      <c r="E32" s="143"/>
      <c r="F32" s="143"/>
      <c r="G32" s="143"/>
      <c r="AB32" s="14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6"/>
    </row>
    <row r="33" spans="1:67" s="98" customFormat="1" ht="17.25" customHeight="1" thickBot="1">
      <c r="B33" s="107" t="s">
        <v>368</v>
      </c>
      <c r="C33" s="108"/>
      <c r="D33" s="108"/>
      <c r="E33" s="108"/>
      <c r="F33" s="468">
        <f>N34</f>
        <v>89.38333333333334</v>
      </c>
      <c r="G33" s="468"/>
      <c r="H33" s="468"/>
      <c r="I33" s="161"/>
      <c r="J33" s="950" t="str" cm="1">
        <f t="array" ref="J33">angleDecimal2Txt(F33)</f>
        <v>+89°23.00 (+89.3833) [+89°23'00.00]</v>
      </c>
      <c r="K33" s="950"/>
      <c r="L33" s="950"/>
      <c r="M33" s="950"/>
      <c r="N33" s="950"/>
      <c r="O33" s="950"/>
      <c r="P33" s="950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6"/>
    </row>
    <row r="34" spans="1:67" s="115" customFormat="1" ht="17.25" customHeight="1" thickTop="1">
      <c r="C34" s="665" t="s">
        <v>114</v>
      </c>
      <c r="D34" s="665"/>
      <c r="E34" s="665"/>
      <c r="F34" s="665"/>
      <c r="G34" s="665"/>
      <c r="H34" s="921"/>
      <c r="I34" s="923" t="s">
        <v>3</v>
      </c>
      <c r="J34" s="922" t="s">
        <v>379</v>
      </c>
      <c r="K34" s="922"/>
      <c r="L34" s="922"/>
      <c r="M34" s="922"/>
      <c r="N34" s="948">
        <f>AD35</f>
        <v>89.38333333333334</v>
      </c>
      <c r="O34" s="948"/>
      <c r="P34" s="948"/>
      <c r="Q34" s="924" t="str" cm="1">
        <f t="array" ref="Q34">angleDecimal2Txt(N34)</f>
        <v>+89°23.00 (+89.3833) [+89°23'00.00]</v>
      </c>
      <c r="R34" s="924"/>
      <c r="S34" s="924"/>
      <c r="T34" s="924"/>
      <c r="U34" s="925"/>
      <c r="AB34" s="149"/>
      <c r="AC34" s="6" t="s">
        <v>367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8" customFormat="1" ht="17.25" customHeight="1" thickBot="1">
      <c r="C35" s="96"/>
      <c r="D35" s="96"/>
      <c r="E35" s="96"/>
      <c r="F35" s="96"/>
      <c r="G35" s="96"/>
      <c r="H35" s="96"/>
      <c r="I35" s="923"/>
      <c r="J35" s="922"/>
      <c r="K35" s="922"/>
      <c r="L35" s="922"/>
      <c r="M35" s="922"/>
      <c r="N35" s="948"/>
      <c r="O35" s="948"/>
      <c r="P35" s="948"/>
      <c r="Q35" s="926"/>
      <c r="R35" s="926"/>
      <c r="S35" s="926"/>
      <c r="T35" s="926"/>
      <c r="U35" s="927"/>
      <c r="AB35" s="145"/>
      <c r="AC35" s="6" t="s">
        <v>335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6"/>
    </row>
    <row r="36" spans="1:67" customFormat="1" ht="17.25" customHeight="1" thickTop="1">
      <c r="A36" s="98"/>
      <c r="B36" s="98"/>
      <c r="C36" s="143"/>
      <c r="D36" s="143"/>
      <c r="E36" s="143"/>
      <c r="F36" s="143"/>
      <c r="G36" s="143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6"/>
      <c r="T36" s="96"/>
      <c r="U36" s="96"/>
      <c r="V36" s="96"/>
      <c r="W36" s="96"/>
      <c r="X36" s="96"/>
      <c r="Y36" s="98"/>
      <c r="Z36" s="98"/>
      <c r="AA36" s="98"/>
      <c r="AB36" s="145"/>
      <c r="BN36" s="106"/>
      <c r="BO36" s="98"/>
    </row>
    <row r="37" spans="1:67" customFormat="1" ht="17.25" customHeight="1" thickBot="1">
      <c r="A37" s="98"/>
      <c r="B37" s="98"/>
      <c r="C37" s="143"/>
      <c r="D37" s="143"/>
      <c r="E37" s="143"/>
      <c r="F37" s="143"/>
      <c r="G37" s="143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6"/>
      <c r="T37" s="96"/>
      <c r="U37" s="96"/>
      <c r="V37" s="96"/>
      <c r="W37" s="96"/>
      <c r="X37" s="96"/>
      <c r="Y37" s="98"/>
      <c r="Z37" s="98"/>
      <c r="AA37" s="98"/>
      <c r="AB37" s="145"/>
      <c r="BN37" s="106"/>
      <c r="BO37" s="98"/>
    </row>
    <row r="38" spans="1:67" s="96" customFormat="1" ht="17.25" customHeight="1" thickBot="1">
      <c r="A38" s="98"/>
      <c r="B38" s="107" t="s">
        <v>369</v>
      </c>
      <c r="C38" s="108"/>
      <c r="D38" s="108"/>
      <c r="E38" s="108"/>
      <c r="F38" s="468">
        <f>N39</f>
        <v>312</v>
      </c>
      <c r="G38" s="468"/>
      <c r="H38" s="468"/>
      <c r="I38" s="161"/>
      <c r="J38" s="928" t="s">
        <v>83</v>
      </c>
      <c r="K38" s="928"/>
      <c r="L38" s="928"/>
      <c r="M38" s="929" t="str">
        <f>J18</f>
        <v>Polaire</v>
      </c>
      <c r="N38" s="929"/>
      <c r="O38" s="929"/>
      <c r="P38" s="161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4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3"/>
    </row>
    <row r="39" spans="1:67" s="98" customFormat="1" ht="17.25" customHeight="1" thickTop="1" thickBot="1">
      <c r="C39" s="665" t="s">
        <v>366</v>
      </c>
      <c r="D39" s="665"/>
      <c r="E39" s="665"/>
      <c r="F39" s="665"/>
      <c r="G39" s="665"/>
      <c r="H39" s="921"/>
      <c r="I39" s="922" t="s">
        <v>378</v>
      </c>
      <c r="J39" s="922"/>
      <c r="K39" s="922"/>
      <c r="L39" s="922"/>
      <c r="M39" s="922"/>
      <c r="N39" s="948" cm="1">
        <f t="array" ref="N39">angleConvert2Decimal(I39)</f>
        <v>312</v>
      </c>
      <c r="O39" s="948"/>
      <c r="P39" s="948"/>
      <c r="Q39" s="399" t="str" cm="1">
        <f t="array" ref="Q39">angleDecimal2Txt(N39)</f>
        <v>+312°00.00 (+312.0000) [+312°00'00.00]</v>
      </c>
      <c r="R39" s="577"/>
      <c r="S39" s="577"/>
      <c r="T39" s="577"/>
      <c r="U39" s="577"/>
      <c r="AB39" s="14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6"/>
    </row>
    <row r="40" spans="1:67" s="98" customFormat="1" ht="17.25" customHeight="1" thickTop="1" thickBot="1">
      <c r="A40" s="96"/>
      <c r="C40" s="96"/>
      <c r="D40" s="96"/>
      <c r="E40" s="96"/>
      <c r="F40" s="96"/>
      <c r="G40" s="96"/>
      <c r="H40" s="96"/>
      <c r="I40" s="922"/>
      <c r="J40" s="922"/>
      <c r="K40" s="922"/>
      <c r="L40" s="922"/>
      <c r="M40" s="922"/>
      <c r="N40" s="948"/>
      <c r="O40" s="948"/>
      <c r="P40" s="948"/>
      <c r="Q40" s="920"/>
      <c r="R40" s="577"/>
      <c r="S40" s="577"/>
      <c r="T40" s="577"/>
      <c r="U40" s="577"/>
      <c r="AB40" s="15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6"/>
    </row>
    <row r="41" spans="1:67" s="98" customFormat="1" ht="17.25" customHeight="1" thickTop="1" thickBot="1">
      <c r="A41" s="96"/>
      <c r="C41" s="96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6"/>
    </row>
    <row r="42" spans="1:67" customFormat="1" ht="17.25" customHeight="1" thickBot="1">
      <c r="A42" s="115"/>
      <c r="B42" s="107" t="s">
        <v>317</v>
      </c>
      <c r="C42" s="108"/>
      <c r="D42" s="108"/>
      <c r="E42" s="108"/>
      <c r="F42" s="468">
        <f>IF(G43=AD43,F47,F55)</f>
        <v>311.63383340000001</v>
      </c>
      <c r="G42" s="468"/>
      <c r="H42" s="468"/>
      <c r="I42" s="108"/>
      <c r="J42" s="108"/>
      <c r="K42" s="108"/>
      <c r="L42" s="465">
        <f>F42-360</f>
        <v>-48.366166599999985</v>
      </c>
      <c r="M42" s="465"/>
      <c r="N42" s="108" t="s">
        <v>34</v>
      </c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48"/>
      <c r="BN42" s="106"/>
      <c r="BO42" s="98"/>
    </row>
    <row r="43" spans="1:67" customFormat="1" ht="17.25" customHeight="1">
      <c r="A43" s="98"/>
      <c r="B43" s="115"/>
      <c r="C43" s="466" t="s">
        <v>42</v>
      </c>
      <c r="D43" s="466"/>
      <c r="E43" s="466"/>
      <c r="F43" s="467"/>
      <c r="G43" s="624" t="s">
        <v>16</v>
      </c>
      <c r="H43" s="625"/>
      <c r="I43" s="626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49"/>
      <c r="AC43" s="664" t="s">
        <v>43</v>
      </c>
      <c r="AD43" s="152" t="s">
        <v>10</v>
      </c>
      <c r="BN43" s="106"/>
      <c r="BO43" s="98"/>
    </row>
    <row r="44" spans="1:67" customFormat="1" ht="17.25" customHeight="1">
      <c r="A44" s="98"/>
      <c r="B44" s="98"/>
      <c r="C44" s="116" t="s">
        <v>10</v>
      </c>
      <c r="D44" s="116"/>
      <c r="E44" s="117"/>
      <c r="F44" s="117"/>
      <c r="G44" s="96"/>
      <c r="H44" s="96"/>
      <c r="I44" s="96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45"/>
      <c r="AC44" s="664"/>
      <c r="AD44" s="152" t="s">
        <v>16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43"/>
      <c r="F45" s="434" t="s">
        <v>9</v>
      </c>
      <c r="G45" s="435"/>
      <c r="H45" s="436"/>
      <c r="I45" s="434" t="s">
        <v>12</v>
      </c>
      <c r="J45" s="435"/>
      <c r="K45" s="435"/>
      <c r="L45" s="436"/>
      <c r="M45" s="440" t="s">
        <v>13</v>
      </c>
      <c r="N45" s="441"/>
      <c r="O45" s="442"/>
      <c r="P45" s="426" t="s">
        <v>17</v>
      </c>
      <c r="Q45" s="427"/>
      <c r="R45" s="427"/>
      <c r="S45" s="427"/>
      <c r="T45" s="428"/>
      <c r="U45" s="96"/>
      <c r="V45" s="98"/>
      <c r="W45" s="98"/>
      <c r="X45" s="98"/>
      <c r="Y45" s="98"/>
      <c r="Z45" s="98"/>
      <c r="AA45" s="98"/>
      <c r="AB45" s="145"/>
      <c r="AD45" s="157" t="s">
        <v>101</v>
      </c>
      <c r="AE45" s="6" t="s">
        <v>347</v>
      </c>
      <c r="BN45" s="106"/>
      <c r="BO45" s="98"/>
    </row>
    <row r="46" spans="1:67" customFormat="1" ht="17.25" customHeight="1" thickBot="1">
      <c r="A46" s="98"/>
      <c r="B46" s="98"/>
      <c r="C46" s="143"/>
      <c r="D46" s="143"/>
      <c r="E46" s="143"/>
      <c r="F46" s="437"/>
      <c r="G46" s="438"/>
      <c r="H46" s="439"/>
      <c r="I46" s="437"/>
      <c r="J46" s="438"/>
      <c r="K46" s="438"/>
      <c r="L46" s="439"/>
      <c r="M46" s="443"/>
      <c r="N46" s="444"/>
      <c r="O46" s="445"/>
      <c r="P46" s="900"/>
      <c r="Q46" s="430"/>
      <c r="R46" s="430"/>
      <c r="S46" s="430"/>
      <c r="T46" s="431"/>
      <c r="U46" s="96"/>
      <c r="V46" s="98"/>
      <c r="W46" s="98"/>
      <c r="X46" s="98"/>
      <c r="Y46" s="98"/>
      <c r="AA46" s="98"/>
      <c r="AB46" s="145"/>
      <c r="AC46" s="6" t="s">
        <v>338</v>
      </c>
      <c r="AD46" s="6">
        <f>VLOOKUP(P47,$B$26:$C$27,2)</f>
        <v>1</v>
      </c>
      <c r="AE46" s="6" cm="1">
        <f t="array" ref="AE46">AD46*angleConvert2Decimal(Q47)</f>
        <v>323.85333333333335</v>
      </c>
      <c r="BN46" s="106"/>
      <c r="BO46" s="98"/>
    </row>
    <row r="47" spans="1:67" customFormat="1" ht="17.25" customHeight="1" thickTop="1" thickBot="1">
      <c r="A47" s="98"/>
      <c r="B47" s="98"/>
      <c r="C47" s="143"/>
      <c r="D47" s="143"/>
      <c r="E47" s="98"/>
      <c r="F47" s="555" t="str">
        <f>IF(G43=AD44,"---",AD51)</f>
        <v>---</v>
      </c>
      <c r="G47" s="555"/>
      <c r="H47" s="555"/>
      <c r="I47" s="761">
        <f>E11</f>
        <v>18.808333333333334</v>
      </c>
      <c r="J47" s="761"/>
      <c r="K47" s="761"/>
      <c r="L47" s="761"/>
      <c r="M47" s="551">
        <v>8</v>
      </c>
      <c r="N47" s="552"/>
      <c r="O47" s="901"/>
      <c r="P47" s="903" t="s">
        <v>5</v>
      </c>
      <c r="Q47" s="904" t="s">
        <v>372</v>
      </c>
      <c r="R47" s="667"/>
      <c r="S47" s="667"/>
      <c r="T47" s="905"/>
      <c r="U47" s="400" t="str" cm="1">
        <f t="array" ref="U47">angleDecimal2Txt(AE46)</f>
        <v>+323°51.20 (+323.8533) [+323°51'12.00]</v>
      </c>
      <c r="V47" s="577"/>
      <c r="W47" s="577"/>
      <c r="X47" s="577"/>
      <c r="Y47" s="577"/>
      <c r="AA47" s="98"/>
      <c r="AB47" s="145"/>
      <c r="AC47" s="6" t="s">
        <v>339</v>
      </c>
      <c r="AD47" s="6">
        <f>VLOOKUP(P49,$B$26:$C$27,2)</f>
        <v>1</v>
      </c>
      <c r="AE47" s="6" cm="1">
        <f t="array" ref="AE47">AD47*angleConvert2Decimal(Q49)</f>
        <v>338.89499999999998</v>
      </c>
      <c r="BN47" s="106"/>
      <c r="BO47" s="98"/>
    </row>
    <row r="48" spans="1:67" customFormat="1" ht="17.25" customHeight="1" thickTop="1" thickBot="1">
      <c r="A48" s="98"/>
      <c r="B48" s="98"/>
      <c r="C48" s="143"/>
      <c r="D48" s="143"/>
      <c r="E48" s="143"/>
      <c r="F48" s="556"/>
      <c r="G48" s="556"/>
      <c r="H48" s="556"/>
      <c r="I48" s="761"/>
      <c r="J48" s="761"/>
      <c r="K48" s="761"/>
      <c r="L48" s="761"/>
      <c r="M48" s="553"/>
      <c r="N48" s="554"/>
      <c r="O48" s="658"/>
      <c r="P48" s="474"/>
      <c r="Q48" s="906"/>
      <c r="R48" s="907"/>
      <c r="S48" s="907"/>
      <c r="T48" s="908"/>
      <c r="U48" s="577"/>
      <c r="V48" s="577"/>
      <c r="W48" s="577"/>
      <c r="X48" s="577"/>
      <c r="Y48" s="577"/>
      <c r="AA48" s="98"/>
      <c r="AB48" s="145"/>
      <c r="AC48" s="6" t="s">
        <v>45</v>
      </c>
      <c r="AD48" s="8">
        <f>AE47-AE46</f>
        <v>15.041666666666629</v>
      </c>
      <c r="BN48" s="106"/>
      <c r="BO48" s="98"/>
    </row>
    <row r="49" spans="1:67" customFormat="1" ht="17.25" customHeight="1" thickTop="1" thickBot="1">
      <c r="A49" s="98"/>
      <c r="B49" s="98"/>
      <c r="C49" s="143"/>
      <c r="D49" s="143"/>
      <c r="E49" s="143"/>
      <c r="F49" s="556"/>
      <c r="G49" s="556"/>
      <c r="H49" s="556"/>
      <c r="I49" s="761"/>
      <c r="J49" s="761"/>
      <c r="K49" s="761"/>
      <c r="L49" s="761"/>
      <c r="M49" s="622">
        <v>9</v>
      </c>
      <c r="N49" s="623"/>
      <c r="O49" s="909"/>
      <c r="P49" s="910" t="s">
        <v>5</v>
      </c>
      <c r="Q49" s="826" t="s">
        <v>326</v>
      </c>
      <c r="R49" s="911"/>
      <c r="S49" s="911"/>
      <c r="T49" s="912"/>
      <c r="U49" s="400" t="str" cm="1">
        <f t="array" ref="U49">angleDecimal2Txt((AE47))</f>
        <v>+338°53.70 (+338.8949) [+338°53'42.00]</v>
      </c>
      <c r="V49" s="577"/>
      <c r="W49" s="577"/>
      <c r="X49" s="577"/>
      <c r="Y49" s="577"/>
      <c r="AA49" s="98"/>
      <c r="AB49" s="145"/>
      <c r="AC49" s="6" t="s">
        <v>341</v>
      </c>
      <c r="AD49" s="8">
        <f>M49-M47</f>
        <v>1</v>
      </c>
      <c r="AE49" s="98"/>
      <c r="BN49" s="106"/>
      <c r="BO49" s="98"/>
    </row>
    <row r="50" spans="1:67" customFormat="1" ht="17.25" customHeight="1" thickTop="1" thickBot="1">
      <c r="A50" s="98"/>
      <c r="B50" s="98"/>
      <c r="C50" s="143"/>
      <c r="D50" s="143"/>
      <c r="E50" s="143"/>
      <c r="F50" s="556"/>
      <c r="G50" s="556"/>
      <c r="H50" s="556"/>
      <c r="I50" s="761"/>
      <c r="J50" s="761"/>
      <c r="K50" s="761"/>
      <c r="L50" s="761"/>
      <c r="M50" s="553"/>
      <c r="N50" s="554"/>
      <c r="O50" s="658"/>
      <c r="P50" s="474"/>
      <c r="Q50" s="906"/>
      <c r="R50" s="907"/>
      <c r="S50" s="907"/>
      <c r="T50" s="908"/>
      <c r="U50" s="577"/>
      <c r="V50" s="577"/>
      <c r="W50" s="577"/>
      <c r="X50" s="577"/>
      <c r="Y50" s="577"/>
      <c r="AA50" s="98"/>
      <c r="AB50" s="145"/>
      <c r="AC50" s="6" t="s">
        <v>46</v>
      </c>
      <c r="AD50" s="8">
        <f>I47-M47</f>
        <v>10.808333333333334</v>
      </c>
      <c r="BN50" s="106"/>
      <c r="BO50" s="98"/>
    </row>
    <row r="51" spans="1:67" customFormat="1" ht="17.25" customHeight="1" thickTop="1" thickBot="1">
      <c r="A51" s="98"/>
      <c r="B51" s="98"/>
      <c r="C51" s="143"/>
      <c r="D51" s="143"/>
      <c r="E51" s="143"/>
      <c r="F51" s="412" t="e" cm="1">
        <f t="array" ref="F51">angleDecimal2Txt(F47)</f>
        <v>#VALUE!</v>
      </c>
      <c r="G51" s="413"/>
      <c r="H51" s="413"/>
      <c r="I51" s="413"/>
      <c r="J51" s="413"/>
      <c r="K51" s="414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AA51" s="96"/>
      <c r="AB51" s="145"/>
      <c r="AC51" s="6" t="s">
        <v>44</v>
      </c>
      <c r="AD51" s="6">
        <f>AE46+(AD48/AD49)*AD50</f>
        <v>486.42868055555516</v>
      </c>
      <c r="BN51" s="106"/>
      <c r="BO51" s="98"/>
    </row>
    <row r="52" spans="1:67" customFormat="1" ht="17.25" customHeight="1" thickTop="1">
      <c r="A52" s="98"/>
      <c r="B52" s="98"/>
      <c r="C52" s="116" t="s">
        <v>16</v>
      </c>
      <c r="D52" s="116"/>
      <c r="E52" s="117"/>
      <c r="F52" s="117"/>
      <c r="G52" s="96"/>
      <c r="H52" s="96"/>
      <c r="I52" s="96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AA52" s="96"/>
      <c r="AB52" s="145"/>
      <c r="BN52" s="106"/>
      <c r="BO52" s="98"/>
    </row>
    <row r="53" spans="1:67" customFormat="1" ht="17.25" customHeight="1">
      <c r="A53" s="98"/>
      <c r="B53" s="98"/>
      <c r="C53" s="96"/>
      <c r="D53" s="96"/>
      <c r="E53" s="96"/>
      <c r="F53" s="434" t="s">
        <v>9</v>
      </c>
      <c r="G53" s="435"/>
      <c r="H53" s="436"/>
      <c r="I53" s="434" t="s">
        <v>12</v>
      </c>
      <c r="J53" s="435"/>
      <c r="K53" s="435"/>
      <c r="L53" s="436"/>
      <c r="M53" s="440" t="s">
        <v>13</v>
      </c>
      <c r="N53" s="441"/>
      <c r="O53" s="442"/>
      <c r="P53" s="426" t="s">
        <v>18</v>
      </c>
      <c r="Q53" s="427"/>
      <c r="R53" s="427"/>
      <c r="S53" s="427"/>
      <c r="T53" s="428"/>
      <c r="U53" s="426" t="s">
        <v>126</v>
      </c>
      <c r="V53" s="427"/>
      <c r="W53" s="427"/>
      <c r="X53" s="427"/>
      <c r="Y53" s="428"/>
      <c r="Z53" s="98"/>
      <c r="AA53" s="96"/>
      <c r="AB53" s="145"/>
      <c r="AC53" s="6" t="s">
        <v>342</v>
      </c>
      <c r="AD53" s="6">
        <f>VLOOKUP(P55,$B$26:$C$27,2)</f>
        <v>1</v>
      </c>
      <c r="BN53" s="106"/>
      <c r="BO53" s="98"/>
    </row>
    <row r="54" spans="1:67" customFormat="1" ht="17.25" customHeight="1" collapsed="1">
      <c r="A54" s="98"/>
      <c r="B54" s="98"/>
      <c r="C54" s="143"/>
      <c r="D54" s="143"/>
      <c r="E54" s="143"/>
      <c r="F54" s="437"/>
      <c r="G54" s="438"/>
      <c r="H54" s="439"/>
      <c r="I54" s="437"/>
      <c r="J54" s="438"/>
      <c r="K54" s="438"/>
      <c r="L54" s="439"/>
      <c r="M54" s="443"/>
      <c r="N54" s="444"/>
      <c r="O54" s="445"/>
      <c r="P54" s="900"/>
      <c r="Q54" s="430"/>
      <c r="R54" s="430"/>
      <c r="S54" s="430"/>
      <c r="T54" s="431"/>
      <c r="U54" s="900"/>
      <c r="V54" s="430"/>
      <c r="W54" s="430"/>
      <c r="X54" s="430"/>
      <c r="Y54" s="431"/>
      <c r="Z54" s="96"/>
      <c r="AA54" s="96"/>
      <c r="AB54" s="145"/>
      <c r="AC54" s="6" t="s">
        <v>343</v>
      </c>
      <c r="AD54" s="6" cm="1">
        <f t="array" ref="AD54">angleConvert2Decimal(Q55)*AD53</f>
        <v>311.63333333333333</v>
      </c>
      <c r="BN54" s="106"/>
      <c r="BO54" s="98"/>
    </row>
    <row r="55" spans="1:67" customFormat="1" ht="17.25" customHeight="1">
      <c r="A55" s="98"/>
      <c r="B55" s="98"/>
      <c r="C55" s="143"/>
      <c r="D55" s="143"/>
      <c r="E55" s="98"/>
      <c r="F55" s="555">
        <f>IF(G43=AD44,AD57,"---")</f>
        <v>311.63383340000001</v>
      </c>
      <c r="G55" s="555"/>
      <c r="H55" s="555"/>
      <c r="I55" s="761">
        <f>E11</f>
        <v>18.808333333333334</v>
      </c>
      <c r="J55" s="761"/>
      <c r="K55" s="761"/>
      <c r="L55" s="761"/>
      <c r="M55" s="551">
        <v>18.808299999999999</v>
      </c>
      <c r="N55" s="552"/>
      <c r="O55" s="901"/>
      <c r="P55" s="903" t="s">
        <v>5</v>
      </c>
      <c r="Q55" s="904" t="s">
        <v>377</v>
      </c>
      <c r="R55" s="667"/>
      <c r="S55" s="667"/>
      <c r="T55" s="913"/>
      <c r="U55" s="903" t="s">
        <v>5</v>
      </c>
      <c r="V55" s="904" t="s">
        <v>174</v>
      </c>
      <c r="W55" s="667"/>
      <c r="X55" s="667"/>
      <c r="Y55" s="913"/>
      <c r="Z55" s="96"/>
      <c r="AA55" s="98"/>
      <c r="AB55" s="145"/>
      <c r="AC55" s="6" t="s">
        <v>344</v>
      </c>
      <c r="AD55" s="6">
        <f>VLOOKUP(U55,$B$26:$C$27,2)</f>
        <v>1</v>
      </c>
      <c r="BN55" s="106"/>
      <c r="BO55" s="98"/>
    </row>
    <row r="56" spans="1:67" customFormat="1" ht="17.25" customHeight="1" thickBot="1">
      <c r="A56" s="98"/>
      <c r="B56" s="98"/>
      <c r="C56" s="143"/>
      <c r="D56" s="143"/>
      <c r="E56" s="143"/>
      <c r="F56" s="556"/>
      <c r="G56" s="556"/>
      <c r="H56" s="556"/>
      <c r="I56" s="761"/>
      <c r="J56" s="761"/>
      <c r="K56" s="761"/>
      <c r="L56" s="761"/>
      <c r="M56" s="553"/>
      <c r="N56" s="554"/>
      <c r="O56" s="658"/>
      <c r="P56" s="916"/>
      <c r="Q56" s="914"/>
      <c r="R56" s="668"/>
      <c r="S56" s="668"/>
      <c r="T56" s="915"/>
      <c r="U56" s="916"/>
      <c r="V56" s="914"/>
      <c r="W56" s="668"/>
      <c r="X56" s="668"/>
      <c r="Y56" s="915"/>
      <c r="Z56" s="96"/>
      <c r="AA56" s="98"/>
      <c r="AB56" s="145"/>
      <c r="AC56" s="6" t="s">
        <v>345</v>
      </c>
      <c r="AD56" s="6" cm="1">
        <f t="array" ref="AD56">angleConvert2Decimal(V55)*AD55</f>
        <v>15.002000000000001</v>
      </c>
      <c r="BN56" s="106"/>
      <c r="BO56" s="98"/>
    </row>
    <row r="57" spans="1:67" customFormat="1" ht="17.25" customHeight="1" thickTop="1" thickBot="1">
      <c r="A57" s="98"/>
      <c r="B57" s="98"/>
      <c r="C57" s="143"/>
      <c r="D57" s="143"/>
      <c r="E57" s="143"/>
      <c r="F57" s="402" t="str" cm="1">
        <f t="array" ref="F57">angleDecimal2Txt(F55)</f>
        <v>+311°38.03 (+311.6338) [+311°38'01.80]</v>
      </c>
      <c r="G57" s="402"/>
      <c r="H57" s="402"/>
      <c r="I57" s="402"/>
      <c r="J57" s="402"/>
      <c r="K57" s="402"/>
      <c r="L57" s="98"/>
      <c r="M57" s="98"/>
      <c r="N57" s="98"/>
      <c r="O57" s="98"/>
      <c r="P57" s="402" t="str" cm="1">
        <f t="array" ref="P57">angleDecimal2Txt(AD54)</f>
        <v>+311°38.00 (+311.6333) [+311°38'00.00]</v>
      </c>
      <c r="Q57" s="402"/>
      <c r="R57" s="402"/>
      <c r="S57" s="402"/>
      <c r="T57" s="402"/>
      <c r="U57" s="402" t="str" cm="1">
        <f t="array" ref="U57">angleDecimal2Txt(AD56)</f>
        <v>+15°00.12 (+15.0020) [+15°00'07.20]</v>
      </c>
      <c r="V57" s="588"/>
      <c r="W57" s="588"/>
      <c r="X57" s="588"/>
      <c r="Y57" s="588"/>
      <c r="Z57" s="98"/>
      <c r="AA57" s="98"/>
      <c r="AB57" s="145"/>
      <c r="AC57" s="6" t="s">
        <v>346</v>
      </c>
      <c r="AD57" s="6">
        <f>AD54+AD56*(I55-M55)</f>
        <v>311.63383340000001</v>
      </c>
      <c r="BN57" s="106"/>
      <c r="BO57" s="98"/>
    </row>
    <row r="58" spans="1:67" customFormat="1" ht="17.25" customHeight="1" thickTop="1">
      <c r="A58" s="98"/>
      <c r="B58" s="98"/>
      <c r="C58" s="143"/>
      <c r="D58" s="143"/>
      <c r="E58" s="143"/>
      <c r="F58" s="143"/>
      <c r="G58" s="143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6"/>
      <c r="T58" s="96"/>
      <c r="U58" s="96"/>
      <c r="V58" s="96"/>
      <c r="W58" s="96"/>
      <c r="X58" s="96"/>
      <c r="Y58" s="98"/>
      <c r="Z58" s="98"/>
      <c r="AA58" s="98"/>
      <c r="AB58" s="145"/>
      <c r="BN58" s="106"/>
      <c r="BO58" s="98"/>
    </row>
    <row r="59" spans="1:67" customFormat="1" ht="17.25" customHeight="1">
      <c r="A59" s="98"/>
      <c r="B59" s="98"/>
      <c r="C59" s="143"/>
      <c r="D59" s="143"/>
      <c r="E59" s="143"/>
      <c r="F59" s="143"/>
      <c r="G59" s="143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6"/>
      <c r="T59" s="96"/>
      <c r="U59" s="96"/>
      <c r="V59" s="96"/>
      <c r="W59" s="96"/>
      <c r="X59" s="98"/>
      <c r="Y59" s="98"/>
      <c r="Z59" s="98"/>
      <c r="AA59" s="98"/>
      <c r="AB59" s="145"/>
      <c r="BN59" s="106"/>
      <c r="BO59" s="98"/>
    </row>
    <row r="60" spans="1:67" customFormat="1" ht="17.25" customHeight="1" thickBot="1">
      <c r="A60" s="98"/>
      <c r="B60" s="98"/>
      <c r="C60" s="143"/>
      <c r="D60" s="143"/>
      <c r="E60" s="143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8"/>
      <c r="AB60" s="145"/>
      <c r="AI60" s="41"/>
      <c r="BN60" s="106"/>
      <c r="BO60" s="98"/>
    </row>
    <row r="61" spans="1:67" s="96" customFormat="1" ht="17.25" customHeight="1" thickBot="1">
      <c r="A61" s="98"/>
      <c r="B61" s="107" t="s">
        <v>51</v>
      </c>
      <c r="C61" s="108"/>
      <c r="D61" s="108"/>
      <c r="E61" s="108"/>
      <c r="F61" s="468">
        <f>I62</f>
        <v>251.13383339999996</v>
      </c>
      <c r="G61" s="468"/>
      <c r="H61" s="468"/>
      <c r="I61" s="108"/>
      <c r="J61" s="586" t="s">
        <v>83</v>
      </c>
      <c r="K61" s="586"/>
      <c r="L61" s="586"/>
      <c r="M61" s="558" t="str">
        <f>J18</f>
        <v>Polaire</v>
      </c>
      <c r="N61" s="558"/>
      <c r="O61" s="55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4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3"/>
    </row>
    <row r="62" spans="1:67" s="98" customFormat="1" ht="17.25" customHeight="1" thickBot="1">
      <c r="C62" s="665" t="s">
        <v>23</v>
      </c>
      <c r="D62" s="665"/>
      <c r="E62" s="665"/>
      <c r="F62" s="665"/>
      <c r="G62" s="665"/>
      <c r="H62" s="666"/>
      <c r="I62" s="660">
        <f>AD63</f>
        <v>251.13383339999996</v>
      </c>
      <c r="J62" s="661"/>
      <c r="K62" s="661"/>
      <c r="L62" s="662"/>
      <c r="M62" s="118" t="s">
        <v>53</v>
      </c>
      <c r="N62" s="534">
        <f>AD62</f>
        <v>611.13383339999996</v>
      </c>
      <c r="O62" s="534"/>
      <c r="P62" s="534"/>
      <c r="Q62" s="534"/>
      <c r="AB62" s="145"/>
      <c r="AC62" s="6" t="s">
        <v>348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6"/>
    </row>
    <row r="63" spans="1:67" s="98" customFormat="1" ht="17.25" customHeight="1" thickTop="1" thickBot="1">
      <c r="A63" s="96"/>
      <c r="C63" s="96"/>
      <c r="D63" s="96"/>
      <c r="E63" s="96"/>
      <c r="F63" s="96"/>
      <c r="G63" s="96"/>
      <c r="H63" s="96"/>
      <c r="I63" s="588" t="str" cm="1">
        <f t="array" ref="I63">angleDecimal2Txt(I62)</f>
        <v>+251°08.03 (+251.1338) [+251°08'01.80]</v>
      </c>
      <c r="J63" s="588"/>
      <c r="K63" s="588"/>
      <c r="L63" s="588"/>
      <c r="M63" s="588"/>
      <c r="N63" s="588"/>
      <c r="AB63" s="150"/>
      <c r="AC63" s="6" t="s">
        <v>349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6"/>
    </row>
    <row r="64" spans="1:67" s="98" customFormat="1" ht="17.25" customHeight="1" thickTop="1" thickBot="1">
      <c r="B64" s="96"/>
      <c r="AA64" s="96"/>
      <c r="AB64" s="14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6"/>
    </row>
    <row r="65" spans="1:67" s="98" customFormat="1" ht="17.25" customHeight="1" thickTop="1" thickBot="1">
      <c r="B65" s="107" t="s">
        <v>25</v>
      </c>
      <c r="C65" s="108"/>
      <c r="D65" s="633" t="s">
        <v>100</v>
      </c>
      <c r="E65" s="637"/>
      <c r="F65" s="468">
        <f>IF(G66=AD66,O103,O95)</f>
        <v>28.81798955310256</v>
      </c>
      <c r="G65" s="468"/>
      <c r="H65" s="468"/>
      <c r="I65" s="108"/>
      <c r="J65" s="693" t="str" cm="1">
        <f t="array" ref="J65">angleDecimal2Txt(F65)</f>
        <v>+28°49.07 (+28.8179) [+28°49'04.76]</v>
      </c>
      <c r="K65" s="694"/>
      <c r="L65" s="694"/>
      <c r="M65" s="694"/>
      <c r="N65" s="695"/>
      <c r="O65" s="108"/>
      <c r="P65" s="633"/>
      <c r="Q65" s="633"/>
      <c r="R65" s="108"/>
      <c r="S65" s="144"/>
      <c r="T65" s="108" t="s">
        <v>127</v>
      </c>
      <c r="U65" s="108"/>
      <c r="V65" s="672">
        <f>-O82+O77+O86</f>
        <v>-2.9962522682694469E-2</v>
      </c>
      <c r="W65" s="673"/>
      <c r="X65" s="674"/>
      <c r="Y65" s="179" t="str" cm="1">
        <f t="array" ref="Y65">angleDecimal2Txt(V65)</f>
        <v>-00°01.79 (-00.0299) [-00°01'47.86]</v>
      </c>
      <c r="Z65" s="179"/>
      <c r="AA65" s="179"/>
      <c r="AB65" s="18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6"/>
    </row>
    <row r="66" spans="1:67" s="98" customFormat="1" ht="17.25" customHeight="1">
      <c r="C66" s="466" t="s">
        <v>42</v>
      </c>
      <c r="D66" s="466"/>
      <c r="E66" s="466"/>
      <c r="F66" s="466"/>
      <c r="G66" s="587" t="s">
        <v>59</v>
      </c>
      <c r="H66" s="587"/>
      <c r="I66" s="587"/>
      <c r="P66" s="98" t="s">
        <v>97</v>
      </c>
      <c r="V66" s="96"/>
      <c r="W66" s="96"/>
      <c r="X66" s="96"/>
      <c r="Y66" s="96"/>
      <c r="Z66" s="96"/>
      <c r="AB66" s="145"/>
      <c r="AC66" s="664" t="s">
        <v>43</v>
      </c>
      <c r="AD66" s="152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6"/>
    </row>
    <row r="67" spans="1:67" s="98" customFormat="1" ht="17.25" customHeight="1" thickBot="1">
      <c r="C67" s="115"/>
      <c r="D67" s="115"/>
      <c r="E67" s="115"/>
      <c r="F67" s="539" t="s">
        <v>90</v>
      </c>
      <c r="G67" s="539"/>
      <c r="H67" s="589"/>
      <c r="I67" s="589"/>
      <c r="J67" s="671">
        <f>IF(G66=AD66,"---",O95)</f>
        <v>28.81798955310256</v>
      </c>
      <c r="K67" s="671"/>
      <c r="L67" s="671"/>
      <c r="V67" s="96"/>
      <c r="W67" s="96"/>
      <c r="X67" s="96"/>
      <c r="Y67" s="96"/>
      <c r="Z67" s="96"/>
      <c r="AB67" s="145"/>
      <c r="AC67" s="664"/>
      <c r="AD67" s="152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6"/>
    </row>
    <row r="68" spans="1:67" s="98" customFormat="1" ht="17.25" customHeight="1" thickTop="1" thickBot="1">
      <c r="H68" s="516" t="s">
        <v>55</v>
      </c>
      <c r="I68" s="516"/>
      <c r="J68" s="516"/>
      <c r="K68" s="516"/>
      <c r="L68" s="516"/>
      <c r="M68" s="516"/>
      <c r="N68" s="516"/>
      <c r="O68" s="389">
        <f>J17</f>
        <v>28.916666666666668</v>
      </c>
      <c r="P68" s="389"/>
      <c r="Q68" s="389"/>
      <c r="R68" s="389"/>
      <c r="S68" s="98" t="s">
        <v>71</v>
      </c>
      <c r="U68" s="402" t="str" cm="1">
        <f t="array" ref="U68">angleDecimal2Txt(O68)</f>
        <v>+28°55.00 (+28.9166) [+28°55'00.00]</v>
      </c>
      <c r="V68" s="402"/>
      <c r="W68" s="402"/>
      <c r="X68" s="402"/>
      <c r="Y68" s="402"/>
      <c r="Z68" s="402"/>
      <c r="AB68" s="145"/>
      <c r="AC68" s="6" t="s">
        <v>87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6"/>
    </row>
    <row r="69" spans="1:67" s="98" customFormat="1" ht="17.25" customHeight="1" thickTop="1" thickBot="1">
      <c r="H69" s="516" t="s">
        <v>26</v>
      </c>
      <c r="I69" s="516"/>
      <c r="J69" s="516"/>
      <c r="K69" s="516"/>
      <c r="L69" s="516"/>
      <c r="M69" s="516"/>
      <c r="N69" s="516"/>
      <c r="O69" s="389">
        <f>J16</f>
        <v>0</v>
      </c>
      <c r="P69" s="389"/>
      <c r="Q69" s="389"/>
      <c r="R69" s="389"/>
      <c r="S69" s="98" t="s">
        <v>71</v>
      </c>
      <c r="U69" s="402" t="str" cm="1">
        <f t="array" ref="U69">angleDecimal2Txt(O69)</f>
        <v>+00°00.00 (+00.0000) [+00°00'00.00]</v>
      </c>
      <c r="V69" s="402"/>
      <c r="W69" s="402"/>
      <c r="X69" s="402"/>
      <c r="Y69" s="402"/>
      <c r="Z69" s="402"/>
      <c r="AB69" s="145"/>
      <c r="AC69" s="6" t="s">
        <v>54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6"/>
    </row>
    <row r="70" spans="1:67" s="98" customFormat="1" ht="17.25" customHeight="1" thickTop="1" thickBot="1">
      <c r="C70" s="143"/>
      <c r="D70" s="143"/>
      <c r="E70" s="143"/>
      <c r="F70" s="143"/>
      <c r="H70" s="545" t="s">
        <v>96</v>
      </c>
      <c r="I70" s="545"/>
      <c r="J70" s="545"/>
      <c r="K70" s="545"/>
      <c r="L70" s="545"/>
      <c r="M70" s="545"/>
      <c r="N70" s="545"/>
      <c r="O70" s="398">
        <f>AD70</f>
        <v>6.871459088141324E-2</v>
      </c>
      <c r="P70" s="398"/>
      <c r="Q70" s="398"/>
      <c r="R70" s="398"/>
      <c r="S70" s="98" t="s">
        <v>71</v>
      </c>
      <c r="U70" s="402" t="str" cm="1">
        <f t="array" ref="U70">angleDecimal2Txt(O70)</f>
        <v>+00°04.12 (+00.0687) [+00°04'07.37]</v>
      </c>
      <c r="V70" s="402"/>
      <c r="W70" s="402"/>
      <c r="X70" s="402"/>
      <c r="Y70" s="402"/>
      <c r="Z70" s="402"/>
      <c r="AB70" s="145"/>
      <c r="AC70" s="158" t="s">
        <v>95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6"/>
    </row>
    <row r="71" spans="1:67" s="98" customFormat="1" ht="17.25" customHeight="1" thickTop="1" thickBot="1">
      <c r="C71" s="143"/>
      <c r="D71" s="143"/>
      <c r="E71" s="143"/>
      <c r="F71" s="143"/>
      <c r="G71" s="143"/>
      <c r="K71" s="96"/>
      <c r="L71" s="96"/>
      <c r="M71" s="643" t="s">
        <v>178</v>
      </c>
      <c r="N71" s="643"/>
      <c r="O71" s="643"/>
      <c r="P71" s="643"/>
      <c r="Q71" s="96"/>
      <c r="R71" s="96"/>
      <c r="U71" s="96"/>
      <c r="V71" s="96"/>
      <c r="W71" s="96"/>
      <c r="X71" s="96"/>
      <c r="Y71" s="96"/>
      <c r="Z71" s="96"/>
      <c r="AB71" s="14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6"/>
    </row>
    <row r="72" spans="1:67" s="98" customFormat="1" ht="17.25" customHeight="1" thickTop="1" thickBot="1">
      <c r="C72" s="143"/>
      <c r="D72" s="143"/>
      <c r="E72" s="143"/>
      <c r="F72" s="143"/>
      <c r="H72" s="446" t="s">
        <v>56</v>
      </c>
      <c r="I72" s="446"/>
      <c r="J72" s="446"/>
      <c r="K72" s="446"/>
      <c r="L72" s="446"/>
      <c r="M72" s="446"/>
      <c r="N72" s="446"/>
      <c r="O72" s="557">
        <f>O68-O69-O70</f>
        <v>28.847952075785255</v>
      </c>
      <c r="P72" s="538"/>
      <c r="Q72" s="98" t="s">
        <v>71</v>
      </c>
      <c r="R72" s="563">
        <f>O72*D123</f>
        <v>0.50349174617998549</v>
      </c>
      <c r="S72" s="563"/>
      <c r="T72" s="119" t="s">
        <v>92</v>
      </c>
      <c r="U72" s="402" t="str" cm="1">
        <f t="array" ref="U72">angleDecimal2Txt(O72)</f>
        <v>+28°50.87 (+28.8479) [+28°50'52.62]</v>
      </c>
      <c r="V72" s="402"/>
      <c r="W72" s="402"/>
      <c r="X72" s="402"/>
      <c r="Y72" s="402"/>
      <c r="Z72" s="402"/>
      <c r="AB72" s="14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6"/>
    </row>
    <row r="73" spans="1:67" s="98" customFormat="1" ht="17.25" customHeight="1" thickTop="1"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U73" s="96"/>
      <c r="V73" s="96"/>
      <c r="W73" s="96"/>
      <c r="X73" s="96"/>
      <c r="Y73" s="96"/>
      <c r="Z73" s="96"/>
      <c r="AB73" s="14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6"/>
    </row>
    <row r="74" spans="1:67" s="98" customFormat="1" ht="17.25" customHeight="1">
      <c r="C74" s="143"/>
      <c r="D74" s="143"/>
      <c r="E74" s="143"/>
      <c r="F74" s="143"/>
      <c r="H74" s="96"/>
      <c r="I74" s="96"/>
      <c r="J74" s="96"/>
      <c r="K74" s="96"/>
      <c r="L74" s="96"/>
      <c r="M74" s="559" t="s">
        <v>89</v>
      </c>
      <c r="N74" s="559"/>
      <c r="O74" s="559"/>
      <c r="P74" s="559"/>
      <c r="Q74" s="96"/>
      <c r="R74" s="96"/>
      <c r="U74" s="96"/>
      <c r="V74" s="96"/>
      <c r="W74" s="96"/>
      <c r="X74" s="96"/>
      <c r="Y74" s="96"/>
      <c r="Z74" s="96"/>
      <c r="AB74" s="14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6"/>
    </row>
    <row r="75" spans="1:67" s="98" customFormat="1" ht="17.25" customHeight="1" thickBot="1">
      <c r="M75" s="560" t="s">
        <v>243</v>
      </c>
      <c r="N75" s="560"/>
      <c r="O75" s="559"/>
      <c r="P75" s="559"/>
      <c r="AB75" s="14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6"/>
    </row>
    <row r="76" spans="1:67" s="98" customFormat="1" ht="17.25" customHeight="1" thickTop="1" thickBot="1">
      <c r="A76" s="96"/>
      <c r="B76" s="96"/>
      <c r="C76" s="96"/>
      <c r="D76" s="96"/>
      <c r="E76" s="96"/>
      <c r="H76" s="398" t="s">
        <v>60</v>
      </c>
      <c r="I76" s="398"/>
      <c r="J76" s="398"/>
      <c r="K76" s="398"/>
      <c r="L76" s="398"/>
      <c r="M76" s="398"/>
      <c r="N76" s="398"/>
      <c r="O76" s="561">
        <v>0</v>
      </c>
      <c r="P76" s="562"/>
      <c r="Q76" s="562"/>
      <c r="R76" s="562"/>
      <c r="S76" s="98" t="s">
        <v>71</v>
      </c>
      <c r="U76" s="402" t="str" cm="1">
        <f t="array" ref="U76">angleDecimal2Txt(O76)</f>
        <v>+00°00.00 (+00.0000) [+00°00'00.00]</v>
      </c>
      <c r="V76" s="402"/>
      <c r="W76" s="402"/>
      <c r="X76" s="402"/>
      <c r="Y76" s="402"/>
      <c r="Z76" s="402"/>
      <c r="AB76" s="145"/>
      <c r="AC76" s="6" t="s">
        <v>350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6"/>
    </row>
    <row r="77" spans="1:67" customFormat="1" ht="17.25" customHeight="1" thickTop="1" thickBot="1">
      <c r="A77" s="96"/>
      <c r="B77" s="96"/>
      <c r="C77" s="96"/>
      <c r="D77" s="96"/>
      <c r="E77" s="96"/>
      <c r="F77" s="98"/>
      <c r="G77" s="98"/>
      <c r="H77" s="526" t="s">
        <v>244</v>
      </c>
      <c r="I77" s="527"/>
      <c r="J77" s="527"/>
      <c r="K77" s="527"/>
      <c r="L77" s="527"/>
      <c r="M77" s="527"/>
      <c r="N77" s="528"/>
      <c r="O77" s="390">
        <f>AD76</f>
        <v>0</v>
      </c>
      <c r="P77" s="390"/>
      <c r="Q77" s="390"/>
      <c r="R77" s="390"/>
      <c r="S77" s="98" t="s">
        <v>71</v>
      </c>
      <c r="T77" s="98"/>
      <c r="U77" s="402" t="str" cm="1">
        <f t="array" ref="U77">angleDecimal2Txt(O77)</f>
        <v>+00°00.00 (+00.0000) [+00°00'00.00]</v>
      </c>
      <c r="V77" s="402"/>
      <c r="W77" s="402"/>
      <c r="X77" s="402"/>
      <c r="Y77" s="402"/>
      <c r="Z77" s="402"/>
      <c r="AA77" s="98"/>
      <c r="AB77" s="145"/>
      <c r="BN77" s="106"/>
      <c r="BO77" s="98"/>
    </row>
    <row r="78" spans="1:67" customFormat="1" ht="17.25" customHeight="1" thickTop="1">
      <c r="A78" s="96"/>
      <c r="B78" s="96"/>
      <c r="C78" s="96"/>
      <c r="D78" s="96"/>
      <c r="E78" s="96"/>
      <c r="F78" s="98"/>
      <c r="G78" s="98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8"/>
      <c r="AB78" s="145"/>
      <c r="BN78" s="106"/>
      <c r="BO78" s="98"/>
    </row>
    <row r="79" spans="1:67" customFormat="1" ht="17.25" customHeight="1">
      <c r="A79" s="96"/>
      <c r="B79" s="96"/>
      <c r="C79" s="96"/>
      <c r="D79" s="96"/>
      <c r="E79" s="143"/>
      <c r="F79" s="98"/>
      <c r="G79" s="98"/>
      <c r="H79" s="96"/>
      <c r="I79" s="96"/>
      <c r="J79" s="96"/>
      <c r="K79" s="96"/>
      <c r="L79" s="96"/>
      <c r="M79" s="96"/>
      <c r="N79" s="96"/>
      <c r="O79" s="96"/>
      <c r="P79" s="98"/>
      <c r="Q79" s="98"/>
      <c r="R79" s="98"/>
      <c r="S79" s="512" t="s">
        <v>195</v>
      </c>
      <c r="T79" s="513"/>
      <c r="U79" s="514"/>
      <c r="V79" s="98"/>
      <c r="W79" s="98"/>
      <c r="X79" s="98"/>
      <c r="Y79" s="96"/>
      <c r="Z79" s="96"/>
      <c r="AA79" s="98"/>
      <c r="AB79" s="145"/>
      <c r="AC79" s="6" t="s">
        <v>57</v>
      </c>
      <c r="AD79" s="6" t="s">
        <v>352</v>
      </c>
      <c r="BN79" s="106"/>
      <c r="BO79" s="98"/>
    </row>
    <row r="80" spans="1:67" customFormat="1" ht="17.25" customHeight="1">
      <c r="A80" s="96"/>
      <c r="B80" s="96"/>
      <c r="C80" s="96"/>
      <c r="D80" s="96"/>
      <c r="E80" s="143"/>
      <c r="F80" s="98"/>
      <c r="G80" s="98"/>
      <c r="H80" s="398" t="s">
        <v>93</v>
      </c>
      <c r="I80" s="398"/>
      <c r="J80" s="398"/>
      <c r="K80" s="398"/>
      <c r="L80" s="398"/>
      <c r="M80" s="398"/>
      <c r="N80" s="398"/>
      <c r="O80" s="529">
        <f>S80</f>
        <v>10</v>
      </c>
      <c r="P80" s="530"/>
      <c r="Q80" s="530"/>
      <c r="R80" s="530"/>
      <c r="S80" s="640">
        <v>10</v>
      </c>
      <c r="T80" s="641"/>
      <c r="U80" s="642"/>
      <c r="V80" s="98"/>
      <c r="W80" s="98"/>
      <c r="X80" s="98"/>
      <c r="Y80" s="96"/>
      <c r="Z80" s="96"/>
      <c r="AA80" s="98"/>
      <c r="AB80" s="145"/>
      <c r="AC80" s="6" t="s">
        <v>353</v>
      </c>
      <c r="AD80" s="6">
        <f>1/TAN((O72 + 7.31 / (O72 + 4.4)) *D123)</f>
        <v>1.7990227551349083</v>
      </c>
      <c r="BN80" s="106"/>
      <c r="BO80" s="98"/>
    </row>
    <row r="81" spans="1:67" customFormat="1" ht="17.25" customHeight="1" thickBot="1">
      <c r="A81" s="96"/>
      <c r="B81" s="96"/>
      <c r="C81" s="96"/>
      <c r="D81" s="96"/>
      <c r="E81" s="96"/>
      <c r="F81" s="98"/>
      <c r="G81" s="98"/>
      <c r="H81" s="398" t="s">
        <v>94</v>
      </c>
      <c r="I81" s="398"/>
      <c r="J81" s="398"/>
      <c r="K81" s="398"/>
      <c r="L81" s="398"/>
      <c r="M81" s="398"/>
      <c r="N81" s="398"/>
      <c r="O81" s="529">
        <f>S81</f>
        <v>1010</v>
      </c>
      <c r="P81" s="530"/>
      <c r="Q81" s="530"/>
      <c r="R81" s="530"/>
      <c r="S81" s="640">
        <v>1010</v>
      </c>
      <c r="T81" s="641"/>
      <c r="U81" s="642"/>
      <c r="V81" s="98"/>
      <c r="W81" s="98"/>
      <c r="X81" s="98"/>
      <c r="Y81" s="96"/>
      <c r="Z81" s="96"/>
      <c r="AA81" s="98"/>
      <c r="AB81" s="145"/>
      <c r="AC81" s="6" t="s">
        <v>354</v>
      </c>
      <c r="AD81" s="6">
        <f>AD80/60</f>
        <v>2.9983712585581804E-2</v>
      </c>
      <c r="BN81" s="106"/>
      <c r="BO81" s="98"/>
    </row>
    <row r="82" spans="1:67" customFormat="1" ht="17.25" customHeight="1" thickTop="1" thickBot="1">
      <c r="A82" s="96"/>
      <c r="B82" s="96"/>
      <c r="C82" s="96"/>
      <c r="D82" s="96"/>
      <c r="E82" s="96"/>
      <c r="F82" s="98"/>
      <c r="G82" s="98"/>
      <c r="H82" s="526" t="s">
        <v>245</v>
      </c>
      <c r="I82" s="527"/>
      <c r="J82" s="527"/>
      <c r="K82" s="527"/>
      <c r="L82" s="527"/>
      <c r="M82" s="527"/>
      <c r="N82" s="528"/>
      <c r="O82" s="390">
        <f>AD83</f>
        <v>2.9962522682694469E-2</v>
      </c>
      <c r="P82" s="390"/>
      <c r="Q82" s="390"/>
      <c r="R82" s="390"/>
      <c r="S82" s="98" t="s">
        <v>71</v>
      </c>
      <c r="T82" s="98"/>
      <c r="U82" s="402" t="str" cm="1">
        <f t="array" ref="U82">angleDecimal2Txt(O82)</f>
        <v>+00°01.79 (+00.0299) [+00°01'47.86]</v>
      </c>
      <c r="V82" s="402"/>
      <c r="W82" s="402"/>
      <c r="X82" s="402"/>
      <c r="Y82" s="402"/>
      <c r="Z82" s="402"/>
      <c r="AA82" s="98"/>
      <c r="AB82" s="145"/>
      <c r="AC82" s="6" t="s">
        <v>128</v>
      </c>
      <c r="AD82" s="6">
        <f xml:space="preserve"> 0.28 * O81 / (273 + O80)</f>
        <v>0.99929328621908131</v>
      </c>
      <c r="BN82" s="106"/>
      <c r="BO82" s="98"/>
    </row>
    <row r="83" spans="1:67" customFormat="1" ht="17.25" customHeight="1" thickTop="1">
      <c r="A83" s="96"/>
      <c r="B83" s="96"/>
      <c r="C83" s="96"/>
      <c r="D83" s="96"/>
      <c r="E83" s="96"/>
      <c r="F83" s="98"/>
      <c r="G83" s="98"/>
      <c r="H83" s="96"/>
      <c r="I83" s="96"/>
      <c r="J83" s="96"/>
      <c r="K83" s="96"/>
      <c r="L83" s="96"/>
      <c r="M83" s="96"/>
      <c r="N83" s="96"/>
      <c r="O83" s="96"/>
      <c r="P83" s="98"/>
      <c r="Q83" s="98"/>
      <c r="R83" s="98"/>
      <c r="S83" s="98"/>
      <c r="T83" s="98"/>
      <c r="U83" s="98"/>
      <c r="V83" s="98"/>
      <c r="W83" s="98"/>
      <c r="X83" s="98"/>
      <c r="Y83" s="96"/>
      <c r="Z83" s="96"/>
      <c r="AA83" s="98"/>
      <c r="AB83" s="145"/>
      <c r="AC83" s="6" t="s">
        <v>351</v>
      </c>
      <c r="AD83" s="6">
        <f>AD82*AD81</f>
        <v>2.9962522682694469E-2</v>
      </c>
      <c r="BN83" s="106"/>
      <c r="BO83" s="98"/>
    </row>
    <row r="84" spans="1:67" customFormat="1" ht="17.25" customHeight="1">
      <c r="A84" s="96"/>
      <c r="B84" s="96"/>
      <c r="C84" s="96"/>
      <c r="D84" s="96"/>
      <c r="E84" s="96"/>
      <c r="F84" s="98"/>
      <c r="G84" s="98"/>
      <c r="H84" s="398" t="s">
        <v>134</v>
      </c>
      <c r="I84" s="398"/>
      <c r="J84" s="398"/>
      <c r="K84" s="398"/>
      <c r="L84" s="398"/>
      <c r="M84" s="398"/>
      <c r="N84" s="398"/>
      <c r="O84" s="515">
        <v>0</v>
      </c>
      <c r="P84" s="515"/>
      <c r="Q84" s="515"/>
      <c r="R84" s="515"/>
      <c r="S84" s="98"/>
      <c r="T84" s="98"/>
      <c r="U84" s="98"/>
      <c r="V84" s="98"/>
      <c r="W84" s="98"/>
      <c r="X84" s="98"/>
      <c r="Y84" s="98"/>
      <c r="Z84" s="98"/>
      <c r="AA84" s="98"/>
      <c r="AB84" s="145"/>
      <c r="BN84" s="106"/>
      <c r="BO84" s="98"/>
    </row>
    <row r="85" spans="1:67" customFormat="1" ht="17.25" customHeight="1" thickBot="1">
      <c r="A85" s="98"/>
      <c r="B85" s="96"/>
      <c r="C85" s="96"/>
      <c r="D85" s="96"/>
      <c r="E85" s="143"/>
      <c r="F85" s="143"/>
      <c r="G85" s="143"/>
      <c r="H85" s="398" t="s">
        <v>98</v>
      </c>
      <c r="I85" s="398"/>
      <c r="J85" s="398"/>
      <c r="K85" s="398"/>
      <c r="L85" s="398"/>
      <c r="M85" s="398"/>
      <c r="N85" s="398"/>
      <c r="O85" s="515">
        <f>J19</f>
        <v>0</v>
      </c>
      <c r="P85" s="515"/>
      <c r="Q85" s="515"/>
      <c r="R85" s="515"/>
      <c r="S85" s="98"/>
      <c r="T85" s="98"/>
      <c r="U85" s="98"/>
      <c r="V85" s="98"/>
      <c r="W85" s="98"/>
      <c r="X85" s="98"/>
      <c r="Y85" s="98"/>
      <c r="Z85" s="98"/>
      <c r="AA85" s="98"/>
      <c r="AB85" s="145"/>
      <c r="AC85" s="6" t="s">
        <v>37</v>
      </c>
      <c r="AD85" s="378" t="str">
        <f>J18</f>
        <v>Polaire</v>
      </c>
      <c r="AE85" s="378"/>
      <c r="BN85" s="106"/>
      <c r="BO85" s="98"/>
    </row>
    <row r="86" spans="1:67" customFormat="1" ht="17.25" customHeight="1" thickTop="1" thickBot="1">
      <c r="A86" s="98"/>
      <c r="B86" s="98"/>
      <c r="C86" s="143"/>
      <c r="D86" s="143"/>
      <c r="E86" s="143"/>
      <c r="F86" s="143"/>
      <c r="G86" s="143"/>
      <c r="H86" s="531" t="s">
        <v>99</v>
      </c>
      <c r="I86" s="532"/>
      <c r="J86" s="532"/>
      <c r="K86" s="532"/>
      <c r="L86" s="532"/>
      <c r="M86" s="532"/>
      <c r="N86" s="533"/>
      <c r="O86" s="534">
        <f>AD89</f>
        <v>0</v>
      </c>
      <c r="P86" s="534"/>
      <c r="Q86" s="534"/>
      <c r="R86" s="534"/>
      <c r="S86" s="98" t="s">
        <v>71</v>
      </c>
      <c r="T86" s="98"/>
      <c r="U86" s="402" t="str" cm="1">
        <f t="array" ref="U86">angleDecimal2Txt(O86)</f>
        <v>+00°00.00 (+00.0000) [+00°00'00.00]</v>
      </c>
      <c r="V86" s="402"/>
      <c r="W86" s="402"/>
      <c r="X86" s="402"/>
      <c r="Y86" s="402"/>
      <c r="Z86" s="402"/>
      <c r="AA86" s="98"/>
      <c r="AB86" s="145"/>
      <c r="AC86" s="6" t="s">
        <v>358</v>
      </c>
      <c r="AD86" s="378">
        <f>O85</f>
        <v>0</v>
      </c>
      <c r="AE86" s="378"/>
      <c r="BN86" s="106"/>
      <c r="BO86" s="98"/>
    </row>
    <row r="87" spans="1:67" customFormat="1" ht="17.25" customHeight="1" thickTop="1">
      <c r="A87" s="98"/>
      <c r="B87" s="98"/>
      <c r="C87" s="143"/>
      <c r="D87" s="143"/>
      <c r="E87" s="143"/>
      <c r="F87" s="143"/>
      <c r="G87" s="143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8"/>
      <c r="AB87" s="145"/>
      <c r="AC87" s="6" t="s">
        <v>359</v>
      </c>
      <c r="AD87" s="636">
        <v>0</v>
      </c>
      <c r="AE87" s="636"/>
      <c r="BN87" s="106"/>
      <c r="BO87" s="98"/>
    </row>
    <row r="88" spans="1:67" customFormat="1" ht="17.25" customHeight="1">
      <c r="A88" s="98"/>
      <c r="B88" s="98"/>
      <c r="C88" s="143"/>
      <c r="D88" s="143"/>
      <c r="E88" s="143"/>
      <c r="F88" s="143"/>
      <c r="G88" s="542" t="s">
        <v>170</v>
      </c>
      <c r="H88" s="543"/>
      <c r="I88" s="543"/>
      <c r="J88" s="543"/>
      <c r="K88" s="543"/>
      <c r="L88" s="543"/>
      <c r="M88" s="543"/>
      <c r="N88" s="543"/>
      <c r="O88" s="543"/>
      <c r="P88" s="543"/>
      <c r="Q88" s="543"/>
      <c r="R88" s="543"/>
      <c r="S88" s="544"/>
      <c r="T88" s="96"/>
      <c r="U88" s="96"/>
      <c r="V88" s="96"/>
      <c r="W88" s="96"/>
      <c r="X88" s="96"/>
      <c r="Y88" s="96"/>
      <c r="Z88" s="96"/>
      <c r="AA88" s="98"/>
      <c r="AB88" s="145"/>
      <c r="AC88" s="6" t="s">
        <v>134</v>
      </c>
      <c r="AD88" s="6">
        <v>0</v>
      </c>
      <c r="AE88" s="6" cm="1">
        <f t="array" ref="AE88">angleConvert2Decimal(AD88)</f>
        <v>0</v>
      </c>
      <c r="BN88" s="106"/>
      <c r="BO88" s="98"/>
    </row>
    <row r="89" spans="1:67" customFormat="1" ht="17.25" customHeight="1">
      <c r="A89" s="98"/>
      <c r="B89" s="98"/>
      <c r="C89" s="143"/>
      <c r="D89" s="143"/>
      <c r="E89" s="143"/>
      <c r="F89" s="143"/>
      <c r="G89" s="546" t="s">
        <v>183</v>
      </c>
      <c r="H89" s="548"/>
      <c r="I89" s="564" t="s">
        <v>175</v>
      </c>
      <c r="J89" s="565"/>
      <c r="K89" s="565"/>
      <c r="L89" s="565"/>
      <c r="M89" s="565"/>
      <c r="N89" s="566"/>
      <c r="O89" s="517">
        <f>(O77-O82-O70+O84/2) * 60</f>
        <v>-5.9206268138464626</v>
      </c>
      <c r="P89" s="518"/>
      <c r="Q89" s="518"/>
      <c r="R89" s="518"/>
      <c r="S89" s="521" t="s">
        <v>171</v>
      </c>
      <c r="T89" s="96"/>
      <c r="U89" s="96"/>
      <c r="V89" s="96"/>
      <c r="W89" s="96"/>
      <c r="X89" s="96"/>
      <c r="Y89" s="96"/>
      <c r="Z89" s="96"/>
      <c r="AA89" s="98"/>
      <c r="AB89" s="145"/>
      <c r="AC89" s="6" t="s">
        <v>359</v>
      </c>
      <c r="AD89" s="636">
        <f>AE88*AD87</f>
        <v>0</v>
      </c>
      <c r="AE89" s="636"/>
      <c r="BN89" s="106"/>
      <c r="BO89" s="98"/>
    </row>
    <row r="90" spans="1:67" customFormat="1" ht="17.25" customHeight="1">
      <c r="A90" s="98"/>
      <c r="B90" s="98"/>
      <c r="C90" s="143"/>
      <c r="D90" s="143"/>
      <c r="E90" s="143"/>
      <c r="F90" s="143"/>
      <c r="G90" s="644"/>
      <c r="H90" s="645"/>
      <c r="I90" s="567" t="s">
        <v>179</v>
      </c>
      <c r="J90" s="568"/>
      <c r="K90" s="568"/>
      <c r="L90" s="568"/>
      <c r="M90" s="568"/>
      <c r="N90" s="569"/>
      <c r="O90" s="519"/>
      <c r="P90" s="520"/>
      <c r="Q90" s="520"/>
      <c r="R90" s="520"/>
      <c r="S90" s="522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8"/>
      <c r="B91" s="98"/>
      <c r="C91" s="143"/>
      <c r="D91" s="143"/>
      <c r="E91" s="143"/>
      <c r="F91" s="143"/>
      <c r="G91" s="143"/>
      <c r="H91" s="96"/>
      <c r="I91" s="564" t="s">
        <v>176</v>
      </c>
      <c r="J91" s="565"/>
      <c r="K91" s="565"/>
      <c r="L91" s="565"/>
      <c r="M91" s="565"/>
      <c r="N91" s="566"/>
      <c r="O91" s="518">
        <f>(O77-O82+O84/2)*60</f>
        <v>-1.7977513609616682</v>
      </c>
      <c r="P91" s="518"/>
      <c r="Q91" s="518"/>
      <c r="R91" s="518"/>
      <c r="S91" s="521" t="s">
        <v>171</v>
      </c>
      <c r="T91" s="96"/>
      <c r="U91" s="96"/>
      <c r="V91" s="96"/>
      <c r="W91" s="96"/>
      <c r="X91" s="96"/>
      <c r="Y91" s="96"/>
      <c r="Z91" s="96"/>
      <c r="AA91" s="98"/>
      <c r="AB91" s="145"/>
      <c r="BN91" s="106"/>
      <c r="BO91" s="98"/>
    </row>
    <row r="92" spans="1:67" customFormat="1" ht="17.25" customHeight="1">
      <c r="A92" s="98"/>
      <c r="B92" s="98"/>
      <c r="C92" s="143"/>
      <c r="D92" s="143"/>
      <c r="E92" s="143"/>
      <c r="F92" s="143"/>
      <c r="G92" s="143"/>
      <c r="H92" s="96"/>
      <c r="I92" s="523" t="s">
        <v>177</v>
      </c>
      <c r="J92" s="524"/>
      <c r="K92" s="524"/>
      <c r="L92" s="524"/>
      <c r="M92" s="524"/>
      <c r="N92" s="525"/>
      <c r="O92" s="520"/>
      <c r="P92" s="520"/>
      <c r="Q92" s="520"/>
      <c r="R92" s="520"/>
      <c r="S92" s="522"/>
      <c r="T92" s="96"/>
      <c r="U92" s="96"/>
      <c r="V92" s="96"/>
      <c r="W92" s="96"/>
      <c r="X92" s="96"/>
      <c r="Y92" s="96"/>
      <c r="Z92" s="96"/>
      <c r="AA92" s="98"/>
      <c r="AB92" s="145"/>
      <c r="BN92" s="106"/>
      <c r="BO92" s="98"/>
    </row>
    <row r="93" spans="1:67" customFormat="1" ht="17.25" customHeight="1">
      <c r="A93" s="98"/>
      <c r="B93" s="98"/>
      <c r="C93" s="143"/>
      <c r="D93" s="143"/>
      <c r="E93" s="143"/>
      <c r="F93" s="143"/>
      <c r="G93" s="143"/>
      <c r="H93" s="96"/>
      <c r="I93" s="489" t="s">
        <v>99</v>
      </c>
      <c r="J93" s="489"/>
      <c r="K93" s="489"/>
      <c r="L93" s="489"/>
      <c r="M93" s="489"/>
      <c r="N93" s="489"/>
      <c r="O93" s="490">
        <f>O86*60</f>
        <v>0</v>
      </c>
      <c r="P93" s="491"/>
      <c r="Q93" s="491"/>
      <c r="R93" s="491"/>
      <c r="S93" s="159" t="s">
        <v>171</v>
      </c>
      <c r="T93" s="96"/>
      <c r="U93" s="96"/>
      <c r="V93" s="96"/>
      <c r="W93" s="96"/>
      <c r="X93" s="96"/>
      <c r="Y93" s="96"/>
      <c r="Z93" s="96"/>
      <c r="AA93" s="98"/>
      <c r="AB93" s="145"/>
      <c r="BN93" s="106"/>
      <c r="BO93" s="98"/>
    </row>
    <row r="94" spans="1:67" customFormat="1" ht="17.25" customHeight="1" thickBot="1">
      <c r="A94" s="98"/>
      <c r="B94" s="98"/>
      <c r="C94" s="143"/>
      <c r="D94" s="143"/>
      <c r="E94" s="143"/>
      <c r="F94" s="143"/>
      <c r="G94" s="143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8"/>
      <c r="T94" s="98"/>
      <c r="U94" s="98"/>
      <c r="V94" s="98"/>
      <c r="W94" s="98"/>
      <c r="X94" s="98"/>
      <c r="Y94" s="98"/>
      <c r="Z94" s="98"/>
      <c r="AA94" s="98"/>
      <c r="AB94" s="145"/>
      <c r="BN94" s="106"/>
      <c r="BO94" s="98"/>
    </row>
    <row r="95" spans="1:67" customFormat="1" ht="17.25" customHeight="1" thickTop="1" thickBot="1">
      <c r="A95" s="98"/>
      <c r="B95" s="98"/>
      <c r="C95" s="143"/>
      <c r="D95" s="143"/>
      <c r="E95" s="143"/>
      <c r="F95" s="143"/>
      <c r="G95" s="143"/>
      <c r="H95" s="535" t="s">
        <v>246</v>
      </c>
      <c r="I95" s="536"/>
      <c r="J95" s="536"/>
      <c r="K95" s="536"/>
      <c r="L95" s="536"/>
      <c r="M95" s="536"/>
      <c r="N95" s="537"/>
      <c r="O95" s="538">
        <f>O72-O82+O77+O86</f>
        <v>28.81798955310256</v>
      </c>
      <c r="P95" s="390"/>
      <c r="Q95" s="390"/>
      <c r="R95" s="390"/>
      <c r="S95" s="98" t="s">
        <v>71</v>
      </c>
      <c r="T95" s="98"/>
      <c r="U95" s="402" t="str" cm="1">
        <f t="array" ref="U95">angleDecimal2Txt(O95)</f>
        <v>+28°49.07 (+28.8179) [+28°49'04.76]</v>
      </c>
      <c r="V95" s="402"/>
      <c r="W95" s="402"/>
      <c r="X95" s="402"/>
      <c r="Y95" s="402"/>
      <c r="Z95" s="402"/>
      <c r="AA95" s="98"/>
      <c r="AB95" s="145"/>
      <c r="BN95" s="106"/>
      <c r="BO95" s="98"/>
    </row>
    <row r="96" spans="1:67" customFormat="1" ht="17.25" customHeight="1" thickTop="1">
      <c r="A96" s="98"/>
      <c r="B96" s="98"/>
      <c r="C96" s="143"/>
      <c r="D96" s="143"/>
      <c r="E96" s="143"/>
      <c r="F96" s="143"/>
      <c r="G96" s="143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>
      <c r="A97" s="98"/>
      <c r="B97" s="98"/>
      <c r="C97" s="143"/>
      <c r="D97" s="143"/>
      <c r="E97" s="143"/>
      <c r="F97" s="539" t="s">
        <v>91</v>
      </c>
      <c r="G97" s="539"/>
      <c r="H97" s="539"/>
      <c r="I97" s="539"/>
      <c r="J97" s="390" t="str">
        <f>IF(G66=AD66,O103,"---")</f>
        <v>---</v>
      </c>
      <c r="K97" s="390"/>
      <c r="L97" s="390"/>
      <c r="M97" s="98"/>
      <c r="N97" s="98"/>
      <c r="O97" s="98"/>
      <c r="P97" s="98"/>
      <c r="Q97" s="98"/>
      <c r="R97" s="120" t="s">
        <v>112</v>
      </c>
      <c r="S97" s="98" t="s">
        <v>40</v>
      </c>
      <c r="T97" s="98"/>
      <c r="U97" s="98"/>
      <c r="V97" s="98"/>
      <c r="W97" s="98"/>
      <c r="X97" s="98"/>
      <c r="Y97" s="98"/>
      <c r="Z97" s="98"/>
      <c r="AA97" s="98"/>
      <c r="AB97" s="145"/>
      <c r="BN97" s="106"/>
      <c r="BO97" s="98"/>
    </row>
    <row r="98" spans="1:67" customFormat="1" ht="17.25" customHeight="1">
      <c r="A98" s="98"/>
      <c r="B98" s="98"/>
      <c r="C98" s="143"/>
      <c r="D98" s="143"/>
      <c r="E98" s="143"/>
      <c r="F98" s="143"/>
      <c r="G98" s="143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121" t="s">
        <v>108</v>
      </c>
      <c r="S98" s="98" t="s">
        <v>110</v>
      </c>
      <c r="T98" s="98"/>
      <c r="U98" s="98"/>
      <c r="V98" s="98"/>
      <c r="W98" s="98"/>
      <c r="X98" s="98"/>
      <c r="Y98" s="98"/>
      <c r="Z98" s="98"/>
      <c r="AA98" s="98"/>
      <c r="AB98" s="145"/>
      <c r="BN98" s="106"/>
      <c r="BO98" s="98"/>
    </row>
    <row r="99" spans="1:67" customFormat="1" ht="17.25" customHeight="1">
      <c r="A99" s="98"/>
      <c r="B99" s="98"/>
      <c r="C99" s="143"/>
      <c r="D99" s="143"/>
      <c r="E99" s="143"/>
      <c r="F99" s="143"/>
      <c r="G99" s="143"/>
      <c r="H99" s="98" t="s">
        <v>100</v>
      </c>
      <c r="I99" s="122" t="s">
        <v>102</v>
      </c>
      <c r="J99" s="98" t="s">
        <v>88</v>
      </c>
      <c r="K99" s="122" t="s">
        <v>105</v>
      </c>
      <c r="L99" s="98" t="s">
        <v>87</v>
      </c>
      <c r="M99" s="98"/>
      <c r="N99" s="122" t="s">
        <v>106</v>
      </c>
      <c r="O99" s="98"/>
      <c r="P99" s="98"/>
      <c r="Q99" s="122" t="s">
        <v>107</v>
      </c>
      <c r="R99" s="123" t="s">
        <v>109</v>
      </c>
      <c r="S99" s="98" t="s">
        <v>111</v>
      </c>
      <c r="T99" s="98"/>
      <c r="U99" s="98"/>
      <c r="AB99" s="145"/>
      <c r="BN99" s="106"/>
      <c r="BO99" s="98"/>
    </row>
    <row r="100" spans="1:67" customFormat="1" ht="17.25" customHeight="1" thickBot="1">
      <c r="A100" s="98"/>
      <c r="B100" s="98"/>
      <c r="C100" s="143"/>
      <c r="D100" s="143"/>
      <c r="E100" s="143"/>
      <c r="F100" s="143"/>
      <c r="G100" s="143"/>
      <c r="H100" s="98"/>
      <c r="I100" s="122"/>
      <c r="J100" s="124">
        <f>O68</f>
        <v>28.916666666666668</v>
      </c>
      <c r="K100" s="122" t="s">
        <v>105</v>
      </c>
      <c r="L100" s="125">
        <f>O69</f>
        <v>0</v>
      </c>
      <c r="M100" s="98"/>
      <c r="N100" s="918" t="s">
        <v>250</v>
      </c>
      <c r="O100" s="918"/>
      <c r="P100" s="918"/>
      <c r="Q100" s="122" t="s">
        <v>107</v>
      </c>
      <c r="R100" s="126">
        <v>0</v>
      </c>
      <c r="S100" s="98"/>
      <c r="T100" s="98"/>
      <c r="U100" s="98"/>
      <c r="AB100" s="145"/>
      <c r="BN100" s="106"/>
      <c r="BO100" s="98"/>
    </row>
    <row r="101" spans="1:67" customFormat="1" ht="17.25" customHeight="1" thickTop="1" thickBot="1">
      <c r="A101" s="98"/>
      <c r="B101" s="98"/>
      <c r="C101" s="143"/>
      <c r="D101" s="143"/>
      <c r="E101" s="143"/>
      <c r="F101" s="143"/>
      <c r="G101" s="143"/>
      <c r="H101" s="98"/>
      <c r="I101" s="122"/>
      <c r="K101" s="122"/>
      <c r="L101" s="160" cm="1">
        <f t="array" ref="L101">angleConvert2Decimal(L100)</f>
        <v>0</v>
      </c>
      <c r="N101" s="917" cm="1">
        <f t="array" ref="N101">angleConvert2Decimal(N100)</f>
        <v>0.17166666666666669</v>
      </c>
      <c r="O101" s="917"/>
      <c r="P101" s="917"/>
      <c r="Q101" s="41"/>
      <c r="R101" s="160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412" t="str" cm="1">
        <f t="array" ref="W101">angleDecimal2Txt(V101)</f>
        <v>+00°10.30 (+00.1716) [+00°10'18.00]</v>
      </c>
      <c r="X101" s="413"/>
      <c r="Y101" s="413"/>
      <c r="Z101" s="413"/>
      <c r="AA101" s="414"/>
      <c r="AB101" s="145"/>
      <c r="BN101" s="106"/>
      <c r="BO101" s="98"/>
    </row>
    <row r="102" spans="1:67" customFormat="1" ht="17.25" customHeight="1" thickTop="1" thickBot="1">
      <c r="A102" s="98"/>
      <c r="B102" s="98"/>
      <c r="C102" s="143"/>
      <c r="D102" s="143"/>
      <c r="E102" s="143"/>
      <c r="F102" s="143"/>
      <c r="G102" s="143"/>
      <c r="H102" s="98"/>
      <c r="I102" s="122"/>
      <c r="J102" s="98"/>
      <c r="K102" s="122"/>
      <c r="L102" s="98"/>
      <c r="M102" s="98"/>
      <c r="N102" s="122"/>
      <c r="O102" s="98"/>
      <c r="P102" s="98"/>
      <c r="Q102" s="122"/>
      <c r="R102" s="127"/>
      <c r="S102" s="98"/>
      <c r="T102" s="98"/>
      <c r="U102" s="98"/>
      <c r="V102" s="98"/>
      <c r="W102" s="98"/>
      <c r="X102" s="98"/>
      <c r="Y102" s="98"/>
      <c r="Z102" s="98"/>
      <c r="AA102" s="98"/>
      <c r="AB102" s="145"/>
      <c r="BN102" s="106"/>
      <c r="BO102" s="98"/>
    </row>
    <row r="103" spans="1:67" customFormat="1" ht="17.25" customHeight="1" thickTop="1" thickBot="1">
      <c r="A103" s="98"/>
      <c r="B103" s="98"/>
      <c r="C103" s="143"/>
      <c r="D103" s="143"/>
      <c r="E103" s="143"/>
      <c r="F103" s="143"/>
      <c r="G103" s="143"/>
      <c r="H103" s="535" t="s">
        <v>249</v>
      </c>
      <c r="I103" s="536"/>
      <c r="J103" s="536"/>
      <c r="K103" s="536"/>
      <c r="L103" s="536"/>
      <c r="M103" s="536"/>
      <c r="N103" s="537"/>
      <c r="O103" s="538">
        <f>J100-L101+N101+R101</f>
        <v>29.088333333333335</v>
      </c>
      <c r="P103" s="390"/>
      <c r="Q103" s="390"/>
      <c r="R103" s="390"/>
      <c r="S103" s="98" t="s">
        <v>71</v>
      </c>
      <c r="T103" s="98"/>
      <c r="U103" s="402" t="str" cm="1">
        <f t="array" ref="U103">angleDecimal2Txt(O103)</f>
        <v>+29°05.29 (+29.0883) [+29°05'18.00]</v>
      </c>
      <c r="V103" s="402"/>
      <c r="W103" s="402"/>
      <c r="X103" s="402"/>
      <c r="Y103" s="402"/>
      <c r="Z103" s="402"/>
      <c r="AA103" s="98"/>
      <c r="AB103" s="145"/>
      <c r="BN103" s="106"/>
      <c r="BO103" s="98"/>
    </row>
    <row r="104" spans="1:67" customFormat="1" ht="17.25" customHeight="1" thickTop="1" thickBot="1">
      <c r="A104" s="98"/>
      <c r="B104" s="98"/>
      <c r="C104" s="143"/>
      <c r="D104" s="128"/>
      <c r="E104" s="143"/>
      <c r="F104" s="143"/>
      <c r="G104" s="143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145"/>
      <c r="BN104" s="106"/>
      <c r="BO104" s="98"/>
    </row>
    <row r="105" spans="1:67" s="98" customFormat="1" ht="17.25" customHeight="1" thickBot="1">
      <c r="B105" s="107" t="s">
        <v>52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76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</row>
    <row r="106" spans="1:67" s="98" customFormat="1" ht="17.25" customHeight="1">
      <c r="D106" s="944" t="s">
        <v>318</v>
      </c>
      <c r="E106" s="939"/>
      <c r="F106" s="939"/>
      <c r="G106" s="939"/>
      <c r="H106" s="934">
        <f>90-P107</f>
        <v>0.61666666666666003</v>
      </c>
      <c r="I106" s="934"/>
      <c r="J106" s="934"/>
      <c r="K106" s="934"/>
      <c r="L106" s="934"/>
      <c r="N106" s="930" t="s">
        <v>319</v>
      </c>
      <c r="O106" s="930"/>
      <c r="P106" s="930"/>
      <c r="Q106" s="930"/>
      <c r="R106" s="930"/>
      <c r="S106" s="930"/>
      <c r="T106" s="930"/>
      <c r="U106" s="930"/>
      <c r="V106" s="930"/>
      <c r="W106" s="930"/>
      <c r="AA106"/>
      <c r="AB106" s="180"/>
      <c r="AC106"/>
      <c r="AD106"/>
      <c r="AE106"/>
      <c r="AF106"/>
      <c r="AL106" s="165"/>
    </row>
    <row r="107" spans="1:67" s="98" customFormat="1" ht="17.25" customHeight="1" thickBot="1">
      <c r="C107" s="181"/>
      <c r="D107" s="940"/>
      <c r="E107" s="941"/>
      <c r="F107" s="941"/>
      <c r="G107" s="941"/>
      <c r="H107" s="934"/>
      <c r="I107" s="934"/>
      <c r="J107" s="934"/>
      <c r="K107" s="934"/>
      <c r="L107" s="934"/>
      <c r="M107" s="130" t="s">
        <v>184</v>
      </c>
      <c r="N107" s="931" t="s">
        <v>114</v>
      </c>
      <c r="O107" s="931"/>
      <c r="P107" s="931">
        <f>F33</f>
        <v>89.38333333333334</v>
      </c>
      <c r="Q107" s="931"/>
      <c r="R107" s="931"/>
      <c r="S107" s="166" t="s">
        <v>71</v>
      </c>
      <c r="T107" s="931">
        <f>P107*$D$123</f>
        <v>1.5600334630742649</v>
      </c>
      <c r="U107" s="931"/>
      <c r="V107" s="931"/>
      <c r="W107" s="166" t="s">
        <v>92</v>
      </c>
      <c r="AA107"/>
      <c r="AB107" s="180"/>
      <c r="AC107"/>
      <c r="AD107"/>
      <c r="AE107"/>
      <c r="AF107"/>
      <c r="AL107" s="165"/>
    </row>
    <row r="108" spans="1:67" s="98" customFormat="1" ht="17.25" customHeight="1" thickTop="1" thickBot="1">
      <c r="C108" s="181"/>
      <c r="D108" s="942"/>
      <c r="E108" s="943"/>
      <c r="F108" s="943"/>
      <c r="G108" s="943"/>
      <c r="H108" s="946" t="str" cm="1">
        <f t="array" ref="H108">angleDecimal2Txt(H106)</f>
        <v>+00°36.99 (+00.6166) [+00°36'59.99]</v>
      </c>
      <c r="I108" s="946"/>
      <c r="J108" s="946"/>
      <c r="K108" s="946"/>
      <c r="L108" s="946"/>
      <c r="N108" s="933"/>
      <c r="O108" s="933"/>
      <c r="P108" s="933"/>
      <c r="Q108" s="933"/>
      <c r="R108" s="933"/>
      <c r="S108" s="181"/>
      <c r="T108" s="933"/>
      <c r="U108" s="933"/>
      <c r="V108" s="933"/>
      <c r="W108" s="181"/>
      <c r="AA108"/>
      <c r="AB108" s="180"/>
      <c r="AC108"/>
      <c r="AD108"/>
      <c r="AE108"/>
      <c r="AF108"/>
      <c r="AG108" s="167" t="b">
        <f>ISNUMBER(SEARCH("°",AF108,1))</f>
        <v>0</v>
      </c>
      <c r="AH108" s="167" t="b">
        <f>ISNUMBER(SEARCH("'",AF108,1))</f>
        <v>0</v>
      </c>
      <c r="AI108" s="167" t="b">
        <f>ISNUMBER(SEARCH("""",AF108,1))</f>
        <v>0</v>
      </c>
      <c r="AJ108" s="167" t="b">
        <f>NOT(OR(AG108,AH108,AI108))</f>
        <v>1</v>
      </c>
      <c r="AK108" s="167" t="b">
        <f>OR(AJ108,AG108)</f>
        <v>1</v>
      </c>
      <c r="AL108" s="168">
        <f>IF(AJ108,VALUE(AF108),IF(AG108,LEFT(AF108,SEARCH("°",AF108,1)-1),0))</f>
        <v>0</v>
      </c>
      <c r="AM108" s="167" t="str">
        <f>IF(AJ108,"",IF(AG108,RIGHT(AF108,LEN(AF108)-SEARCH("°",AF108,1)),AF108))</f>
        <v/>
      </c>
      <c r="AN108" s="167" t="b">
        <f>(LEN(AM108)&gt;0)</f>
        <v>0</v>
      </c>
      <c r="AO108" s="167" t="b">
        <f>NOT(OR(AH108,AI108))</f>
        <v>1</v>
      </c>
      <c r="AP108" s="168">
        <f>IF(NOT(AN108),0,IF(AO108,VALUE(AM108),IF(NOT(AH108),0,VALUE(LEFT(AM108,SEARCH("'",AM108,1)-1)))))</f>
        <v>0</v>
      </c>
      <c r="AQ108" s="167" t="str">
        <f>IF(NOT(AN108),"",IF(AO108,"",IF(NOT(AH108),AM108,RIGHT(AM108,LEN(AM108)-SEARCH("'",AM108,1)))))</f>
        <v/>
      </c>
      <c r="AR108" s="167" t="b">
        <f>(LEN(AQ108)&gt;0)</f>
        <v>0</v>
      </c>
      <c r="AS108" s="167" t="b">
        <f>NOT(AI108)</f>
        <v>1</v>
      </c>
      <c r="AT108" s="167" t="b">
        <f>ISNUMBER(SEARCH(".",AQ108,1))</f>
        <v>0</v>
      </c>
      <c r="AU108" s="168">
        <f>IF(AR108,IF(AI108,IF(AT108,VALUE(SUBSTITUTE(AQ108, """", "")),VALUE(SUBSTITUTE(AQ108, """", "."))),VALUE(AQ108)),0)</f>
        <v>0</v>
      </c>
      <c r="AV108" s="168">
        <f>AL108*3600+AP108*60+AU108</f>
        <v>0</v>
      </c>
      <c r="AW108" s="168">
        <f>AV108/3600</f>
        <v>0</v>
      </c>
      <c r="AX108" s="168">
        <f>_xlfn.FLOOR.MATH((AW108))</f>
        <v>0</v>
      </c>
      <c r="AY108" s="168">
        <f>(AV108-3600*AX108)/60</f>
        <v>0</v>
      </c>
      <c r="AZ108" s="168">
        <f>_xlfn.FLOOR.MATH((AY108))</f>
        <v>0</v>
      </c>
      <c r="BA108" s="168">
        <f>AV108-3600*AX108-60*AZ108</f>
        <v>0</v>
      </c>
      <c r="BB108" s="168">
        <f>AW108*IF(AD108&lt;0,-1,1)</f>
        <v>0</v>
      </c>
      <c r="BC108" s="16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8" customFormat="1" ht="17.25" customHeight="1" thickTop="1">
      <c r="N109" s="945"/>
      <c r="O109" s="933"/>
      <c r="P109" s="933"/>
      <c r="Q109" s="933"/>
      <c r="R109" s="933"/>
      <c r="S109" s="933"/>
      <c r="T109" s="933"/>
      <c r="U109" s="933"/>
      <c r="V109" s="933"/>
      <c r="W109" s="933"/>
      <c r="X109" s="933"/>
      <c r="Y109" s="933"/>
      <c r="Z109" s="933"/>
      <c r="AA109"/>
      <c r="AB109" s="180"/>
      <c r="AC109"/>
      <c r="AD109"/>
      <c r="AE109"/>
      <c r="AF109"/>
      <c r="AL109" s="165"/>
    </row>
    <row r="110" spans="1:67" s="98" customFormat="1" ht="17.25" customHeight="1">
      <c r="D110" s="944" t="s">
        <v>320</v>
      </c>
      <c r="E110" s="939"/>
      <c r="F110" s="939"/>
      <c r="G110" s="939"/>
      <c r="H110" s="934">
        <f>-H106*COS(T111)</f>
        <v>0.19940452818420051</v>
      </c>
      <c r="I110" s="934"/>
      <c r="J110" s="934"/>
      <c r="K110" s="934"/>
      <c r="L110" s="934"/>
      <c r="N110" s="947" t="s">
        <v>323</v>
      </c>
      <c r="O110" s="930"/>
      <c r="P110" s="930"/>
      <c r="Q110" s="930"/>
      <c r="R110" s="930"/>
      <c r="S110" s="930"/>
      <c r="T110" s="930"/>
      <c r="U110" s="930"/>
      <c r="V110" s="930"/>
      <c r="W110" s="930"/>
      <c r="X110" s="181"/>
      <c r="Y110" s="181"/>
      <c r="Z110" s="181"/>
      <c r="AA110"/>
      <c r="AB110" s="180"/>
      <c r="AC110"/>
      <c r="AD110"/>
      <c r="AE110"/>
      <c r="AF110"/>
      <c r="AL110" s="165"/>
    </row>
    <row r="111" spans="1:67" s="98" customFormat="1" ht="17.25" customHeight="1" thickBot="1">
      <c r="C111" s="181"/>
      <c r="D111" s="940"/>
      <c r="E111" s="941"/>
      <c r="F111" s="941"/>
      <c r="G111" s="941"/>
      <c r="H111" s="934"/>
      <c r="I111" s="934"/>
      <c r="J111" s="934"/>
      <c r="K111" s="934"/>
      <c r="L111" s="934"/>
      <c r="M111" s="130" t="s">
        <v>184</v>
      </c>
      <c r="N111" s="931" t="s">
        <v>51</v>
      </c>
      <c r="O111" s="931"/>
      <c r="P111" s="931">
        <f>F61</f>
        <v>251.13383339999996</v>
      </c>
      <c r="Q111" s="931"/>
      <c r="R111" s="931"/>
      <c r="S111" s="166" t="s">
        <v>71</v>
      </c>
      <c r="T111" s="931">
        <f>P111*$D$123</f>
        <v>4.3831122559849049</v>
      </c>
      <c r="U111" s="931"/>
      <c r="V111" s="931"/>
      <c r="W111" s="166" t="s">
        <v>92</v>
      </c>
      <c r="X111" s="181"/>
      <c r="Y111" s="181"/>
      <c r="Z111" s="181"/>
      <c r="AA111"/>
      <c r="AB111" s="180"/>
      <c r="AC111"/>
      <c r="AD111"/>
      <c r="AE111"/>
      <c r="AF111"/>
      <c r="AL111" s="165"/>
    </row>
    <row r="112" spans="1:67" s="98" customFormat="1" ht="17.25" customHeight="1" thickTop="1" thickBot="1">
      <c r="C112" s="181"/>
      <c r="D112" s="942"/>
      <c r="E112" s="943"/>
      <c r="F112" s="943"/>
      <c r="G112" s="943"/>
      <c r="H112" s="932" t="str" cm="1">
        <f t="array" ref="H112">angleDecimal2Txt(H110)</f>
        <v>+00°11.96 (+00.1994) [+00°11'57.85]</v>
      </c>
      <c r="I112" s="932"/>
      <c r="J112" s="932"/>
      <c r="K112" s="932"/>
      <c r="L112" s="932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/>
      <c r="AB112" s="180"/>
      <c r="AC112"/>
      <c r="AD112"/>
      <c r="AE112"/>
      <c r="AF112"/>
      <c r="AG112" s="167" t="b">
        <f>ISNUMBER(SEARCH("°",AF112,1))</f>
        <v>0</v>
      </c>
      <c r="AH112" s="167" t="b">
        <f>ISNUMBER(SEARCH("'",AF112,1))</f>
        <v>0</v>
      </c>
      <c r="AI112" s="167" t="b">
        <f>ISNUMBER(SEARCH("""",AF112,1))</f>
        <v>0</v>
      </c>
      <c r="AJ112" s="167" t="b">
        <f>NOT(OR(AG112,AH112,AI112))</f>
        <v>1</v>
      </c>
      <c r="AK112" s="167" t="b">
        <f>OR(AJ112,AG112)</f>
        <v>1</v>
      </c>
      <c r="AL112" s="168">
        <f>IF(AJ112,VALUE(AF112),IF(AG112,LEFT(AF112,SEARCH("°",AF112,1)-1),0))</f>
        <v>0</v>
      </c>
      <c r="AM112" s="167" t="str">
        <f>IF(AJ112,"",IF(AG112,RIGHT(AF112,LEN(AF112)-SEARCH("°",AF112,1)),AF112))</f>
        <v/>
      </c>
      <c r="AN112" s="167" t="b">
        <f>(LEN(AM112)&gt;0)</f>
        <v>0</v>
      </c>
      <c r="AO112" s="167" t="b">
        <f>NOT(OR(AH112,AI112))</f>
        <v>1</v>
      </c>
      <c r="AP112" s="168">
        <f>IF(NOT(AN112),0,IF(AO112,VALUE(AM112),IF(NOT(AH112),0,VALUE(LEFT(AM112,SEARCH("'",AM112,1)-1)))))</f>
        <v>0</v>
      </c>
      <c r="AQ112" s="167" t="str">
        <f>IF(NOT(AN112),"",IF(AO112,"",IF(NOT(AH112),AM112,RIGHT(AM112,LEN(AM112)-SEARCH("'",AM112,1)))))</f>
        <v/>
      </c>
      <c r="AR112" s="167" t="b">
        <f>(LEN(AQ112)&gt;0)</f>
        <v>0</v>
      </c>
      <c r="AS112" s="167" t="b">
        <f>NOT(AI112)</f>
        <v>1</v>
      </c>
      <c r="AT112" s="167" t="b">
        <f>ISNUMBER(SEARCH(".",AQ112,1))</f>
        <v>0</v>
      </c>
      <c r="AU112" s="168">
        <f>IF(AR112,IF(AI112,IF(AT112,VALUE(SUBSTITUTE(AQ112, """", "")),VALUE(SUBSTITUTE(AQ112, """", "."))),VALUE(AQ112)),0)</f>
        <v>0</v>
      </c>
      <c r="AV112" s="168">
        <f>AL112*3600+AP112*60+AU112</f>
        <v>0</v>
      </c>
      <c r="AW112" s="168">
        <f>AV112/3600</f>
        <v>0</v>
      </c>
      <c r="AX112" s="168">
        <f>_xlfn.FLOOR.MATH((AW112))</f>
        <v>0</v>
      </c>
      <c r="AY112" s="168">
        <f>(AV112-3600*AX112)/60</f>
        <v>0</v>
      </c>
      <c r="AZ112" s="168">
        <f>_xlfn.FLOOR.MATH((AY112))</f>
        <v>0</v>
      </c>
      <c r="BA112" s="168">
        <f>AV112-3600*AX112-60*AZ112</f>
        <v>0</v>
      </c>
      <c r="BB112" s="168">
        <f>AW112*IF(AD112&lt;0,-1,1)</f>
        <v>0</v>
      </c>
      <c r="BC112" s="16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8" customFormat="1" ht="17.25" customHeight="1" thickTop="1">
      <c r="C113" s="181"/>
      <c r="AA113"/>
      <c r="AB113" s="180"/>
      <c r="AC113"/>
      <c r="AD113"/>
      <c r="AE113"/>
      <c r="AF113"/>
      <c r="AG113" s="182" t="s">
        <v>66</v>
      </c>
      <c r="AH113" s="182" t="s">
        <v>67</v>
      </c>
      <c r="AI113" s="182" t="s">
        <v>68</v>
      </c>
      <c r="AJ113" s="182" t="s">
        <v>69</v>
      </c>
      <c r="AK113" s="182" t="s">
        <v>70</v>
      </c>
      <c r="AL113" s="182" t="s">
        <v>71</v>
      </c>
      <c r="AM113" s="182" t="s">
        <v>61</v>
      </c>
      <c r="AN113" s="182" t="s">
        <v>75</v>
      </c>
      <c r="AO113" s="182" t="s">
        <v>74</v>
      </c>
      <c r="AP113" s="182" t="s">
        <v>72</v>
      </c>
      <c r="AQ113" s="182" t="s">
        <v>73</v>
      </c>
      <c r="AR113" s="182" t="s">
        <v>75</v>
      </c>
      <c r="AS113" s="182" t="s">
        <v>74</v>
      </c>
      <c r="AT113" s="182" t="s">
        <v>76</v>
      </c>
      <c r="AU113" s="182" t="s">
        <v>63</v>
      </c>
      <c r="AV113" s="182" t="s">
        <v>64</v>
      </c>
      <c r="AW113" s="182" t="s">
        <v>78</v>
      </c>
      <c r="AX113" s="182" t="s">
        <v>80</v>
      </c>
      <c r="AY113" s="182" t="s">
        <v>77</v>
      </c>
      <c r="AZ113" s="182" t="s">
        <v>81</v>
      </c>
      <c r="BA113" s="182" t="s">
        <v>63</v>
      </c>
      <c r="BB113" s="182" t="s">
        <v>168</v>
      </c>
      <c r="BC113" s="182" t="s">
        <v>82</v>
      </c>
    </row>
    <row r="114" spans="1:55" s="98" customFormat="1" ht="17.25" customHeight="1">
      <c r="D114" s="938" t="s">
        <v>321</v>
      </c>
      <c r="E114" s="939"/>
      <c r="F114" s="939"/>
      <c r="G114" s="939"/>
      <c r="H114" s="934">
        <f>F65+H110</f>
        <v>29.01739408128676</v>
      </c>
      <c r="I114" s="934"/>
      <c r="J114" s="934"/>
      <c r="K114" s="934"/>
      <c r="L114" s="934"/>
      <c r="N114" s="930" t="s">
        <v>325</v>
      </c>
      <c r="O114" s="930"/>
      <c r="P114" s="930"/>
      <c r="Q114" s="930"/>
      <c r="R114" s="930"/>
      <c r="S114" s="930"/>
      <c r="T114" s="930"/>
      <c r="U114" s="930"/>
      <c r="V114" s="930"/>
      <c r="W114" s="930"/>
      <c r="X114" s="181"/>
      <c r="Y114" s="181"/>
      <c r="AA114"/>
      <c r="AB114" s="180"/>
      <c r="AC114"/>
      <c r="AD114"/>
      <c r="AE114"/>
      <c r="AF114"/>
    </row>
    <row r="115" spans="1:55" s="98" customFormat="1" ht="17.25" customHeight="1" thickBot="1">
      <c r="C115" s="181"/>
      <c r="D115" s="940"/>
      <c r="E115" s="941"/>
      <c r="F115" s="941"/>
      <c r="G115" s="941"/>
      <c r="H115" s="934"/>
      <c r="I115" s="934"/>
      <c r="J115" s="934"/>
      <c r="K115" s="934"/>
      <c r="L115" s="934"/>
      <c r="M115" s="130" t="s">
        <v>184</v>
      </c>
      <c r="N115" s="931" t="s">
        <v>137</v>
      </c>
      <c r="O115" s="931"/>
      <c r="P115" s="931">
        <f>F65</f>
        <v>28.81798955310256</v>
      </c>
      <c r="Q115" s="931"/>
      <c r="R115" s="931"/>
      <c r="S115" s="166" t="s">
        <v>71</v>
      </c>
      <c r="T115" s="931">
        <f>P115*$D$123</f>
        <v>0.50296880150696899</v>
      </c>
      <c r="U115" s="931"/>
      <c r="V115" s="931"/>
      <c r="W115" s="166" t="s">
        <v>92</v>
      </c>
      <c r="X115" s="933"/>
      <c r="Y115" s="933"/>
      <c r="AA115"/>
      <c r="AB115" s="180"/>
      <c r="AC115"/>
      <c r="AD115"/>
      <c r="AE115"/>
      <c r="AF115"/>
      <c r="AG115" s="167" t="e">
        <f>NOT(OR(AD115,AE115,AF115))</f>
        <v>#VALUE!</v>
      </c>
      <c r="AH115" s="167" t="e">
        <f>OR(AG115,AD115)</f>
        <v>#VALUE!</v>
      </c>
      <c r="AI115" s="168" t="e">
        <f>IF(AG115,VALUE(AA115),IF(AD115,LEFT(AA115,SEARCH("°",AA115,1)-1),0))</f>
        <v>#VALUE!</v>
      </c>
      <c r="AJ115" s="167" t="e">
        <f>IF(AG115,"",IF(AD115,RIGHT(AA115,LEN(AA115)-SEARCH("°",AA115,1)),AA115))</f>
        <v>#VALUE!</v>
      </c>
      <c r="AK115" s="167" t="e">
        <f>(LEN(AJ115)&gt;0)</f>
        <v>#VALUE!</v>
      </c>
      <c r="AL115" s="167" t="e">
        <f>NOT(OR(AE115,AF115))</f>
        <v>#VALUE!</v>
      </c>
      <c r="AM115" s="168" t="e">
        <f>IF(NOT(AK115),0,IF(AL115,VALUE(AJ115),IF(NOT(AE115),0,VALUE(LEFT(AJ115,SEARCH("'",AJ115,1)-1)))))</f>
        <v>#VALUE!</v>
      </c>
      <c r="AN115" s="167" t="e">
        <f>IF(NOT(AK115),"",IF(AL115,"",IF(NOT(AE115),AJ115,RIGHT(AJ115,LEN(AJ115)-SEARCH("'",AJ115,1)))))</f>
        <v>#VALUE!</v>
      </c>
      <c r="AO115" s="167" t="e">
        <f>(LEN(AN115)&gt;0)</f>
        <v>#VALUE!</v>
      </c>
      <c r="AP115" s="167" t="b">
        <f>NOT(AF115)</f>
        <v>1</v>
      </c>
      <c r="AQ115" s="167" t="b">
        <f>ISNUMBER(SEARCH(".",AN115,1))</f>
        <v>0</v>
      </c>
      <c r="AR115" s="168" t="e">
        <f>IF(AO115,IF(AF115,IF(AQ115,VALUE(SUBSTITUTE(AN115, """", "")),VALUE(SUBSTITUTE(AN115, """", "."))),VALUE(AN115)),0)</f>
        <v>#VALUE!</v>
      </c>
      <c r="AS115" s="168" t="e">
        <f>AI115*3600+AM115*60+AR115</f>
        <v>#VALUE!</v>
      </c>
      <c r="AT115" s="168" t="e">
        <f>AS115/3600</f>
        <v>#VALUE!</v>
      </c>
      <c r="AU115" s="168" t="e">
        <f>_xlfn.FLOOR.MATH((AT115))</f>
        <v>#VALUE!</v>
      </c>
      <c r="AV115" s="168" t="e">
        <f>(AS115-3600*AU115)/60</f>
        <v>#VALUE!</v>
      </c>
      <c r="AW115" s="168" t="e">
        <f>_xlfn.FLOOR.MATH((AV115))</f>
        <v>#VALUE!</v>
      </c>
      <c r="AX115" s="168" t="e">
        <f>AS115-3600*AU115-60*AW115</f>
        <v>#VALUE!</v>
      </c>
      <c r="AY115" s="16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8" customFormat="1" ht="17.25" customHeight="1" thickTop="1" thickBot="1">
      <c r="C116" s="181"/>
      <c r="D116" s="942"/>
      <c r="E116" s="943"/>
      <c r="F116" s="943"/>
      <c r="G116" s="943"/>
      <c r="H116" s="946" t="str" cm="1">
        <f t="array" ref="H116">angleDecimal2Txt(H114)</f>
        <v>+29°01.04 (+29.0173) [+29°01'02.61]</v>
      </c>
      <c r="I116" s="946"/>
      <c r="J116" s="946"/>
      <c r="K116" s="946"/>
      <c r="L116" s="946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AA116"/>
      <c r="AB116" s="180"/>
      <c r="AC116"/>
      <c r="AD116"/>
      <c r="AE116"/>
      <c r="AF116"/>
      <c r="AL116" s="165"/>
    </row>
    <row r="117" spans="1:55" s="98" customFormat="1" ht="17.25" customHeight="1" thickTop="1">
      <c r="C117" s="181"/>
      <c r="S117" s="181"/>
      <c r="T117" s="181"/>
      <c r="U117" s="181"/>
      <c r="V117" s="181"/>
      <c r="W117" s="181"/>
      <c r="X117" s="181"/>
      <c r="AA117"/>
      <c r="AB117" s="180"/>
      <c r="AC117" t="s">
        <v>380</v>
      </c>
      <c r="AD117"/>
      <c r="AE117"/>
      <c r="AF117"/>
      <c r="AL117" s="165"/>
    </row>
    <row r="118" spans="1:55" s="98" customFormat="1" ht="17.25" customHeight="1">
      <c r="D118" s="938" t="s">
        <v>322</v>
      </c>
      <c r="E118" s="939"/>
      <c r="F118" s="939"/>
      <c r="G118" s="939"/>
      <c r="H118" s="762">
        <f>IF(AD118&lt;0,AD118+360,AD118)</f>
        <v>1.1121698407406929E-2</v>
      </c>
      <c r="I118" s="762"/>
      <c r="J118" s="762"/>
      <c r="K118" s="762"/>
      <c r="L118" s="762"/>
      <c r="N118" s="947" t="s">
        <v>324</v>
      </c>
      <c r="O118" s="930"/>
      <c r="P118" s="930"/>
      <c r="Q118" s="930"/>
      <c r="R118" s="930"/>
      <c r="S118" s="930"/>
      <c r="T118" s="930"/>
      <c r="U118" s="930"/>
      <c r="V118" s="930"/>
      <c r="W118" s="930"/>
      <c r="X118" s="181"/>
      <c r="AA118"/>
      <c r="AB118" s="180"/>
      <c r="AC118" s="122" t="s">
        <v>370</v>
      </c>
      <c r="AD118" s="98">
        <f>(-H106*SIN(T119)/COS(T120))/60</f>
        <v>1.1121698407406929E-2</v>
      </c>
      <c r="AE118"/>
      <c r="AF118"/>
      <c r="AL118" s="165"/>
    </row>
    <row r="119" spans="1:55" s="98" customFormat="1" ht="17.25" customHeight="1" thickBot="1">
      <c r="D119" s="940"/>
      <c r="E119" s="941"/>
      <c r="F119" s="941"/>
      <c r="G119" s="941"/>
      <c r="H119" s="762"/>
      <c r="I119" s="762"/>
      <c r="J119" s="762"/>
      <c r="K119" s="762"/>
      <c r="L119" s="762"/>
      <c r="M119" s="130" t="s">
        <v>184</v>
      </c>
      <c r="N119" s="931" t="s">
        <v>51</v>
      </c>
      <c r="O119" s="931"/>
      <c r="P119" s="931">
        <f>F61</f>
        <v>251.13383339999996</v>
      </c>
      <c r="Q119" s="931"/>
      <c r="R119" s="931"/>
      <c r="S119" s="166" t="s">
        <v>71</v>
      </c>
      <c r="T119" s="931">
        <f>P119*$D$123</f>
        <v>4.3831122559849049</v>
      </c>
      <c r="U119" s="931"/>
      <c r="V119" s="931"/>
      <c r="W119" s="166" t="s">
        <v>92</v>
      </c>
      <c r="X119" s="181"/>
      <c r="AA119"/>
      <c r="AB119" s="180"/>
      <c r="AC119"/>
      <c r="AD119"/>
      <c r="AE119"/>
      <c r="AF119"/>
      <c r="AL119" s="165"/>
    </row>
    <row r="120" spans="1:55" s="98" customFormat="1" ht="17.25" customHeight="1" thickTop="1" thickBot="1">
      <c r="D120" s="942"/>
      <c r="E120" s="943"/>
      <c r="F120" s="943"/>
      <c r="G120" s="943"/>
      <c r="H120" s="932" t="str" cm="1">
        <f t="array" ref="H120">angleDecimal2Txt(H118)</f>
        <v>+00°00.66 (+00.0111) [+00°00'40.03]</v>
      </c>
      <c r="I120" s="932"/>
      <c r="J120" s="932"/>
      <c r="K120" s="932"/>
      <c r="L120" s="932"/>
      <c r="N120" s="931" t="s">
        <v>49</v>
      </c>
      <c r="O120" s="931"/>
      <c r="P120" s="931">
        <f>H114</f>
        <v>29.01739408128676</v>
      </c>
      <c r="Q120" s="931"/>
      <c r="R120" s="931"/>
      <c r="S120" s="166" t="s">
        <v>71</v>
      </c>
      <c r="T120" s="931">
        <f>P120*$D$123</f>
        <v>0.50644906706716908</v>
      </c>
      <c r="U120" s="931"/>
      <c r="V120" s="931"/>
      <c r="W120" s="166" t="s">
        <v>92</v>
      </c>
      <c r="AA120"/>
      <c r="AB120" s="180"/>
      <c r="AC120"/>
      <c r="AD120"/>
      <c r="AE120"/>
      <c r="AF120"/>
      <c r="AG120" s="167" t="b">
        <f>ISNUMBER(SEARCH("°",AF120,1))</f>
        <v>0</v>
      </c>
      <c r="AH120" s="167" t="b">
        <f>ISNUMBER(SEARCH("'",AF120,1))</f>
        <v>0</v>
      </c>
      <c r="AI120" s="167" t="b">
        <f>ISNUMBER(SEARCH("""",AF120,1))</f>
        <v>0</v>
      </c>
      <c r="AJ120" s="167" t="b">
        <f>NOT(OR(AG120,AH120,AI120))</f>
        <v>1</v>
      </c>
      <c r="AK120" s="167" t="b">
        <f>OR(AJ120,AG120)</f>
        <v>1</v>
      </c>
      <c r="AL120" s="168">
        <f>IF(AJ120,VALUE(AF120),IF(AG120,LEFT(AF120,SEARCH("°",AF120,1)-1),0))</f>
        <v>0</v>
      </c>
      <c r="AM120" s="167" t="str">
        <f>IF(AJ120,"",IF(AG120,RIGHT(AF120,LEN(AF120)-SEARCH("°",AF120,1)),AF120))</f>
        <v/>
      </c>
      <c r="AN120" s="167" t="b">
        <f>(LEN(AM120)&gt;0)</f>
        <v>0</v>
      </c>
      <c r="AO120" s="167" t="b">
        <f>NOT(OR(AH120,AI120))</f>
        <v>1</v>
      </c>
      <c r="AP120" s="168">
        <f>IF(NOT(AN120),0,IF(AO120,VALUE(AM120),IF(NOT(AH120),0,VALUE(LEFT(AM120,SEARCH("'",AM120,1)-1)))))</f>
        <v>0</v>
      </c>
      <c r="AQ120" s="167" t="str">
        <f>IF(NOT(AN120),"",IF(AO120,"",IF(NOT(AH120),AM120,RIGHT(AM120,LEN(AM120)-SEARCH("'",AM120,1)))))</f>
        <v/>
      </c>
      <c r="AR120" s="167" t="b">
        <f>(LEN(AQ120)&gt;0)</f>
        <v>0</v>
      </c>
      <c r="AS120" s="167" t="b">
        <f>NOT(AI120)</f>
        <v>1</v>
      </c>
      <c r="AT120" s="167" t="b">
        <f>ISNUMBER(SEARCH(".",AQ120,1))</f>
        <v>0</v>
      </c>
      <c r="AU120" s="168">
        <f>IF(AR120,IF(AI120,IF(AT120,VALUE(SUBSTITUTE(AQ120, """", "")),VALUE(SUBSTITUTE(AQ120, """", "."))),VALUE(AQ120)),0)</f>
        <v>0</v>
      </c>
      <c r="AV120" s="168">
        <f>AL120*3600+AP120*60+AU120</f>
        <v>0</v>
      </c>
      <c r="AW120" s="168">
        <f>AV120/3600</f>
        <v>0</v>
      </c>
      <c r="AX120" s="168">
        <f>_xlfn.FLOOR.MATH((AW120))</f>
        <v>0</v>
      </c>
      <c r="AY120" s="168">
        <f>(AV120-3600*AX120)/60</f>
        <v>0</v>
      </c>
      <c r="AZ120" s="168">
        <f>_xlfn.FLOOR.MATH((AY120))</f>
        <v>0</v>
      </c>
      <c r="BA120" s="168">
        <f>AV120-3600*AX120-60*AZ120</f>
        <v>0</v>
      </c>
      <c r="BB120" s="168">
        <f>AW120*IF(AD120&lt;0,-1,1)</f>
        <v>0</v>
      </c>
      <c r="BC120" s="16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8" customFormat="1" ht="17.25" customHeight="1" thickTop="1" thickBot="1"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/>
      <c r="AB121" s="180"/>
      <c r="AC121"/>
      <c r="AD121"/>
      <c r="AE121"/>
      <c r="AF121"/>
      <c r="AL121" s="165"/>
    </row>
    <row r="122" spans="1:55" s="98" customFormat="1" ht="17.25" customHeight="1">
      <c r="A122" s="935" t="s">
        <v>138</v>
      </c>
      <c r="B122" s="936"/>
      <c r="C122" s="936"/>
      <c r="D122" s="937"/>
      <c r="E122" s="181"/>
      <c r="F122" s="143"/>
      <c r="G122" s="181"/>
      <c r="H122" s="181"/>
      <c r="I122" s="181"/>
      <c r="J122" s="181"/>
      <c r="K122" s="181"/>
      <c r="L122" s="181"/>
      <c r="M122" s="933"/>
      <c r="N122" s="933"/>
      <c r="O122" s="181"/>
      <c r="P122" s="933"/>
      <c r="Q122" s="933"/>
      <c r="R122" s="933"/>
      <c r="S122" s="933"/>
      <c r="T122" s="933"/>
      <c r="U122" s="933"/>
      <c r="V122" s="181"/>
      <c r="W122" s="933"/>
      <c r="X122" s="933"/>
      <c r="Y122" s="933"/>
      <c r="Z122" s="181"/>
      <c r="AA122"/>
      <c r="AB122" s="180"/>
      <c r="AC122"/>
      <c r="AD122"/>
      <c r="AE122"/>
      <c r="AF122"/>
      <c r="AL122" s="165"/>
    </row>
    <row r="123" spans="1:55" s="98" customFormat="1" ht="17.25" customHeight="1">
      <c r="A123" s="170" t="s">
        <v>62</v>
      </c>
      <c r="B123" s="171" t="s">
        <v>121</v>
      </c>
      <c r="C123" s="172" t="s">
        <v>122</v>
      </c>
      <c r="D123" s="163">
        <f>PI()/180</f>
        <v>1.7453292519943295E-2</v>
      </c>
      <c r="E123" s="143"/>
      <c r="F123" s="143"/>
      <c r="G123" s="181"/>
      <c r="H123" s="933"/>
      <c r="I123" s="933"/>
      <c r="J123" s="181"/>
      <c r="K123" s="933"/>
      <c r="L123" s="933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/>
      <c r="AB123" s="180"/>
      <c r="AC123"/>
      <c r="AD123"/>
      <c r="AE123"/>
      <c r="AF123"/>
      <c r="AL123" s="165"/>
    </row>
    <row r="124" spans="1:55" s="98" customFormat="1" ht="17.25" customHeight="1" thickBot="1">
      <c r="A124" s="173" t="s">
        <v>123</v>
      </c>
      <c r="B124" s="174" t="s">
        <v>121</v>
      </c>
      <c r="C124" s="175" t="s">
        <v>62</v>
      </c>
      <c r="D124" s="164">
        <f>180/PI()</f>
        <v>57.295779513082323</v>
      </c>
      <c r="H124" s="933"/>
      <c r="I124" s="933"/>
      <c r="J124" s="181"/>
      <c r="K124" s="933"/>
      <c r="L124" s="933"/>
      <c r="M124" s="181"/>
      <c r="N124" s="933"/>
      <c r="O124" s="933"/>
      <c r="P124" s="933"/>
      <c r="Q124" s="933"/>
      <c r="R124" s="933"/>
      <c r="S124" s="933"/>
      <c r="T124" s="933"/>
      <c r="U124" s="181"/>
      <c r="V124" s="181"/>
      <c r="W124" s="181"/>
      <c r="X124" s="181"/>
      <c r="Y124" s="181"/>
      <c r="Z124" s="181"/>
      <c r="AA124"/>
      <c r="AB124" s="180"/>
      <c r="AC124"/>
      <c r="AD124"/>
      <c r="AE124"/>
      <c r="AF124"/>
      <c r="AL124" s="165"/>
    </row>
    <row r="125" spans="1:55" s="98" customFormat="1" ht="17.25" customHeight="1">
      <c r="C125" s="143"/>
      <c r="H125" s="933"/>
      <c r="I125" s="933"/>
      <c r="J125" s="933"/>
      <c r="K125" s="933"/>
      <c r="L125" s="933"/>
      <c r="M125" s="181"/>
      <c r="N125" s="181"/>
      <c r="O125" s="181"/>
      <c r="P125" s="181"/>
      <c r="Q125" s="181"/>
      <c r="R125" s="181"/>
      <c r="S125" s="933"/>
      <c r="T125" s="933"/>
      <c r="U125" s="933"/>
      <c r="V125" s="933"/>
      <c r="W125" s="933"/>
      <c r="X125" s="933"/>
      <c r="Y125" s="181"/>
      <c r="Z125" s="181"/>
      <c r="AA125"/>
      <c r="AB125" s="180"/>
      <c r="AC125"/>
      <c r="AD125"/>
      <c r="AE125"/>
      <c r="AF125"/>
      <c r="AL125" s="165"/>
    </row>
    <row r="126" spans="1:55" s="98" customFormat="1" ht="17.25" customHeight="1">
      <c r="C126" s="143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/>
      <c r="AB126" s="180"/>
      <c r="AC126"/>
      <c r="AD126"/>
      <c r="AE126"/>
      <c r="AF126"/>
      <c r="AL126" s="165"/>
    </row>
    <row r="127" spans="1:55" s="98" customFormat="1" ht="17.25" customHeight="1">
      <c r="C127" s="143"/>
      <c r="D127" s="143"/>
      <c r="E127" s="143"/>
      <c r="F127" s="143"/>
      <c r="G127" s="181"/>
      <c r="H127" s="181"/>
      <c r="I127" s="181"/>
      <c r="J127" s="181"/>
      <c r="K127" s="181"/>
      <c r="V127" s="181"/>
      <c r="W127" s="181"/>
      <c r="X127" s="181"/>
      <c r="Y127" s="181"/>
      <c r="Z127" s="181"/>
      <c r="AA127"/>
      <c r="AB127" s="180"/>
      <c r="AC127"/>
      <c r="AD127"/>
      <c r="AE127"/>
      <c r="AF127"/>
      <c r="AL127" s="165"/>
    </row>
    <row r="128" spans="1:55" s="98" customFormat="1" ht="17.25" customHeight="1">
      <c r="C128" s="143"/>
      <c r="D128" s="143"/>
      <c r="E128" s="143"/>
      <c r="F128" s="143"/>
      <c r="G128" s="181"/>
      <c r="H128" s="181"/>
      <c r="I128" s="181"/>
      <c r="J128" s="181"/>
      <c r="K128" s="181"/>
      <c r="V128" s="181"/>
      <c r="W128" s="181"/>
      <c r="X128" s="181"/>
      <c r="Y128" s="181"/>
      <c r="Z128" s="181"/>
      <c r="AA128"/>
      <c r="AB128" s="180"/>
      <c r="AC128"/>
      <c r="AD128"/>
      <c r="AE128"/>
      <c r="AF128"/>
      <c r="AL128" s="165"/>
    </row>
    <row r="129" spans="3:65" s="98" customFormat="1" ht="17.25" customHeight="1">
      <c r="C129" s="143"/>
      <c r="D129" s="143"/>
      <c r="E129" s="143"/>
      <c r="F129" s="143"/>
      <c r="AA129"/>
      <c r="AB129" s="180"/>
      <c r="AC129"/>
      <c r="AD129"/>
      <c r="AE129"/>
      <c r="AF129"/>
      <c r="AL129" s="165"/>
    </row>
    <row r="130" spans="3:65" s="98" customFormat="1" ht="17.25" customHeight="1">
      <c r="C130" s="143"/>
      <c r="D130" s="143"/>
      <c r="E130" s="143"/>
      <c r="AA130"/>
      <c r="AB130" s="180"/>
      <c r="AC130"/>
      <c r="AD130"/>
      <c r="AE130"/>
      <c r="AF130"/>
      <c r="AL130" s="165"/>
    </row>
    <row r="131" spans="3:65" s="98" customFormat="1" ht="17.25" customHeight="1">
      <c r="C131" s="143"/>
      <c r="D131" s="143"/>
      <c r="E131" s="143"/>
      <c r="AA131"/>
      <c r="AB131" s="180"/>
      <c r="AC131"/>
      <c r="AD131"/>
      <c r="AE131"/>
      <c r="AF131"/>
      <c r="AL131" s="165"/>
    </row>
    <row r="132" spans="3:65" s="98" customFormat="1" ht="17.25" customHeight="1">
      <c r="C132" s="143"/>
      <c r="D132" s="143"/>
      <c r="E132" s="143"/>
      <c r="AA132"/>
      <c r="AB132" s="180"/>
      <c r="AC132"/>
      <c r="AD132"/>
      <c r="AE132"/>
      <c r="AF132"/>
      <c r="AL132" s="165"/>
    </row>
    <row r="133" spans="3:65" s="98" customFormat="1" ht="17.25" customHeight="1">
      <c r="C133" s="143"/>
      <c r="D133" s="143"/>
      <c r="E133" s="143"/>
      <c r="F133" s="143"/>
      <c r="AA133"/>
      <c r="AB133" s="180"/>
      <c r="AC133"/>
      <c r="AD133"/>
      <c r="AE133"/>
      <c r="AF133"/>
      <c r="AL133" s="165"/>
    </row>
    <row r="134" spans="3:65" s="98" customFormat="1" ht="17.25" customHeight="1">
      <c r="C134" s="143"/>
      <c r="D134" s="143"/>
      <c r="E134" s="143"/>
      <c r="F134" s="143"/>
      <c r="AA134"/>
      <c r="AB134" s="180"/>
      <c r="AC134"/>
      <c r="AD134"/>
      <c r="AE134"/>
      <c r="AF134"/>
      <c r="AG134" s="106"/>
      <c r="AH134" s="106"/>
      <c r="AI134" s="106"/>
      <c r="AJ134" s="106"/>
      <c r="AK134" s="106"/>
      <c r="AL134" s="162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3:65" s="98" customFormat="1" ht="17.25" customHeight="1">
      <c r="C135" s="143"/>
      <c r="D135" s="143"/>
      <c r="E135" s="143"/>
      <c r="F135" s="143"/>
      <c r="AA135"/>
      <c r="AB135" s="180"/>
      <c r="AC135"/>
      <c r="AD135"/>
      <c r="AE135"/>
      <c r="AF135"/>
      <c r="AG135" s="106"/>
      <c r="AH135" s="106"/>
      <c r="AI135" s="106"/>
      <c r="AJ135" s="106"/>
      <c r="AK135" s="106"/>
      <c r="AL135" s="162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3:65" s="98" customFormat="1" ht="17.25" customHeight="1">
      <c r="C136" s="143"/>
      <c r="D136" s="143"/>
      <c r="E136" s="143"/>
      <c r="F136" s="143"/>
      <c r="AA136"/>
      <c r="AB136" s="180"/>
      <c r="AC136"/>
      <c r="AD136"/>
      <c r="AE136"/>
      <c r="AF136"/>
      <c r="AG136" s="106"/>
      <c r="AH136" s="106"/>
      <c r="AI136" s="106"/>
      <c r="AJ136" s="106"/>
      <c r="AK136" s="106"/>
      <c r="AL136" s="162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</row>
    <row r="137" spans="3:65" s="98" customFormat="1" ht="17.25" customHeight="1">
      <c r="C137" s="143"/>
      <c r="D137" s="143"/>
      <c r="E137" s="143"/>
      <c r="F137" s="143"/>
      <c r="AA137"/>
      <c r="AB137" s="180"/>
      <c r="AC137"/>
      <c r="AD137"/>
      <c r="AE137"/>
      <c r="AF137"/>
      <c r="AG137" s="106"/>
      <c r="AH137" s="106"/>
      <c r="AI137" s="106"/>
      <c r="AJ137" s="106"/>
      <c r="AK137" s="106"/>
      <c r="AL137" s="162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</row>
    <row r="138" spans="3:65" s="98" customFormat="1" ht="17.25" customHeight="1">
      <c r="C138" s="143"/>
      <c r="D138" s="143"/>
      <c r="E138" s="143"/>
      <c r="F138" s="143"/>
      <c r="AA138"/>
      <c r="AB138" s="180"/>
      <c r="AC138"/>
      <c r="AD138"/>
      <c r="AE138"/>
      <c r="AF138"/>
      <c r="AG138" s="106"/>
      <c r="AH138" s="106"/>
      <c r="AI138" s="106"/>
      <c r="AJ138" s="106"/>
      <c r="AK138" s="106"/>
      <c r="AL138" s="162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</row>
    <row r="139" spans="3:65" s="98" customFormat="1" ht="17.25" customHeight="1">
      <c r="C139" s="143"/>
      <c r="D139" s="143"/>
      <c r="E139" s="143"/>
      <c r="F139" s="143"/>
      <c r="AA139"/>
      <c r="AB139" s="180"/>
      <c r="AC139"/>
      <c r="AD139"/>
      <c r="AE139"/>
      <c r="AF139"/>
      <c r="AG139" s="106"/>
      <c r="AH139" s="106"/>
      <c r="AI139" s="106"/>
      <c r="AJ139" s="106"/>
      <c r="AK139" s="106"/>
      <c r="AL139" s="162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</row>
    <row r="140" spans="3:65" s="98" customFormat="1" ht="17.25" customHeight="1">
      <c r="C140" s="143"/>
      <c r="D140" s="143"/>
      <c r="E140" s="143"/>
      <c r="F140" s="143"/>
      <c r="AA140"/>
      <c r="AB140" s="180"/>
      <c r="AC140"/>
      <c r="AD140"/>
      <c r="AE140"/>
      <c r="AF140"/>
      <c r="AG140" s="106"/>
      <c r="AH140" s="106"/>
      <c r="AI140" s="106"/>
      <c r="AJ140" s="106"/>
      <c r="AK140" s="106"/>
      <c r="AL140" s="162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</row>
    <row r="141" spans="3:65" s="98" customFormat="1" ht="17.25" customHeight="1">
      <c r="C141" s="143"/>
      <c r="D141" s="143"/>
      <c r="E141" s="143"/>
      <c r="F141" s="143"/>
      <c r="AA141"/>
      <c r="AB141" s="180"/>
      <c r="AC141"/>
      <c r="AD141"/>
      <c r="AE141"/>
      <c r="AF141"/>
      <c r="AG141" s="106"/>
      <c r="AH141" s="106"/>
      <c r="AI141" s="106"/>
      <c r="AJ141" s="106"/>
      <c r="AK141" s="106"/>
      <c r="AL141" s="162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</row>
    <row r="142" spans="3:65" s="98" customFormat="1" ht="17.25" customHeight="1">
      <c r="C142" s="143"/>
      <c r="D142" s="143"/>
      <c r="E142" s="143"/>
      <c r="F142" s="143"/>
      <c r="AA142"/>
      <c r="AB142" s="180"/>
      <c r="AC142"/>
      <c r="AD142"/>
      <c r="AE142"/>
      <c r="AF142"/>
      <c r="AG142" s="106"/>
      <c r="AH142" s="106"/>
      <c r="AI142" s="106"/>
      <c r="AJ142" s="106"/>
      <c r="AK142" s="106"/>
      <c r="AL142" s="162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</row>
    <row r="143" spans="3:65" s="98" customFormat="1" ht="17.25" customHeight="1">
      <c r="C143" s="143"/>
      <c r="D143" s="143"/>
      <c r="E143" s="143"/>
      <c r="F143" s="143"/>
      <c r="AA143"/>
      <c r="AB143" s="180"/>
      <c r="AC143"/>
      <c r="AD143"/>
      <c r="AE143"/>
      <c r="AF143"/>
      <c r="AG143" s="106"/>
      <c r="AH143" s="106"/>
      <c r="AI143" s="106"/>
      <c r="AJ143" s="106"/>
      <c r="AK143" s="106"/>
      <c r="AL143" s="162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3:65" s="98" customFormat="1" ht="17.25" customHeight="1">
      <c r="C144" s="143"/>
      <c r="D144" s="143"/>
      <c r="E144" s="143"/>
      <c r="F144" s="143"/>
      <c r="AA144"/>
      <c r="AB144" s="180"/>
      <c r="AC144"/>
      <c r="AD144"/>
      <c r="AE144"/>
      <c r="AF144"/>
      <c r="AG144" s="106"/>
      <c r="AH144" s="106"/>
      <c r="AI144" s="106"/>
      <c r="AJ144" s="106"/>
      <c r="AK144" s="106"/>
      <c r="AL144" s="162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</row>
    <row r="145" spans="3:65" s="98" customFormat="1" ht="17.25" customHeight="1">
      <c r="C145" s="143"/>
      <c r="D145" s="143"/>
      <c r="E145" s="143"/>
      <c r="F145" s="143"/>
      <c r="AA145"/>
      <c r="AB145" s="180"/>
      <c r="AC145"/>
      <c r="AD145"/>
      <c r="AE145"/>
      <c r="AF145"/>
      <c r="AG145" s="106"/>
      <c r="AH145" s="106"/>
      <c r="AI145" s="106"/>
      <c r="AJ145" s="106"/>
      <c r="AK145" s="106"/>
      <c r="AL145" s="162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3:65" s="98" customFormat="1" ht="17.25" customHeight="1">
      <c r="C146" s="143"/>
      <c r="D146" s="143"/>
      <c r="E146" s="143"/>
      <c r="F146" s="143"/>
      <c r="AA146"/>
      <c r="AB146" s="180"/>
      <c r="AC146"/>
      <c r="AD146"/>
      <c r="AE146"/>
      <c r="AF146"/>
      <c r="AG146" s="106"/>
      <c r="AH146" s="106"/>
      <c r="AI146" s="106"/>
      <c r="AJ146" s="106"/>
      <c r="AK146" s="106"/>
      <c r="AL146" s="162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3:65" s="98" customFormat="1" ht="17.25" customHeight="1">
      <c r="C147" s="143"/>
      <c r="D147" s="143"/>
      <c r="E147" s="143"/>
      <c r="F147" s="143"/>
      <c r="AA147"/>
      <c r="AB147" s="180"/>
      <c r="AC147"/>
      <c r="AD147"/>
      <c r="AE147"/>
      <c r="AF147"/>
      <c r="AG147" s="106"/>
      <c r="AH147" s="106"/>
      <c r="AI147" s="106"/>
      <c r="AJ147" s="106"/>
      <c r="AK147" s="106"/>
      <c r="AL147" s="162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8" spans="3:65" s="98" customFormat="1" ht="17.25" customHeight="1">
      <c r="C148" s="143"/>
      <c r="D148" s="143"/>
      <c r="E148" s="143"/>
      <c r="F148" s="143"/>
      <c r="AA148"/>
      <c r="AB148" s="180"/>
      <c r="AC148"/>
      <c r="AD148"/>
      <c r="AE148"/>
      <c r="AF148"/>
      <c r="AG148" s="106"/>
      <c r="AH148" s="106"/>
      <c r="AI148" s="106"/>
      <c r="AJ148" s="106"/>
      <c r="AK148" s="106"/>
      <c r="AL148" s="162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</row>
    <row r="149" spans="3:65" s="98" customFormat="1" ht="17.25" customHeight="1">
      <c r="C149" s="143"/>
      <c r="D149" s="143"/>
      <c r="E149" s="143"/>
      <c r="F149" s="143"/>
      <c r="AA149"/>
      <c r="AB149" s="180"/>
      <c r="AC149"/>
      <c r="AD149"/>
      <c r="AE149"/>
      <c r="AF149"/>
      <c r="AG149" s="106"/>
      <c r="AH149" s="106"/>
      <c r="AI149" s="106"/>
      <c r="AJ149" s="106"/>
      <c r="AK149" s="106"/>
      <c r="AL149" s="162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</row>
    <row r="150" spans="3:65" s="98" customFormat="1" ht="17.25" customHeight="1">
      <c r="C150" s="143"/>
      <c r="D150" s="143"/>
      <c r="E150" s="143"/>
      <c r="F150" s="143"/>
      <c r="AA150"/>
      <c r="AB150" s="180"/>
      <c r="AC150"/>
      <c r="AD150"/>
      <c r="AE150"/>
      <c r="AF150"/>
      <c r="AG150" s="106"/>
      <c r="AH150" s="106"/>
      <c r="AI150" s="106"/>
      <c r="AJ150" s="106"/>
      <c r="AK150" s="106"/>
      <c r="AL150" s="162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</row>
    <row r="151" spans="3:65" s="98" customFormat="1" ht="17.25" customHeight="1">
      <c r="C151" s="143"/>
      <c r="D151" s="143"/>
      <c r="E151" s="143"/>
      <c r="F151" s="143"/>
      <c r="AA151"/>
      <c r="AB151" s="180"/>
      <c r="AC151"/>
      <c r="AD151"/>
      <c r="AE151"/>
      <c r="AF151"/>
      <c r="AG151" s="106"/>
      <c r="AH151" s="106"/>
      <c r="AI151" s="106"/>
      <c r="AJ151" s="106"/>
      <c r="AK151" s="106"/>
      <c r="AL151" s="162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</row>
    <row r="152" spans="3:65" s="98" customFormat="1" ht="17.25" customHeight="1">
      <c r="C152" s="143"/>
      <c r="D152" s="143"/>
      <c r="E152" s="143"/>
      <c r="F152" s="143"/>
      <c r="AA152"/>
      <c r="AB152" s="180"/>
      <c r="AC152"/>
      <c r="AD152"/>
      <c r="AE152"/>
      <c r="AF152"/>
      <c r="AG152" s="106"/>
      <c r="AH152" s="106"/>
      <c r="AI152" s="106"/>
      <c r="AJ152" s="106"/>
      <c r="AK152" s="106"/>
      <c r="AL152" s="162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</row>
    <row r="153" spans="3:65" s="98" customFormat="1" ht="17.25" customHeight="1">
      <c r="C153" s="143"/>
      <c r="D153" s="143"/>
      <c r="E153" s="143"/>
      <c r="F153" s="143"/>
      <c r="AA153" s="105"/>
      <c r="AB153" s="177"/>
      <c r="AC153" s="104"/>
      <c r="AD153" s="106"/>
      <c r="AE153" s="106"/>
      <c r="AF153" s="106"/>
      <c r="AG153" s="106"/>
      <c r="AH153" s="106"/>
      <c r="AI153" s="106"/>
      <c r="AJ153" s="106"/>
      <c r="AK153" s="106"/>
      <c r="AL153" s="162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</row>
    <row r="154" spans="3:65" s="98" customFormat="1" ht="17.25" customHeight="1">
      <c r="C154" s="143"/>
      <c r="D154" s="143"/>
      <c r="E154" s="143"/>
      <c r="F154" s="143"/>
      <c r="AA154" s="105"/>
      <c r="AB154" s="177"/>
      <c r="AC154" s="104"/>
      <c r="AD154" s="106"/>
      <c r="AE154" s="106"/>
      <c r="AF154" s="106"/>
      <c r="AG154" s="106"/>
      <c r="AH154" s="106"/>
      <c r="AI154" s="106"/>
      <c r="AJ154" s="106"/>
      <c r="AK154" s="106"/>
      <c r="AL154" s="162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</row>
    <row r="155" spans="3:65" s="98" customFormat="1" ht="17.25" customHeight="1">
      <c r="C155" s="143"/>
      <c r="D155" s="143"/>
      <c r="E155" s="143"/>
      <c r="F155" s="143"/>
      <c r="AA155" s="105"/>
      <c r="AB155" s="177"/>
      <c r="AC155" s="104"/>
      <c r="AD155" s="106"/>
      <c r="AE155" s="106"/>
      <c r="AF155" s="106"/>
      <c r="AG155" s="106"/>
      <c r="AH155" s="106"/>
      <c r="AI155" s="106"/>
      <c r="AJ155" s="106"/>
      <c r="AK155" s="106"/>
      <c r="AL155" s="162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</row>
    <row r="156" spans="3:65" s="98" customFormat="1" ht="17.25" customHeight="1">
      <c r="C156" s="143"/>
      <c r="D156" s="143"/>
      <c r="E156" s="143"/>
      <c r="F156" s="143"/>
      <c r="AA156" s="105"/>
      <c r="AB156" s="177"/>
      <c r="AC156" s="104"/>
      <c r="AD156" s="106"/>
      <c r="AE156" s="106"/>
      <c r="AF156" s="106"/>
      <c r="AG156" s="106"/>
      <c r="AH156" s="106"/>
      <c r="AI156" s="106"/>
      <c r="AJ156" s="106"/>
      <c r="AK156" s="106"/>
      <c r="AL156" s="162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</row>
    <row r="157" spans="3:65" s="98" customFormat="1" ht="17.25" customHeight="1">
      <c r="C157" s="143"/>
      <c r="D157" s="143"/>
      <c r="E157" s="143"/>
      <c r="F157" s="143"/>
      <c r="AA157" s="105"/>
      <c r="AB157" s="177"/>
      <c r="AC157" s="104"/>
      <c r="AD157" s="106"/>
      <c r="AE157" s="106"/>
      <c r="AF157" s="106"/>
      <c r="AG157" s="106"/>
      <c r="AH157" s="106"/>
      <c r="AI157" s="106"/>
      <c r="AJ157" s="106"/>
      <c r="AK157" s="106"/>
      <c r="AL157" s="162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</row>
    <row r="158" spans="3:65" s="98" customFormat="1" ht="17.25" customHeight="1">
      <c r="C158" s="143"/>
      <c r="D158" s="143"/>
      <c r="E158" s="143"/>
      <c r="F158" s="143"/>
      <c r="AA158" s="105"/>
      <c r="AB158" s="177"/>
      <c r="AC158" s="104"/>
      <c r="AD158" s="106"/>
      <c r="AE158" s="106"/>
      <c r="AF158" s="106"/>
      <c r="AG158" s="106"/>
      <c r="AH158" s="106"/>
      <c r="AI158" s="106"/>
      <c r="AJ158" s="106"/>
      <c r="AK158" s="106"/>
      <c r="AL158" s="162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</row>
    <row r="159" spans="3:65" s="98" customFormat="1" ht="17.25" customHeight="1">
      <c r="C159" s="143"/>
      <c r="D159" s="143"/>
      <c r="E159" s="143"/>
      <c r="F159" s="143"/>
      <c r="AA159" s="105"/>
      <c r="AB159" s="177"/>
      <c r="AC159" s="104"/>
      <c r="AD159" s="106"/>
      <c r="AE159" s="106"/>
      <c r="AF159" s="106"/>
      <c r="AG159" s="106"/>
      <c r="AH159" s="106"/>
      <c r="AI159" s="106"/>
      <c r="AJ159" s="106"/>
      <c r="AK159" s="106"/>
      <c r="AL159" s="162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</row>
    <row r="160" spans="3:65" s="98" customFormat="1" ht="17.25" customHeight="1">
      <c r="C160" s="143"/>
      <c r="D160" s="143"/>
      <c r="E160" s="143"/>
      <c r="F160" s="143"/>
      <c r="AA160" s="105"/>
      <c r="AB160" s="177"/>
      <c r="AC160" s="104"/>
      <c r="AD160" s="106"/>
      <c r="AE160" s="106"/>
      <c r="AF160" s="106"/>
      <c r="AG160" s="106"/>
      <c r="AH160" s="106"/>
      <c r="AI160" s="106"/>
      <c r="AJ160" s="106"/>
      <c r="AK160" s="106"/>
      <c r="AL160" s="162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</row>
    <row r="161" spans="3:65" s="98" customFormat="1" ht="17.25" customHeight="1">
      <c r="C161" s="143"/>
      <c r="D161" s="143"/>
      <c r="E161" s="143"/>
      <c r="F161" s="143"/>
      <c r="AA161" s="105"/>
      <c r="AB161" s="177"/>
      <c r="AC161" s="104"/>
      <c r="AD161" s="106"/>
      <c r="AE161" s="106"/>
      <c r="AF161" s="106"/>
      <c r="AG161" s="106"/>
      <c r="AH161" s="106"/>
      <c r="AI161" s="106"/>
      <c r="AJ161" s="106"/>
      <c r="AK161" s="106"/>
      <c r="AL161" s="162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</row>
    <row r="162" spans="3:65" s="98" customFormat="1" ht="17.25" customHeight="1">
      <c r="C162" s="143"/>
      <c r="D162" s="143"/>
      <c r="E162" s="143"/>
      <c r="F162" s="143"/>
      <c r="AA162" s="105"/>
      <c r="AB162" s="177"/>
      <c r="AC162" s="104"/>
      <c r="AD162" s="106"/>
      <c r="AE162" s="106"/>
      <c r="AF162" s="106"/>
      <c r="AG162" s="106"/>
      <c r="AH162" s="106"/>
      <c r="AI162" s="106"/>
      <c r="AJ162" s="106"/>
      <c r="AK162" s="106"/>
      <c r="AL162" s="162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</row>
    <row r="163" spans="3:65" s="98" customFormat="1" ht="17.25" customHeight="1">
      <c r="C163" s="143"/>
      <c r="D163" s="143"/>
      <c r="E163" s="143"/>
      <c r="F163" s="143"/>
      <c r="AA163" s="105"/>
      <c r="AB163" s="177"/>
      <c r="AC163" s="104"/>
      <c r="AD163" s="106"/>
      <c r="AE163" s="106"/>
      <c r="AF163" s="106"/>
      <c r="AG163" s="106"/>
      <c r="AH163" s="106"/>
      <c r="AI163" s="106"/>
      <c r="AJ163" s="106"/>
      <c r="AK163" s="106"/>
      <c r="AL163" s="162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</row>
    <row r="164" spans="3:65" s="98" customFormat="1" ht="17.25" customHeight="1">
      <c r="C164" s="143"/>
      <c r="D164" s="143"/>
      <c r="E164" s="143"/>
      <c r="F164" s="143"/>
      <c r="AA164" s="105"/>
      <c r="AB164" s="177"/>
      <c r="AC164" s="104"/>
      <c r="AD164" s="106"/>
      <c r="AE164" s="106"/>
      <c r="AF164" s="106"/>
      <c r="AG164" s="106"/>
      <c r="AH164" s="106"/>
      <c r="AI164" s="106"/>
      <c r="AJ164" s="106"/>
      <c r="AK164" s="106"/>
      <c r="AL164" s="162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</row>
    <row r="165" spans="3:65" s="98" customFormat="1" ht="17.25" customHeight="1">
      <c r="C165" s="143"/>
      <c r="D165" s="143"/>
      <c r="E165" s="143"/>
      <c r="F165" s="143"/>
      <c r="AA165" s="105"/>
      <c r="AB165" s="177"/>
      <c r="AC165" s="104"/>
      <c r="AD165" s="106"/>
      <c r="AE165" s="106"/>
      <c r="AF165" s="106"/>
      <c r="AG165" s="106"/>
      <c r="AH165" s="106"/>
      <c r="AI165" s="106"/>
      <c r="AJ165" s="106"/>
      <c r="AK165" s="106"/>
      <c r="AL165" s="162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</row>
    <row r="166" spans="3:65" s="98" customFormat="1" ht="17.25" customHeight="1">
      <c r="C166" s="143"/>
      <c r="D166" s="143"/>
      <c r="E166" s="143"/>
      <c r="F166" s="143"/>
      <c r="AA166" s="105"/>
      <c r="AB166" s="177"/>
      <c r="AC166" s="104"/>
      <c r="AD166" s="106"/>
      <c r="AE166" s="106"/>
      <c r="AF166" s="106"/>
      <c r="AG166" s="106"/>
      <c r="AH166" s="106"/>
      <c r="AI166" s="106"/>
      <c r="AJ166" s="106"/>
      <c r="AK166" s="106"/>
      <c r="AL166" s="162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</row>
    <row r="167" spans="3:65" s="98" customFormat="1" ht="17.25" customHeight="1">
      <c r="C167" s="143"/>
      <c r="D167" s="143"/>
      <c r="E167" s="143"/>
      <c r="F167" s="143"/>
      <c r="AA167" s="105"/>
      <c r="AB167" s="177"/>
      <c r="AC167" s="104"/>
      <c r="AD167" s="106"/>
      <c r="AE167" s="106"/>
      <c r="AF167" s="106"/>
      <c r="AG167" s="106"/>
      <c r="AH167" s="106"/>
      <c r="AI167" s="106"/>
      <c r="AJ167" s="106"/>
      <c r="AK167" s="106"/>
      <c r="AL167" s="162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</row>
    <row r="168" spans="3:65" s="98" customFormat="1" ht="17.25" customHeight="1">
      <c r="C168" s="143"/>
      <c r="D168" s="143"/>
      <c r="E168" s="143"/>
      <c r="F168" s="143"/>
      <c r="AA168" s="105"/>
      <c r="AB168" s="177"/>
      <c r="AC168" s="104"/>
      <c r="AD168" s="106"/>
      <c r="AE168" s="106"/>
      <c r="AF168" s="106"/>
      <c r="AG168" s="106"/>
      <c r="AH168" s="106"/>
      <c r="AI168" s="106"/>
      <c r="AJ168" s="106"/>
      <c r="AK168" s="106"/>
      <c r="AL168" s="162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</row>
    <row r="169" spans="3:65" s="98" customFormat="1" ht="17.25" customHeight="1">
      <c r="C169" s="143"/>
      <c r="D169" s="143"/>
      <c r="E169" s="143"/>
      <c r="F169" s="143"/>
      <c r="AA169" s="105"/>
      <c r="AB169" s="177"/>
      <c r="AC169" s="104"/>
      <c r="AD169" s="106"/>
      <c r="AE169" s="106"/>
      <c r="AF169" s="106"/>
      <c r="AG169" s="106"/>
      <c r="AH169" s="106"/>
      <c r="AI169" s="106"/>
      <c r="AJ169" s="106"/>
      <c r="AK169" s="106"/>
      <c r="AL169" s="162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</row>
    <row r="170" spans="3:65" s="98" customFormat="1" ht="17.25" customHeight="1">
      <c r="C170" s="143"/>
      <c r="D170" s="143"/>
      <c r="E170" s="143"/>
      <c r="F170" s="143"/>
      <c r="AA170" s="105"/>
      <c r="AB170" s="177"/>
      <c r="AC170" s="104"/>
      <c r="AD170" s="106"/>
      <c r="AE170" s="106"/>
      <c r="AF170" s="106"/>
      <c r="AG170" s="106"/>
      <c r="AH170" s="106"/>
      <c r="AI170" s="106"/>
      <c r="AJ170" s="106"/>
      <c r="AK170" s="106"/>
      <c r="AL170" s="162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</row>
    <row r="171" spans="3:65" s="98" customFormat="1" ht="17.25" customHeight="1">
      <c r="C171" s="143"/>
      <c r="D171" s="143"/>
      <c r="E171" s="143"/>
      <c r="F171" s="143"/>
      <c r="AA171" s="105"/>
      <c r="AB171" s="177"/>
      <c r="AC171" s="104"/>
      <c r="AD171" s="106"/>
      <c r="AE171" s="106"/>
      <c r="AF171" s="106"/>
      <c r="AG171" s="106"/>
      <c r="AH171" s="106"/>
      <c r="AI171" s="106"/>
      <c r="AJ171" s="106"/>
      <c r="AK171" s="106"/>
      <c r="AL171" s="162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</row>
    <row r="172" spans="3:65" s="98" customFormat="1" ht="17.25" customHeight="1">
      <c r="C172" s="143"/>
      <c r="D172" s="143"/>
      <c r="E172" s="143"/>
      <c r="F172" s="143"/>
      <c r="AA172" s="105"/>
      <c r="AB172" s="177"/>
      <c r="AC172" s="104"/>
      <c r="AD172" s="106"/>
      <c r="AE172" s="106"/>
      <c r="AF172" s="106"/>
      <c r="AG172" s="106"/>
      <c r="AH172" s="106"/>
      <c r="AI172" s="106"/>
      <c r="AJ172" s="106"/>
      <c r="AK172" s="106"/>
      <c r="AL172" s="162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</row>
    <row r="173" spans="3:65" s="98" customFormat="1" ht="17.25" customHeight="1">
      <c r="C173" s="143"/>
      <c r="D173" s="143"/>
      <c r="E173" s="143"/>
      <c r="F173" s="143"/>
      <c r="AA173" s="105"/>
      <c r="AB173" s="177"/>
      <c r="AC173" s="104"/>
      <c r="AD173" s="106"/>
      <c r="AE173" s="106"/>
      <c r="AF173" s="106"/>
      <c r="AG173" s="106"/>
      <c r="AH173" s="106"/>
      <c r="AI173" s="106"/>
      <c r="AJ173" s="106"/>
      <c r="AK173" s="106"/>
      <c r="AL173" s="162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</row>
    <row r="174" spans="3:65" s="98" customFormat="1" ht="17.25" customHeight="1">
      <c r="C174" s="143"/>
      <c r="D174" s="143"/>
      <c r="E174" s="143"/>
      <c r="F174" s="143"/>
      <c r="AA174" s="105"/>
      <c r="AB174" s="177"/>
      <c r="AC174" s="104"/>
      <c r="AD174" s="106"/>
      <c r="AE174" s="106"/>
      <c r="AF174" s="106"/>
      <c r="AG174" s="106"/>
      <c r="AH174" s="106"/>
      <c r="AI174" s="106"/>
      <c r="AJ174" s="106"/>
      <c r="AK174" s="106"/>
      <c r="AL174" s="162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</row>
    <row r="175" spans="3:65" s="98" customFormat="1" ht="17.25" customHeight="1">
      <c r="C175" s="143"/>
      <c r="D175" s="143"/>
      <c r="E175" s="143"/>
      <c r="F175" s="143"/>
      <c r="AA175" s="105"/>
      <c r="AB175" s="177"/>
      <c r="AC175" s="104"/>
      <c r="AD175" s="106"/>
      <c r="AE175" s="106"/>
      <c r="AF175" s="106"/>
      <c r="AG175" s="106"/>
      <c r="AH175" s="106"/>
      <c r="AI175" s="106"/>
      <c r="AJ175" s="106"/>
      <c r="AK175" s="106"/>
      <c r="AL175" s="162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</row>
    <row r="176" spans="3:65" s="98" customFormat="1" ht="17.25" customHeight="1">
      <c r="C176" s="143"/>
      <c r="D176" s="143"/>
      <c r="E176" s="143"/>
      <c r="F176" s="143"/>
      <c r="AA176" s="105"/>
      <c r="AB176" s="177"/>
      <c r="AC176" s="104"/>
      <c r="AD176" s="106"/>
      <c r="AE176" s="106"/>
      <c r="AF176" s="106"/>
      <c r="AG176" s="106"/>
      <c r="AH176" s="106"/>
      <c r="AI176" s="106"/>
      <c r="AJ176" s="106"/>
      <c r="AK176" s="106"/>
      <c r="AL176" s="162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</row>
    <row r="177" spans="3:65" s="98" customFormat="1" ht="17.25" customHeight="1">
      <c r="C177" s="143"/>
      <c r="D177" s="143"/>
      <c r="E177" s="143"/>
      <c r="F177" s="143"/>
      <c r="AA177" s="105"/>
      <c r="AB177" s="177"/>
      <c r="AC177" s="104"/>
      <c r="AD177" s="106"/>
      <c r="AE177" s="106"/>
      <c r="AF177" s="106"/>
      <c r="AG177" s="106"/>
      <c r="AH177" s="106"/>
      <c r="AI177" s="106"/>
      <c r="AJ177" s="106"/>
      <c r="AK177" s="106"/>
      <c r="AL177" s="162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</row>
    <row r="178" spans="3:65" s="98" customFormat="1" ht="17.25" customHeight="1">
      <c r="C178" s="143"/>
      <c r="D178" s="143"/>
      <c r="E178" s="143"/>
      <c r="F178" s="143"/>
      <c r="AA178" s="105"/>
      <c r="AB178" s="177"/>
      <c r="AC178" s="104"/>
      <c r="AD178" s="106"/>
      <c r="AE178" s="106"/>
      <c r="AF178" s="106"/>
      <c r="AG178" s="106"/>
      <c r="AH178" s="106"/>
      <c r="AI178" s="106"/>
      <c r="AJ178" s="106"/>
      <c r="AK178" s="106"/>
      <c r="AL178" s="162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</row>
    <row r="179" spans="3:65" s="98" customFormat="1" ht="17.25" customHeight="1">
      <c r="C179" s="143"/>
      <c r="D179" s="143"/>
      <c r="E179" s="143"/>
      <c r="F179" s="143"/>
      <c r="AA179" s="105"/>
      <c r="AB179" s="177"/>
      <c r="AC179" s="104"/>
      <c r="AD179" s="106"/>
      <c r="AE179" s="106"/>
      <c r="AF179" s="106"/>
      <c r="AG179" s="106"/>
      <c r="AH179" s="106"/>
      <c r="AI179" s="106"/>
      <c r="AJ179" s="106"/>
      <c r="AK179" s="106"/>
      <c r="AL179" s="162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</row>
    <row r="180" spans="3:65" s="98" customFormat="1" ht="17.25" customHeight="1">
      <c r="C180" s="143"/>
      <c r="D180" s="143"/>
      <c r="E180" s="143"/>
      <c r="F180" s="143"/>
      <c r="AA180" s="105"/>
      <c r="AB180" s="177"/>
      <c r="AC180" s="104"/>
      <c r="AD180" s="106"/>
      <c r="AE180" s="106"/>
      <c r="AF180" s="106"/>
      <c r="AG180" s="106"/>
      <c r="AH180" s="106"/>
      <c r="AI180" s="106"/>
      <c r="AJ180" s="106"/>
      <c r="AK180" s="106"/>
      <c r="AL180" s="162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</row>
    <row r="181" spans="3:65" s="98" customFormat="1" ht="17.25" customHeight="1">
      <c r="C181" s="143"/>
      <c r="D181" s="143"/>
      <c r="E181" s="143"/>
      <c r="F181" s="143"/>
      <c r="AA181" s="105"/>
      <c r="AB181" s="177"/>
      <c r="AC181" s="104"/>
      <c r="AD181" s="106"/>
      <c r="AE181" s="106"/>
      <c r="AF181" s="106"/>
      <c r="AG181" s="106"/>
      <c r="AH181" s="106"/>
      <c r="AI181" s="106"/>
      <c r="AJ181" s="106"/>
      <c r="AK181" s="106"/>
      <c r="AL181" s="162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</row>
    <row r="182" spans="3:65" s="98" customFormat="1" ht="17.25" customHeight="1">
      <c r="C182" s="143"/>
      <c r="D182" s="143"/>
      <c r="E182" s="143"/>
      <c r="F182" s="143"/>
      <c r="AA182" s="105"/>
      <c r="AB182" s="177"/>
      <c r="AC182" s="104"/>
      <c r="AD182" s="106"/>
      <c r="AE182" s="106"/>
      <c r="AF182" s="106"/>
      <c r="AG182" s="106"/>
      <c r="AH182" s="106"/>
      <c r="AI182" s="106"/>
      <c r="AJ182" s="106"/>
      <c r="AK182" s="106"/>
      <c r="AL182" s="162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</row>
    <row r="183" spans="3:65" s="98" customFormat="1" ht="17.25" customHeight="1">
      <c r="C183" s="143"/>
      <c r="D183" s="143"/>
      <c r="E183" s="143"/>
      <c r="F183" s="143"/>
      <c r="AA183" s="105"/>
      <c r="AB183" s="177"/>
      <c r="AC183" s="104"/>
      <c r="AD183" s="106"/>
      <c r="AE183" s="106"/>
      <c r="AF183" s="106"/>
      <c r="AG183" s="106"/>
      <c r="AH183" s="106"/>
      <c r="AI183" s="106"/>
      <c r="AJ183" s="106"/>
      <c r="AK183" s="106"/>
      <c r="AL183" s="162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</row>
    <row r="184" spans="3:65" s="98" customFormat="1" ht="17.25" customHeight="1">
      <c r="C184" s="143"/>
      <c r="D184" s="143"/>
      <c r="E184" s="143"/>
      <c r="F184" s="143"/>
      <c r="AA184" s="105"/>
      <c r="AB184" s="177"/>
      <c r="AC184" s="104"/>
      <c r="AD184" s="106"/>
      <c r="AE184" s="106"/>
      <c r="AF184" s="106"/>
      <c r="AG184" s="106"/>
      <c r="AH184" s="106"/>
      <c r="AI184" s="106"/>
      <c r="AJ184" s="106"/>
      <c r="AK184" s="106"/>
      <c r="AL184" s="162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defaultColWidth="9.140625" defaultRowHeight="15" outlineLevelCol="1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03" customWidth="1" outlineLevel="1"/>
    <col min="29" max="29" width="15" style="203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>
      <c r="C1" s="1074" t="s">
        <v>236</v>
      </c>
      <c r="D1" s="1074"/>
      <c r="E1" s="1074"/>
      <c r="F1" s="1074"/>
      <c r="G1" s="1075" t="s">
        <v>237</v>
      </c>
      <c r="H1" s="1075"/>
      <c r="I1" s="1075"/>
      <c r="J1" s="1075"/>
      <c r="K1" s="1075"/>
      <c r="L1" s="1075"/>
      <c r="M1" s="1075"/>
      <c r="N1" s="1075"/>
      <c r="O1" s="1075"/>
      <c r="P1" s="1075"/>
      <c r="Q1" s="1075"/>
      <c r="R1" s="1075"/>
      <c r="S1" s="1075"/>
      <c r="T1" s="1075"/>
      <c r="U1" s="1075"/>
      <c r="V1" s="1075"/>
      <c r="W1" s="1075"/>
      <c r="X1" s="1075"/>
      <c r="Y1" s="1075"/>
      <c r="AB1" s="15"/>
      <c r="AC1" s="193"/>
      <c r="AD1" s="193"/>
      <c r="AM1" s="30"/>
    </row>
    <row r="2" spans="1:54" s="1" customFormat="1" ht="17.25" customHeight="1">
      <c r="C2" s="1074"/>
      <c r="D2" s="1074"/>
      <c r="E2" s="1074"/>
      <c r="F2" s="1074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AB2" s="15"/>
      <c r="AC2" s="193"/>
      <c r="AD2" s="193"/>
      <c r="AM2" s="30"/>
    </row>
    <row r="3" spans="1:54" s="1" customFormat="1" ht="17.25" customHeight="1">
      <c r="C3" s="1074"/>
      <c r="D3" s="1074"/>
      <c r="E3" s="1074"/>
      <c r="F3" s="1074"/>
      <c r="G3" s="1076" t="s">
        <v>241</v>
      </c>
      <c r="H3" s="1076"/>
      <c r="I3" s="1076"/>
      <c r="J3" s="1078" t="s">
        <v>240</v>
      </c>
      <c r="K3" s="1078"/>
      <c r="L3" s="1078"/>
      <c r="AB3" s="15"/>
      <c r="AC3" s="193"/>
      <c r="AD3" s="193"/>
      <c r="AM3" s="30"/>
    </row>
    <row r="4" spans="1:54" s="1" customFormat="1" ht="17.25" customHeight="1">
      <c r="C4" s="1074"/>
      <c r="D4" s="1074"/>
      <c r="E4" s="1074"/>
      <c r="F4" s="1074"/>
      <c r="G4" s="1077"/>
      <c r="H4" s="1077"/>
      <c r="I4" s="1077"/>
      <c r="J4" s="1079"/>
      <c r="K4" s="1079"/>
      <c r="L4" s="1079"/>
      <c r="AB4" s="15"/>
      <c r="AC4" s="193"/>
      <c r="AD4" s="193"/>
      <c r="AM4" s="30"/>
    </row>
    <row r="5" spans="1:54" s="1" customFormat="1" ht="17.25" customHeight="1">
      <c r="C5" s="37"/>
      <c r="D5" s="37"/>
      <c r="E5" s="37"/>
      <c r="F5" s="37"/>
      <c r="G5" s="37"/>
      <c r="AB5" s="15"/>
      <c r="AC5" s="193"/>
      <c r="AD5" s="193"/>
      <c r="AM5" s="30"/>
    </row>
    <row r="6" spans="1:54" s="1" customFormat="1" ht="17.25" customHeight="1">
      <c r="C6" s="37"/>
      <c r="D6" s="37"/>
      <c r="E6" s="37"/>
      <c r="F6" s="37"/>
      <c r="G6" s="37"/>
      <c r="AB6" s="15"/>
      <c r="AC6" s="193"/>
      <c r="AD6" s="193"/>
      <c r="AM6" s="30"/>
    </row>
    <row r="7" spans="1:54" s="1" customFormat="1" ht="17.25" customHeight="1" thickBot="1">
      <c r="A7" s="1" t="s">
        <v>47</v>
      </c>
      <c r="B7" s="1" t="s">
        <v>48</v>
      </c>
      <c r="C7" s="37"/>
      <c r="D7" s="1052" t="s">
        <v>27</v>
      </c>
      <c r="E7" s="1052"/>
      <c r="F7" s="1052"/>
      <c r="G7" s="1052"/>
      <c r="H7" s="1052"/>
      <c r="I7" s="1052"/>
      <c r="J7" s="16"/>
      <c r="O7" s="1053" t="s">
        <v>28</v>
      </c>
      <c r="P7" s="1054"/>
      <c r="Q7" s="1054"/>
      <c r="R7" s="1054"/>
      <c r="S7" s="1054"/>
      <c r="T7" s="1054"/>
      <c r="U7" s="1055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>
      <c r="C8" s="37"/>
      <c r="D8" s="1056" t="s">
        <v>15</v>
      </c>
      <c r="E8" s="1056"/>
      <c r="F8" s="1056"/>
      <c r="G8" s="1057" t="s">
        <v>14</v>
      </c>
      <c r="H8" s="1057"/>
      <c r="I8" s="1057"/>
      <c r="J8" s="1058" t="s">
        <v>35</v>
      </c>
      <c r="K8" s="1058"/>
      <c r="L8" s="1058"/>
      <c r="M8" s="1058"/>
      <c r="N8" s="1058"/>
      <c r="O8" s="1059" t="s">
        <v>29</v>
      </c>
      <c r="P8" s="1060"/>
      <c r="Q8" s="1060"/>
      <c r="R8" s="1061"/>
      <c r="S8" s="1062" t="s">
        <v>30</v>
      </c>
      <c r="T8" s="1063"/>
      <c r="U8" s="1064"/>
      <c r="V8" s="1058" t="s">
        <v>35</v>
      </c>
      <c r="W8" s="1058"/>
      <c r="X8" s="1058"/>
      <c r="Y8" s="1058"/>
      <c r="Z8" s="1058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>
      <c r="C9" s="37"/>
      <c r="D9" s="1065" t="s">
        <v>79</v>
      </c>
      <c r="E9" s="1066"/>
      <c r="F9" s="1066"/>
      <c r="G9" s="1057" cm="1">
        <f t="array" ref="G9">heureConvert2Decimal(D9)</f>
        <v>11.983333333333333</v>
      </c>
      <c r="H9" s="1057"/>
      <c r="I9" s="1057"/>
      <c r="J9" s="1067" t="str" cm="1">
        <f t="array" ref="J9">heureDecimal2Txt(G9)</f>
        <v>11:59:00.00(11.9833)</v>
      </c>
      <c r="K9" s="1067"/>
      <c r="L9" s="1067"/>
      <c r="M9" s="1067"/>
      <c r="N9" s="1067"/>
      <c r="O9" s="1039" t="s">
        <v>458</v>
      </c>
      <c r="P9" s="1040"/>
      <c r="Q9" s="1040"/>
      <c r="R9" s="1041"/>
      <c r="S9" s="1068" cm="1">
        <f t="array" ref="S9">angleConvert2Decimal(O9)</f>
        <v>0.46666666666666667</v>
      </c>
      <c r="T9" s="1069"/>
      <c r="U9" s="1070"/>
      <c r="V9" s="1067" t="str" cm="1">
        <f t="array" ref="V9">angleDecimal2Txt(S9)</f>
        <v>+00°28.00 (+00.4666) [+00°28'00.00]</v>
      </c>
      <c r="W9" s="1067"/>
      <c r="X9" s="1067"/>
      <c r="Y9" s="1067"/>
      <c r="Z9" s="1067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>
      <c r="C10" s="37"/>
      <c r="D10" s="1066"/>
      <c r="E10" s="1066"/>
      <c r="F10" s="1066"/>
      <c r="G10" s="1057"/>
      <c r="H10" s="1057"/>
      <c r="I10" s="1057"/>
      <c r="J10" s="1067"/>
      <c r="K10" s="1067"/>
      <c r="L10" s="1067"/>
      <c r="M10" s="1067"/>
      <c r="N10" s="1067"/>
      <c r="O10" s="1042"/>
      <c r="P10" s="1043"/>
      <c r="Q10" s="1043"/>
      <c r="R10" s="1044"/>
      <c r="S10" s="1071"/>
      <c r="T10" s="1072"/>
      <c r="U10" s="1073"/>
      <c r="V10" s="1067"/>
      <c r="W10" s="1067"/>
      <c r="X10" s="1067"/>
      <c r="Y10" s="1067"/>
      <c r="Z10" s="1067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>
      <c r="C11" s="37"/>
      <c r="D11" s="1065"/>
      <c r="E11" s="1066"/>
      <c r="F11" s="1066"/>
      <c r="G11" s="1057">
        <v>11.9</v>
      </c>
      <c r="H11" s="1057"/>
      <c r="I11" s="1057"/>
      <c r="J11" s="1067" t="str" cm="1">
        <f t="array" ref="J11">heureDecimal2Txt(G11)</f>
        <v>11:54:00.00(11.9000)</v>
      </c>
      <c r="K11" s="1067"/>
      <c r="L11" s="1067"/>
      <c r="M11" s="1067"/>
      <c r="N11" s="1067"/>
      <c r="O11" s="1039"/>
      <c r="P11" s="1040"/>
      <c r="Q11" s="1040"/>
      <c r="R11" s="1041"/>
      <c r="S11" s="1068">
        <f>S9-59.2166667</f>
        <v>-58.750000033333329</v>
      </c>
      <c r="T11" s="1069"/>
      <c r="U11" s="1070"/>
      <c r="V11" s="1067" t="str" cm="1">
        <f t="array" ref="V11">angleDecimal2Txt(S11)</f>
        <v>-58°45.00 (-58.7500) [-58°45'00.00]</v>
      </c>
      <c r="W11" s="1067"/>
      <c r="X11" s="1067"/>
      <c r="Y11" s="1067"/>
      <c r="Z11" s="1067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>
      <c r="C12" s="37"/>
      <c r="D12" s="1066"/>
      <c r="E12" s="1066"/>
      <c r="F12" s="1066"/>
      <c r="G12" s="1057"/>
      <c r="H12" s="1057"/>
      <c r="I12" s="1057"/>
      <c r="J12" s="1067"/>
      <c r="K12" s="1067"/>
      <c r="L12" s="1067"/>
      <c r="M12" s="1067"/>
      <c r="N12" s="1067"/>
      <c r="O12" s="1042"/>
      <c r="P12" s="1043"/>
      <c r="Q12" s="1043"/>
      <c r="R12" s="1044"/>
      <c r="S12" s="1071"/>
      <c r="T12" s="1072"/>
      <c r="U12" s="1073"/>
      <c r="V12" s="1067"/>
      <c r="W12" s="1067"/>
      <c r="X12" s="1067"/>
      <c r="Y12" s="1067"/>
      <c r="Z12" s="1067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>
      <c r="C14" s="37"/>
      <c r="D14" s="1049" t="s">
        <v>41</v>
      </c>
      <c r="E14" s="1050"/>
      <c r="F14" s="1051"/>
      <c r="G14" s="16"/>
      <c r="H14" s="16"/>
      <c r="I14" s="1049" t="s">
        <v>144</v>
      </c>
      <c r="J14" s="1050"/>
      <c r="K14" s="1051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13" t="s">
        <v>154</v>
      </c>
      <c r="X14" s="1013"/>
      <c r="Y14" s="194" t="s">
        <v>9</v>
      </c>
      <c r="Z14" s="194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13" t="s">
        <v>155</v>
      </c>
      <c r="X15" s="1013"/>
      <c r="Y15" s="194" t="s">
        <v>156</v>
      </c>
      <c r="Z15" s="194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45" t="s">
        <v>160</v>
      </c>
      <c r="X16" s="1045"/>
      <c r="Y16" s="195" t="s">
        <v>159</v>
      </c>
      <c r="Z16" s="195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13" t="s">
        <v>157</v>
      </c>
      <c r="X17" s="1046"/>
      <c r="Y17" s="196"/>
      <c r="Z17" s="197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13" t="s">
        <v>158</v>
      </c>
      <c r="X18" s="1046"/>
      <c r="Y18" s="198"/>
      <c r="Z18" s="199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13" t="s">
        <v>163</v>
      </c>
      <c r="X19" s="1013"/>
      <c r="Y19" s="200" t="s">
        <v>161</v>
      </c>
      <c r="Z19" s="200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13" t="s">
        <v>162</v>
      </c>
      <c r="X20" s="1046"/>
      <c r="Y20" s="196"/>
      <c r="Z20" s="197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13" t="s">
        <v>164</v>
      </c>
      <c r="X21" s="1046"/>
      <c r="Y21" s="198"/>
      <c r="Z21" s="199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>
      <c r="B22" s="201" t="s">
        <v>167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13" t="s">
        <v>165</v>
      </c>
      <c r="X22" s="1013"/>
      <c r="Y22" s="1082" t="s">
        <v>166</v>
      </c>
      <c r="Z22" s="1082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81"/>
      <c r="X23" s="1081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>
      <c r="B31" s="10" t="s">
        <v>143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>
      <c r="C32" s="16"/>
      <c r="AA32" s="15"/>
      <c r="AB32" s="206" t="s">
        <v>409</v>
      </c>
      <c r="AC32" s="206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>
      <c r="C33" s="1028" t="s">
        <v>145</v>
      </c>
      <c r="D33" s="1047" t="s">
        <v>49</v>
      </c>
      <c r="E33" s="1000" cm="1">
        <f t="array" ref="E33">angleConvert2Decimal(I33)*VLOOKUP(H33,$D$16:$F$17,3)</f>
        <v>49.1</v>
      </c>
      <c r="F33" s="1000"/>
      <c r="G33" s="1001"/>
      <c r="H33" s="1004" t="s">
        <v>3</v>
      </c>
      <c r="I33" s="1006">
        <v>49.1</v>
      </c>
      <c r="J33" s="1007"/>
      <c r="K33" s="1007"/>
      <c r="L33" s="1007"/>
      <c r="M33" s="1008"/>
      <c r="N33" s="997" t="str" cm="1">
        <f t="array" ref="N33">angleDecimal2Txt(E33)</f>
        <v>+49°06.00 (+49.1000) [+49°06'00.00]</v>
      </c>
      <c r="O33" s="997"/>
      <c r="P33" s="997"/>
      <c r="Q33" s="997"/>
      <c r="R33" s="997"/>
      <c r="S33" s="997"/>
      <c r="T33" s="997"/>
      <c r="U33" s="997"/>
      <c r="V33" s="997"/>
      <c r="W33" s="998"/>
      <c r="AA33" s="15"/>
      <c r="AB33" s="206" t="s">
        <v>410</v>
      </c>
      <c r="AC33" s="206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>
      <c r="C34" s="1029"/>
      <c r="D34" s="1048"/>
      <c r="E34" s="1002"/>
      <c r="F34" s="1002"/>
      <c r="G34" s="1003"/>
      <c r="H34" s="1005"/>
      <c r="I34" s="1009"/>
      <c r="J34" s="1010"/>
      <c r="K34" s="1010"/>
      <c r="L34" s="1010"/>
      <c r="M34" s="1011"/>
      <c r="N34" s="995"/>
      <c r="O34" s="995"/>
      <c r="P34" s="995"/>
      <c r="Q34" s="995"/>
      <c r="R34" s="995"/>
      <c r="S34" s="995"/>
      <c r="T34" s="995"/>
      <c r="U34" s="995"/>
      <c r="V34" s="995"/>
      <c r="W34" s="996"/>
      <c r="X34" s="1" t="s">
        <v>417</v>
      </c>
      <c r="AA34" s="15"/>
      <c r="AB34" s="205" t="s">
        <v>405</v>
      </c>
      <c r="AC34" s="16"/>
      <c r="AD34" s="192" t="s">
        <v>71</v>
      </c>
      <c r="AE34" s="192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>
      <c r="C35" s="1029"/>
      <c r="D35" s="1016" t="s">
        <v>50</v>
      </c>
      <c r="E35" s="1000" cm="1">
        <f t="array" ref="E35">angleConvert2Decimal(I35)*VLOOKUP(H35,$E$16:$F$17,2)</f>
        <v>2.5</v>
      </c>
      <c r="F35" s="1000"/>
      <c r="G35" s="1001"/>
      <c r="H35" s="1018" t="s">
        <v>5</v>
      </c>
      <c r="I35" s="1020">
        <v>2.5</v>
      </c>
      <c r="J35" s="1021"/>
      <c r="K35" s="1021"/>
      <c r="L35" s="1021"/>
      <c r="M35" s="1022"/>
      <c r="N35" s="997" t="str" cm="1">
        <f t="array" ref="N35">angleDecimal2Txt(E35)</f>
        <v>+02°30.00 (+02.5000) [+02°30'00.00]</v>
      </c>
      <c r="O35" s="997"/>
      <c r="P35" s="997"/>
      <c r="Q35" s="997"/>
      <c r="R35" s="997"/>
      <c r="S35" s="997"/>
      <c r="T35" s="997"/>
      <c r="U35" s="997"/>
      <c r="V35" s="997"/>
      <c r="W35" s="998"/>
      <c r="AA35" s="15"/>
      <c r="AB35" s="16"/>
      <c r="AC35" s="210" t="s">
        <v>406</v>
      </c>
      <c r="AD35" s="211">
        <f>$E$41-$E$35</f>
        <v>136.6</v>
      </c>
      <c r="AE35" s="192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>
      <c r="C36" s="1030"/>
      <c r="D36" s="1017"/>
      <c r="E36" s="1002"/>
      <c r="F36" s="1002"/>
      <c r="G36" s="1003"/>
      <c r="H36" s="1019"/>
      <c r="I36" s="1023"/>
      <c r="J36" s="1024"/>
      <c r="K36" s="1024"/>
      <c r="L36" s="1024"/>
      <c r="M36" s="1025"/>
      <c r="N36" s="995"/>
      <c r="O36" s="995"/>
      <c r="P36" s="995"/>
      <c r="Q36" s="995"/>
      <c r="R36" s="995"/>
      <c r="S36" s="995"/>
      <c r="T36" s="995"/>
      <c r="U36" s="995"/>
      <c r="V36" s="995"/>
      <c r="W36" s="996"/>
      <c r="Z36"/>
      <c r="AA36" s="219"/>
      <c r="AB36" s="16"/>
      <c r="AC36" s="210" t="s">
        <v>407</v>
      </c>
      <c r="AD36" s="211">
        <f>$E$39-$E$33</f>
        <v>-0.10000000000000142</v>
      </c>
      <c r="AE36" s="192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19"/>
      <c r="AB37" s="16"/>
      <c r="AC37" s="210" t="s">
        <v>408</v>
      </c>
      <c r="AD37" s="210">
        <f>(E39+E33)/2</f>
        <v>49.05</v>
      </c>
      <c r="AE37" s="192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>
      <c r="C38" s="16"/>
      <c r="Y38" s="16"/>
      <c r="Z38"/>
      <c r="AA38" s="219"/>
      <c r="AB38" s="16"/>
      <c r="AC38" s="210" t="s">
        <v>427</v>
      </c>
      <c r="AD38" s="210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>
      <c r="C39" s="1028" t="s">
        <v>19</v>
      </c>
      <c r="D39" s="1047" t="s">
        <v>49</v>
      </c>
      <c r="E39" s="1000" cm="1">
        <f t="array" ref="E39">angleConvert2Decimal(I39)</f>
        <v>49</v>
      </c>
      <c r="F39" s="1000"/>
      <c r="G39" s="1001"/>
      <c r="H39" s="1004" t="s">
        <v>3</v>
      </c>
      <c r="I39" s="1006">
        <v>49</v>
      </c>
      <c r="J39" s="1007"/>
      <c r="K39" s="1007"/>
      <c r="L39" s="1007"/>
      <c r="M39" s="1008"/>
      <c r="N39" s="997" t="str" cm="1">
        <f t="array" ref="N39">angleDecimal2Txt(E39)</f>
        <v>+49°00.00 (+49.0000) [+49°00'00.00]</v>
      </c>
      <c r="O39" s="997"/>
      <c r="P39" s="997"/>
      <c r="Q39" s="997"/>
      <c r="R39" s="997"/>
      <c r="S39" s="997"/>
      <c r="T39" s="997"/>
      <c r="U39" s="997"/>
      <c r="V39" s="997"/>
      <c r="W39" s="998"/>
      <c r="Y39" s="16"/>
      <c r="Z39"/>
      <c r="AA39" s="219"/>
      <c r="AB39" s="16"/>
      <c r="AC39" s="207" t="s">
        <v>418</v>
      </c>
      <c r="AD39" s="207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>
      <c r="C40" s="1029"/>
      <c r="D40" s="1048"/>
      <c r="E40" s="1002"/>
      <c r="F40" s="1002"/>
      <c r="G40" s="1003"/>
      <c r="H40" s="1005"/>
      <c r="I40" s="1009"/>
      <c r="J40" s="1010"/>
      <c r="K40" s="1010"/>
      <c r="L40" s="1010"/>
      <c r="M40" s="1011"/>
      <c r="N40" s="995"/>
      <c r="O40" s="995"/>
      <c r="P40" s="995"/>
      <c r="Q40" s="995"/>
      <c r="R40" s="995"/>
      <c r="S40" s="995"/>
      <c r="T40" s="995"/>
      <c r="U40" s="995"/>
      <c r="V40" s="995"/>
      <c r="W40" s="996"/>
      <c r="X40" s="1" t="s">
        <v>416</v>
      </c>
      <c r="Y40" s="16"/>
      <c r="Z40"/>
      <c r="AA40" s="219"/>
      <c r="AB40" s="16"/>
      <c r="AC40" s="207" t="s">
        <v>419</v>
      </c>
      <c r="AD40" s="207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>
      <c r="C41" s="1029"/>
      <c r="D41" s="1016" t="s">
        <v>50</v>
      </c>
      <c r="E41" s="1000" cm="1">
        <f t="array" ref="E41">angleConvert2Decimal(I41)*VLOOKUP(H41,$E$16:$F$17,2)</f>
        <v>139.1</v>
      </c>
      <c r="F41" s="1000"/>
      <c r="G41" s="1001"/>
      <c r="H41" s="1018" t="s">
        <v>5</v>
      </c>
      <c r="I41" s="1020">
        <v>139.1</v>
      </c>
      <c r="J41" s="1021"/>
      <c r="K41" s="1021"/>
      <c r="L41" s="1021"/>
      <c r="M41" s="1022"/>
      <c r="N41" s="997" t="str" cm="1">
        <f t="array" ref="N41">angleDecimal2Txt(E41)</f>
        <v>+139°06.00 (+139.0999) [+139°06'00.00]</v>
      </c>
      <c r="O41" s="997"/>
      <c r="P41" s="997"/>
      <c r="Q41" s="997"/>
      <c r="R41" s="997"/>
      <c r="S41" s="997"/>
      <c r="T41" s="997"/>
      <c r="U41" s="997"/>
      <c r="V41" s="997"/>
      <c r="W41" s="998"/>
      <c r="Y41" s="16"/>
      <c r="Z41"/>
      <c r="AA41" s="219"/>
      <c r="AB41" s="16"/>
      <c r="AC41" s="207" t="s">
        <v>148</v>
      </c>
      <c r="AD41" s="207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>
      <c r="C42" s="1030"/>
      <c r="D42" s="1017"/>
      <c r="E42" s="1002"/>
      <c r="F42" s="1002"/>
      <c r="G42" s="1003"/>
      <c r="H42" s="1019"/>
      <c r="I42" s="1023"/>
      <c r="J42" s="1024"/>
      <c r="K42" s="1024"/>
      <c r="L42" s="1024"/>
      <c r="M42" s="1025"/>
      <c r="N42" s="995"/>
      <c r="O42" s="995"/>
      <c r="P42" s="995"/>
      <c r="Q42" s="995"/>
      <c r="R42" s="995"/>
      <c r="S42" s="995"/>
      <c r="T42" s="995"/>
      <c r="U42" s="995"/>
      <c r="V42" s="995"/>
      <c r="W42" s="996"/>
      <c r="Y42" s="16"/>
      <c r="Z42"/>
      <c r="AA42" s="219"/>
      <c r="AB42" s="16"/>
      <c r="AC42" s="207" t="s">
        <v>411</v>
      </c>
      <c r="AD42" s="207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>
      <c r="Z43"/>
      <c r="AA43" s="219"/>
      <c r="AB43" s="4" t="s">
        <v>412</v>
      </c>
      <c r="AC43" s="16"/>
      <c r="AE43"/>
      <c r="AF43"/>
      <c r="AG43"/>
    </row>
    <row r="44" spans="2:65">
      <c r="Z44"/>
      <c r="AA44" s="219"/>
      <c r="AB44" s="16"/>
      <c r="AC44" s="214" t="s">
        <v>406</v>
      </c>
      <c r="AD44" s="215">
        <f>$E$41-$E$35</f>
        <v>136.6</v>
      </c>
      <c r="AE44" s="216">
        <f>AD44*AC33</f>
        <v>2.3841197582242541</v>
      </c>
      <c r="AF44"/>
      <c r="AG44"/>
    </row>
    <row r="45" spans="2:65">
      <c r="E45" s="1026" t="s">
        <v>429</v>
      </c>
      <c r="F45" s="1026"/>
      <c r="G45" s="1026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026"/>
      <c r="U45" s="977" t="s">
        <v>146</v>
      </c>
      <c r="V45" s="978"/>
      <c r="W45" s="978"/>
      <c r="X45" s="979"/>
      <c r="AB45" s="16"/>
      <c r="AC45" s="191" t="s">
        <v>407</v>
      </c>
      <c r="AD45" s="211">
        <f>$E$39-$E$33</f>
        <v>-0.10000000000000142</v>
      </c>
      <c r="AE45" s="213" t="s">
        <v>421</v>
      </c>
      <c r="AF45" s="213" t="s">
        <v>422</v>
      </c>
      <c r="AG45" s="213" t="s">
        <v>423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>
      <c r="B46" s="1012" t="s">
        <v>428</v>
      </c>
      <c r="C46" s="1012"/>
      <c r="D46" s="16"/>
      <c r="E46" s="986" t="str" cm="1">
        <f t="array" ref="E46">angleDecimal2Txt(I46,0)</f>
        <v>+90°00.00</v>
      </c>
      <c r="F46" s="986"/>
      <c r="G46" s="986"/>
      <c r="H46" s="986"/>
      <c r="I46" s="976">
        <f>IF(OR(AF57,AE55),AD58,AD41)</f>
        <v>90</v>
      </c>
      <c r="J46" s="976"/>
      <c r="K46" s="976"/>
      <c r="L46" s="1027" t="str" cm="1">
        <f t="array" ref="L46">angleDecimal2Txt(I46)</f>
        <v>+90°00.00 (+90.0000) [+90°00'00.00]</v>
      </c>
      <c r="M46" s="1027"/>
      <c r="N46" s="1027"/>
      <c r="O46" s="1027"/>
      <c r="P46" s="1027"/>
      <c r="Q46" s="1027"/>
      <c r="R46" s="1027"/>
      <c r="S46" s="1027"/>
      <c r="U46" s="980">
        <f>IF(OR(AF57,AE55),AD59,AD42)</f>
        <v>5371.6598007930643</v>
      </c>
      <c r="V46" s="981"/>
      <c r="W46" s="981"/>
      <c r="X46" s="982"/>
      <c r="AA46" s="15"/>
      <c r="AB46" s="16"/>
      <c r="AC46" s="191" t="s">
        <v>414</v>
      </c>
      <c r="AD46" s="212">
        <f>AG46</f>
        <v>0.98647087183363136</v>
      </c>
      <c r="AE46" s="213">
        <f>PI()/4 + E33*$AC$33/2</f>
        <v>1.2138764947620562</v>
      </c>
      <c r="AF46" s="213">
        <f>TAN(AE46)</f>
        <v>2.6817535005930826</v>
      </c>
      <c r="AG46" s="213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>
      <c r="B47" s="1012"/>
      <c r="C47" s="1012"/>
      <c r="D47" s="16"/>
      <c r="E47" s="986"/>
      <c r="F47" s="986"/>
      <c r="G47" s="986"/>
      <c r="H47" s="986"/>
      <c r="I47" s="976"/>
      <c r="J47" s="976"/>
      <c r="K47" s="976"/>
      <c r="L47" s="1027"/>
      <c r="M47" s="1027"/>
      <c r="N47" s="1027"/>
      <c r="O47" s="1027"/>
      <c r="P47" s="1027"/>
      <c r="Q47" s="1027"/>
      <c r="R47" s="1027"/>
      <c r="S47" s="1027"/>
      <c r="U47" s="983"/>
      <c r="V47" s="984"/>
      <c r="W47" s="984"/>
      <c r="X47" s="985"/>
      <c r="AA47" s="15"/>
      <c r="AB47" s="16"/>
      <c r="AC47" s="191" t="s">
        <v>413</v>
      </c>
      <c r="AD47" s="212">
        <f>AG47</f>
        <v>0.98380787273879144</v>
      </c>
      <c r="AE47" s="213">
        <f>PI()/4 + E39*$AC$33/2</f>
        <v>1.2130038301360591</v>
      </c>
      <c r="AF47" s="213">
        <f>TAN(AE47)</f>
        <v>2.674621493926824</v>
      </c>
      <c r="AG47" s="213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>
      <c r="AB48" s="16"/>
      <c r="AC48" s="191" t="s">
        <v>415</v>
      </c>
      <c r="AD48" s="212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>
      <c r="B49" s="1085" t="s">
        <v>412</v>
      </c>
      <c r="C49" s="1085"/>
      <c r="E49" s="986" t="str" cm="1">
        <f t="array" ref="E49">angleDecimal2Txt(I49,0)</f>
        <v>+90°03.83</v>
      </c>
      <c r="F49" s="986"/>
      <c r="G49" s="986"/>
      <c r="H49" s="986"/>
      <c r="I49" s="976">
        <f>AD52</f>
        <v>90.063997852876852</v>
      </c>
      <c r="J49" s="976"/>
      <c r="K49" s="976"/>
      <c r="L49" s="1027" t="str" cm="1">
        <f t="array" ref="L49">angleDecimal2Txt(I49)</f>
        <v>+90°03.83 (+90.0639) [+90°03'50.39]</v>
      </c>
      <c r="M49" s="1027"/>
      <c r="N49" s="1027"/>
      <c r="O49" s="1027"/>
      <c r="P49" s="1027"/>
      <c r="Q49" s="1027"/>
      <c r="R49" s="1027"/>
      <c r="S49" s="1027"/>
      <c r="T49" s="1"/>
      <c r="U49" s="980">
        <f>AD53</f>
        <v>5371.6606590521533</v>
      </c>
      <c r="V49" s="981"/>
      <c r="W49" s="981"/>
      <c r="X49" s="982"/>
      <c r="AB49" s="16"/>
      <c r="AC49" s="210" t="s">
        <v>427</v>
      </c>
      <c r="AD49" s="192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>
      <c r="B50" s="1085"/>
      <c r="C50" s="1085"/>
      <c r="E50" s="986"/>
      <c r="F50" s="986"/>
      <c r="G50" s="986"/>
      <c r="H50" s="986"/>
      <c r="I50" s="976"/>
      <c r="J50" s="976"/>
      <c r="K50" s="976"/>
      <c r="L50" s="1027"/>
      <c r="M50" s="1027"/>
      <c r="N50" s="1027"/>
      <c r="O50" s="1027"/>
      <c r="P50" s="1027"/>
      <c r="Q50" s="1027"/>
      <c r="R50" s="1027"/>
      <c r="S50" s="1027"/>
      <c r="T50" s="1"/>
      <c r="U50" s="983"/>
      <c r="V50" s="984"/>
      <c r="W50" s="984"/>
      <c r="X50" s="985"/>
      <c r="AA50" s="15"/>
      <c r="AB50" s="16"/>
      <c r="AC50" s="207" t="s">
        <v>418</v>
      </c>
      <c r="AD50" s="202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>
      <c r="AA51" s="15"/>
      <c r="AB51" s="16"/>
      <c r="AC51" s="207" t="s">
        <v>419</v>
      </c>
      <c r="AD51" s="207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>
      <c r="AB52"/>
      <c r="AC52" s="207" t="s">
        <v>148</v>
      </c>
      <c r="AD52" s="207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>
      <c r="AB53"/>
      <c r="AC53" s="207" t="s">
        <v>411</v>
      </c>
      <c r="AD53" s="207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>
      <c r="AB54" s="205" t="s">
        <v>420</v>
      </c>
      <c r="AC54"/>
      <c r="AD54"/>
      <c r="AE54" t="s">
        <v>425</v>
      </c>
      <c r="AF54" t="s">
        <v>426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>
      <c r="AB55"/>
      <c r="AC55" s="220" t="s">
        <v>424</v>
      </c>
      <c r="AD55" s="218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>
      <c r="AB56"/>
      <c r="AC56" s="220" t="s">
        <v>406</v>
      </c>
      <c r="AD56" s="215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>
      <c r="AB57"/>
      <c r="AC57" s="217" t="s">
        <v>427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>
      <c r="AB58"/>
      <c r="AC58" s="207" t="s">
        <v>148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>
      <c r="E59" s="1026" t="s">
        <v>430</v>
      </c>
      <c r="F59" s="1026"/>
      <c r="G59" s="1026"/>
      <c r="H59" s="1026"/>
      <c r="I59" s="1026"/>
      <c r="J59" s="1026"/>
      <c r="K59" s="1026"/>
      <c r="L59" s="1026"/>
      <c r="M59" s="1026"/>
      <c r="N59" s="1026"/>
      <c r="O59" s="1026"/>
      <c r="P59" s="1026"/>
      <c r="Q59" s="1026"/>
      <c r="R59" s="1026"/>
      <c r="S59" s="1026"/>
      <c r="U59" s="977" t="s">
        <v>146</v>
      </c>
      <c r="V59" s="978"/>
      <c r="W59" s="978"/>
      <c r="X59" s="979"/>
      <c r="AB59"/>
      <c r="AC59" s="221" t="s">
        <v>411</v>
      </c>
      <c r="AD59" s="221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>
      <c r="B60" s="1012" t="s">
        <v>412</v>
      </c>
      <c r="C60" s="1012"/>
      <c r="E60" s="986" t="str" cm="1">
        <f t="array" ref="E60">angleDecimal2Txt(I60,0)</f>
        <v>+67°43.11</v>
      </c>
      <c r="F60" s="986"/>
      <c r="G60" s="986"/>
      <c r="H60" s="986"/>
      <c r="I60" s="976">
        <f>AD66</f>
        <v>67.718563531590618</v>
      </c>
      <c r="J60" s="976"/>
      <c r="K60" s="976"/>
      <c r="L60" s="1027" t="str" cm="1">
        <f t="array" ref="L60">angleDecimal2Txt(I60)</f>
        <v>+67°43.11 (+67.7185) [+67°43'06.82]</v>
      </c>
      <c r="M60" s="1027"/>
      <c r="N60" s="1027"/>
      <c r="O60" s="1027"/>
      <c r="P60" s="1027"/>
      <c r="Q60" s="1027"/>
      <c r="R60" s="1027"/>
      <c r="S60" s="1027"/>
      <c r="T60" s="1"/>
      <c r="U60" s="980">
        <f>AD64</f>
        <v>4501.6667210167871</v>
      </c>
      <c r="V60" s="981"/>
      <c r="W60" s="981"/>
      <c r="X60" s="982"/>
      <c r="AB60" s="205" t="s">
        <v>431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>
      <c r="B61" s="1012"/>
      <c r="C61" s="1012"/>
      <c r="E61" s="986"/>
      <c r="F61" s="986"/>
      <c r="G61" s="986"/>
      <c r="H61" s="986"/>
      <c r="I61" s="976"/>
      <c r="J61" s="976"/>
      <c r="K61" s="976"/>
      <c r="L61" s="1027"/>
      <c r="M61" s="1027"/>
      <c r="N61" s="1027"/>
      <c r="O61" s="1027"/>
      <c r="P61" s="1027"/>
      <c r="Q61" s="1027"/>
      <c r="R61" s="1027"/>
      <c r="S61" s="1027"/>
      <c r="T61" s="1"/>
      <c r="U61" s="983"/>
      <c r="V61" s="984"/>
      <c r="W61" s="984"/>
      <c r="X61" s="985"/>
      <c r="AB61"/>
      <c r="AC61" t="s">
        <v>432</v>
      </c>
      <c r="AD61" s="218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>
      <c r="AB62"/>
      <c r="AC62" t="s">
        <v>433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>
      <c r="AB63"/>
      <c r="AC63" s="16" t="s">
        <v>155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>
      <c r="AB64"/>
      <c r="AC64" s="222" t="s">
        <v>435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>
      <c r="AB65"/>
      <c r="AC65" t="s">
        <v>434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>
      <c r="AB66"/>
      <c r="AC66" s="3" t="s">
        <v>436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>
      <c r="B67" s="10" t="s">
        <v>147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08"/>
      <c r="AB67" s="209"/>
      <c r="AC67" s="209"/>
      <c r="AD67" s="208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>
      <c r="C69" s="1028" t="s">
        <v>145</v>
      </c>
      <c r="D69" s="1086" t="s">
        <v>49</v>
      </c>
      <c r="E69" s="1000" cm="1">
        <f t="array" ref="E69">angleConvert2Decimal(I69)*VLOOKUP(H69,D16:F17,3)</f>
        <v>40.016666666666666</v>
      </c>
      <c r="F69" s="1000"/>
      <c r="G69" s="1001"/>
      <c r="H69" s="1004" t="s">
        <v>3</v>
      </c>
      <c r="I69" s="1006" t="s">
        <v>403</v>
      </c>
      <c r="J69" s="1007"/>
      <c r="K69" s="1007"/>
      <c r="L69" s="1007"/>
      <c r="M69" s="1008"/>
      <c r="N69" s="997" t="str" cm="1">
        <f t="array" ref="N69">angleDecimal2Txt(E69)</f>
        <v>+40°01.00 (+40.0166) [+40°01'00.00]</v>
      </c>
      <c r="O69" s="997"/>
      <c r="P69" s="997"/>
      <c r="Q69" s="997"/>
      <c r="R69" s="997"/>
      <c r="S69" s="997"/>
      <c r="T69" s="997"/>
      <c r="U69" s="997"/>
      <c r="V69" s="997"/>
      <c r="W69" s="998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>
      <c r="C70" s="1029"/>
      <c r="D70" s="1087"/>
      <c r="E70" s="1002"/>
      <c r="F70" s="1002"/>
      <c r="G70" s="1003"/>
      <c r="H70" s="1005"/>
      <c r="I70" s="1009"/>
      <c r="J70" s="1010"/>
      <c r="K70" s="1010"/>
      <c r="L70" s="1010"/>
      <c r="M70" s="1011"/>
      <c r="N70" s="995"/>
      <c r="O70" s="995"/>
      <c r="P70" s="995"/>
      <c r="Q70" s="995"/>
      <c r="R70" s="995"/>
      <c r="S70" s="995"/>
      <c r="T70" s="995"/>
      <c r="U70" s="995"/>
      <c r="V70" s="995"/>
      <c r="W70" s="996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>
      <c r="C71" s="1029"/>
      <c r="D71" s="1087" t="s">
        <v>50</v>
      </c>
      <c r="E71" s="1000" cm="1">
        <f t="array" ref="E71">angleConvert2Decimal(I71)*VLOOKUP(H71,E16:F18,2)</f>
        <v>5.7166666666666668</v>
      </c>
      <c r="F71" s="1000"/>
      <c r="G71" s="1001"/>
      <c r="H71" s="1018" t="s">
        <v>5</v>
      </c>
      <c r="I71" s="1020" t="s">
        <v>404</v>
      </c>
      <c r="J71" s="1021"/>
      <c r="K71" s="1021"/>
      <c r="L71" s="1021"/>
      <c r="M71" s="1022"/>
      <c r="N71" s="997" t="str" cm="1">
        <f t="array" ref="N71">angleDecimal2Txt(E71)</f>
        <v>+05°43.00 (+05.7166) [+05°43'00.00]</v>
      </c>
      <c r="O71" s="997"/>
      <c r="P71" s="997"/>
      <c r="Q71" s="997"/>
      <c r="R71" s="997"/>
      <c r="S71" s="997"/>
      <c r="T71" s="997"/>
      <c r="U71" s="997"/>
      <c r="V71" s="997"/>
      <c r="W71" s="998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>
      <c r="C72" s="1030"/>
      <c r="D72" s="1088"/>
      <c r="E72" s="1002"/>
      <c r="F72" s="1002"/>
      <c r="G72" s="1003"/>
      <c r="H72" s="1019"/>
      <c r="I72" s="1023"/>
      <c r="J72" s="1024"/>
      <c r="K72" s="1024"/>
      <c r="L72" s="1024"/>
      <c r="M72" s="1025"/>
      <c r="N72" s="995"/>
      <c r="O72" s="995"/>
      <c r="P72" s="995"/>
      <c r="Q72" s="995"/>
      <c r="R72" s="995"/>
      <c r="S72" s="995"/>
      <c r="T72" s="995"/>
      <c r="U72" s="995"/>
      <c r="V72" s="995"/>
      <c r="W72" s="996"/>
      <c r="AA72" s="15"/>
      <c r="AB72" t="s">
        <v>438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411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>
      <c r="C75" s="1028" t="s">
        <v>150</v>
      </c>
      <c r="D75" s="1095" t="s">
        <v>151</v>
      </c>
      <c r="E75" s="1096"/>
      <c r="F75" s="1104">
        <v>120</v>
      </c>
      <c r="G75" s="1105"/>
      <c r="H75" s="1105"/>
      <c r="I75" s="999">
        <v>120</v>
      </c>
      <c r="J75" s="999"/>
      <c r="K75" s="999"/>
      <c r="L75" s="999"/>
      <c r="M75" s="999"/>
      <c r="N75" s="997" t="str" cm="1">
        <f t="array" ref="N75">angleDecimal2Txt(F75)</f>
        <v>+120°00.00 (+120.0000) [+120°00'00.00]</v>
      </c>
      <c r="O75" s="997"/>
      <c r="P75" s="997"/>
      <c r="Q75" s="997"/>
      <c r="R75" s="997"/>
      <c r="S75" s="997"/>
      <c r="T75" s="997"/>
      <c r="U75" s="997"/>
      <c r="V75" s="997"/>
      <c r="W75" s="998"/>
      <c r="AA75" s="15"/>
      <c r="AB75" t="s">
        <v>439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>
      <c r="C76" s="1091"/>
      <c r="D76" s="1085"/>
      <c r="E76" s="1097"/>
      <c r="F76" s="1104"/>
      <c r="G76" s="1105"/>
      <c r="H76" s="1105"/>
      <c r="I76" s="999"/>
      <c r="J76" s="999"/>
      <c r="K76" s="999"/>
      <c r="L76" s="999"/>
      <c r="M76" s="999"/>
      <c r="N76" s="995"/>
      <c r="O76" s="995"/>
      <c r="P76" s="995"/>
      <c r="Q76" s="995"/>
      <c r="R76" s="995"/>
      <c r="S76" s="995"/>
      <c r="T76" s="995"/>
      <c r="U76" s="995"/>
      <c r="V76" s="995"/>
      <c r="W76" s="996"/>
      <c r="AA76" s="15"/>
      <c r="AB76" t="s">
        <v>440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>
      <c r="C77" s="1091"/>
      <c r="D77" s="1085" t="s">
        <v>150</v>
      </c>
      <c r="E77" s="1097"/>
      <c r="F77" s="1104">
        <f>I77</f>
        <v>10</v>
      </c>
      <c r="G77" s="1105"/>
      <c r="H77" s="1105"/>
      <c r="I77" s="999">
        <v>10</v>
      </c>
      <c r="J77" s="999"/>
      <c r="K77" s="999"/>
      <c r="L77" s="999"/>
      <c r="M77" s="999"/>
      <c r="N77" s="992"/>
      <c r="O77" s="992"/>
      <c r="P77" s="992"/>
      <c r="Q77" s="992"/>
      <c r="R77" s="992"/>
      <c r="S77" s="992"/>
      <c r="T77" s="992"/>
      <c r="U77" s="992"/>
      <c r="V77" s="992"/>
      <c r="W77" s="992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>
      <c r="C78" s="1091"/>
      <c r="D78" s="1085"/>
      <c r="E78" s="1097"/>
      <c r="F78" s="1104"/>
      <c r="G78" s="1105"/>
      <c r="H78" s="1105"/>
      <c r="I78" s="999"/>
      <c r="J78" s="999"/>
      <c r="K78" s="999"/>
      <c r="L78" s="999"/>
      <c r="M78" s="999"/>
      <c r="N78" s="992"/>
      <c r="O78" s="992"/>
      <c r="P78" s="992"/>
      <c r="Q78" s="992"/>
      <c r="R78" s="992"/>
      <c r="S78" s="992"/>
      <c r="T78" s="992"/>
      <c r="U78" s="992"/>
      <c r="V78" s="992"/>
      <c r="W78" s="992"/>
      <c r="AA78" s="15"/>
      <c r="AB78" s="1" t="s">
        <v>165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>
      <c r="C79" s="1091"/>
      <c r="D79" s="1085" t="s">
        <v>153</v>
      </c>
      <c r="E79" s="1097"/>
      <c r="F79" s="1104">
        <v>2</v>
      </c>
      <c r="G79" s="1105"/>
      <c r="H79" s="1105"/>
      <c r="I79" s="1103" t="s">
        <v>437</v>
      </c>
      <c r="J79" s="1103"/>
      <c r="K79" s="1103"/>
      <c r="L79" s="1103"/>
      <c r="M79" s="1103"/>
      <c r="N79" s="997" t="str" cm="1">
        <f t="array" ref="N79">heureDecimal2Txt(F79)</f>
        <v>02:00:00.00(02.0000)</v>
      </c>
      <c r="O79" s="997"/>
      <c r="P79" s="997"/>
      <c r="Q79" s="997"/>
      <c r="R79" s="997"/>
      <c r="S79" s="997"/>
      <c r="T79" s="997"/>
      <c r="U79" s="997"/>
      <c r="V79" s="997"/>
      <c r="W79" s="998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>
      <c r="C80" s="1092"/>
      <c r="D80" s="1106"/>
      <c r="E80" s="1107"/>
      <c r="F80" s="1104"/>
      <c r="G80" s="1105"/>
      <c r="H80" s="1105"/>
      <c r="I80" s="1103"/>
      <c r="J80" s="1103"/>
      <c r="K80" s="1103"/>
      <c r="L80" s="1103"/>
      <c r="M80" s="1103"/>
      <c r="N80" s="995"/>
      <c r="O80" s="995"/>
      <c r="P80" s="995"/>
      <c r="Q80" s="995"/>
      <c r="R80" s="995"/>
      <c r="S80" s="995"/>
      <c r="T80" s="995"/>
      <c r="U80" s="995"/>
      <c r="V80" s="995"/>
      <c r="W80" s="996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>
      <c r="AB81"/>
      <c r="AC81"/>
      <c r="AD81"/>
      <c r="AE81"/>
      <c r="AF81"/>
      <c r="AG81"/>
    </row>
    <row r="82" spans="2:61" s="1" customFormat="1" ht="17.25" customHeight="1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>
      <c r="C83" s="37"/>
      <c r="D83" s="16"/>
      <c r="F83" s="1100" t="s">
        <v>152</v>
      </c>
      <c r="G83" s="1101"/>
      <c r="H83" s="1101"/>
      <c r="I83" s="1101"/>
      <c r="J83" s="1101"/>
      <c r="K83" s="1101"/>
      <c r="L83" s="1101"/>
      <c r="M83" s="1101"/>
      <c r="N83" s="1101"/>
      <c r="O83" s="1101"/>
      <c r="P83" s="1101"/>
      <c r="Q83" s="1101"/>
      <c r="R83" s="1101"/>
      <c r="S83" s="1101"/>
      <c r="T83" s="1101"/>
      <c r="U83" s="1101"/>
      <c r="V83" s="1101"/>
      <c r="W83" s="1101"/>
      <c r="X83" s="1101"/>
      <c r="Y83" s="1102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>
      <c r="F84" s="1089" t="s">
        <v>49</v>
      </c>
      <c r="G84" s="1093">
        <f>E69+F77*F79*COS(F75*K15)/60</f>
        <v>39.85</v>
      </c>
      <c r="H84" s="1093"/>
      <c r="I84" s="1093"/>
      <c r="J84" s="1093"/>
      <c r="K84" s="1093"/>
      <c r="L84" s="1093"/>
      <c r="M84" s="1093"/>
      <c r="N84" s="1093"/>
      <c r="O84" s="1093"/>
      <c r="P84" s="993" t="str" cm="1">
        <f t="array" ref="P84">angleDecimal2Txt(G84)</f>
        <v>+39°51.00 (+39.8500) [+39°51'00.00]</v>
      </c>
      <c r="Q84" s="993"/>
      <c r="R84" s="993"/>
      <c r="S84" s="993"/>
      <c r="T84" s="993"/>
      <c r="U84" s="993"/>
      <c r="V84" s="993"/>
      <c r="W84" s="993"/>
      <c r="X84" s="993"/>
      <c r="Y84" s="99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>
      <c r="F85" s="1090"/>
      <c r="G85" s="1093"/>
      <c r="H85" s="1093"/>
      <c r="I85" s="1093"/>
      <c r="J85" s="1093"/>
      <c r="K85" s="1093"/>
      <c r="L85" s="1093"/>
      <c r="M85" s="1093"/>
      <c r="N85" s="1093"/>
      <c r="O85" s="1093"/>
      <c r="P85" s="995"/>
      <c r="Q85" s="995"/>
      <c r="R85" s="995"/>
      <c r="S85" s="995"/>
      <c r="T85" s="995"/>
      <c r="U85" s="995"/>
      <c r="V85" s="995"/>
      <c r="W85" s="995"/>
      <c r="X85" s="995"/>
      <c r="Y85" s="996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>
      <c r="F86" s="1098" t="s">
        <v>50</v>
      </c>
      <c r="G86" s="1094">
        <f>AC78</f>
        <v>6.0931379837585844</v>
      </c>
      <c r="H86" s="1093"/>
      <c r="I86" s="1093"/>
      <c r="J86" s="1093"/>
      <c r="K86" s="1093"/>
      <c r="L86" s="1093"/>
      <c r="M86" s="1093"/>
      <c r="N86" s="1093"/>
      <c r="O86" s="1093"/>
      <c r="P86" s="997" t="str" cm="1">
        <f t="array" ref="P86">angleDecimal2Txt(G86)</f>
        <v>+06°05.58 (+06.0931) [+06°05'35.29]</v>
      </c>
      <c r="Q86" s="997"/>
      <c r="R86" s="997"/>
      <c r="S86" s="997"/>
      <c r="T86" s="997"/>
      <c r="U86" s="997"/>
      <c r="V86" s="997"/>
      <c r="W86" s="997"/>
      <c r="X86" s="997"/>
      <c r="Y86" s="998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>
      <c r="F87" s="1099"/>
      <c r="G87" s="1093"/>
      <c r="H87" s="1093"/>
      <c r="I87" s="1093"/>
      <c r="J87" s="1093"/>
      <c r="K87" s="1093"/>
      <c r="L87" s="1093"/>
      <c r="M87" s="1093"/>
      <c r="N87" s="1093"/>
      <c r="O87" s="1093"/>
      <c r="P87" s="995"/>
      <c r="Q87" s="995"/>
      <c r="R87" s="995"/>
      <c r="S87" s="995"/>
      <c r="T87" s="995"/>
      <c r="U87" s="995"/>
      <c r="V87" s="995"/>
      <c r="W87" s="995"/>
      <c r="X87" s="995"/>
      <c r="Y87" s="996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>
      <c r="AB88"/>
      <c r="AC88"/>
      <c r="AD88"/>
    </row>
    <row r="89" spans="2:61">
      <c r="F89" s="62" t="s">
        <v>407</v>
      </c>
      <c r="G89" s="62"/>
      <c r="H89" s="1083">
        <f>G84-E69</f>
        <v>-0.1666666666666643</v>
      </c>
      <c r="I89" s="1084"/>
      <c r="J89" s="1084" t="str" cm="1">
        <f t="array" ref="J89">angleDecimal2Txt(H89)</f>
        <v>-00°09.99 (-00.1666) [-00°09'59.99]</v>
      </c>
      <c r="K89" s="1084"/>
      <c r="L89" s="1084"/>
      <c r="M89" s="1084"/>
      <c r="N89" s="1084"/>
      <c r="O89" s="1084"/>
      <c r="AB89"/>
      <c r="AC89"/>
      <c r="AD89"/>
    </row>
    <row r="90" spans="2:61">
      <c r="F90" s="62" t="s">
        <v>441</v>
      </c>
      <c r="G90" s="62"/>
      <c r="H90" s="1083">
        <f>G86-E71</f>
        <v>0.37647131709191761</v>
      </c>
      <c r="I90" s="1084"/>
      <c r="J90" s="1084" t="str" cm="1">
        <f t="array" ref="J90">angleDecimal2Txt(H90)</f>
        <v>+00°22.58 (+00.3764) [+00°22'35.29]</v>
      </c>
      <c r="K90" s="1084"/>
      <c r="L90" s="1084"/>
      <c r="M90" s="1084"/>
      <c r="N90" s="1084"/>
      <c r="O90" s="1084"/>
      <c r="AB90"/>
      <c r="AC90"/>
      <c r="AD90"/>
    </row>
    <row r="91" spans="2:61">
      <c r="AB91"/>
      <c r="AC91"/>
      <c r="AD91"/>
    </row>
    <row r="92" spans="2:61">
      <c r="AB92"/>
      <c r="AC92"/>
      <c r="AD92"/>
    </row>
    <row r="93" spans="2:61" ht="15.75" thickBot="1">
      <c r="AB93"/>
      <c r="AC93"/>
      <c r="AD93"/>
    </row>
    <row r="94" spans="2:61" s="1" customFormat="1" ht="17.25" customHeight="1" thickBot="1">
      <c r="B94" s="10" t="s">
        <v>460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04"/>
      <c r="AC94" s="204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>
      <c r="B96" s="16"/>
      <c r="C96" s="1031" t="s">
        <v>22</v>
      </c>
      <c r="D96" s="1032"/>
      <c r="E96" s="1032"/>
      <c r="F96" s="1032"/>
      <c r="G96" s="1032"/>
      <c r="H96" s="1033"/>
      <c r="I96" s="1035">
        <f>AB96</f>
        <v>-0.05</v>
      </c>
      <c r="J96" s="1036"/>
      <c r="K96" s="1036"/>
      <c r="L96" s="1037" t="s">
        <v>172</v>
      </c>
      <c r="M96" s="1038"/>
      <c r="N96" s="1038"/>
      <c r="O96" s="1080">
        <f>AB96</f>
        <v>-0.05</v>
      </c>
      <c r="P96" s="1080"/>
      <c r="Q96" s="1080"/>
      <c r="R96" s="1080"/>
      <c r="S96" s="1080"/>
      <c r="T96" s="1080"/>
      <c r="U96" s="1080"/>
      <c r="V96" s="1080"/>
      <c r="W96" s="1080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>
      <c r="C97" s="1034" t="s">
        <v>32</v>
      </c>
      <c r="D97" s="1034"/>
      <c r="E97" s="1034"/>
      <c r="F97" s="1034"/>
      <c r="G97" s="1034"/>
      <c r="H97" s="1034"/>
      <c r="I97" s="987">
        <f>AB97</f>
        <v>2.5833333333333335</v>
      </c>
      <c r="J97" s="988"/>
      <c r="K97" s="988"/>
      <c r="L97" s="989" t="s">
        <v>459</v>
      </c>
      <c r="M97" s="990"/>
      <c r="N97" s="991"/>
      <c r="O97" s="1080">
        <f>AB97</f>
        <v>2.5833333333333335</v>
      </c>
      <c r="P97" s="1080"/>
      <c r="Q97" s="1080"/>
      <c r="R97" s="1080"/>
      <c r="S97" s="1080"/>
      <c r="T97" s="1080"/>
      <c r="U97" s="1080"/>
      <c r="V97" s="1080"/>
      <c r="W97" s="1080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>
      <c r="C98" s="1034" t="s">
        <v>180</v>
      </c>
      <c r="D98" s="1034"/>
      <c r="E98" s="1034"/>
      <c r="F98" s="1034"/>
      <c r="G98" s="1034"/>
      <c r="H98" s="1034"/>
      <c r="I98" s="987">
        <f>AB98</f>
        <v>2.5333333333333337</v>
      </c>
      <c r="J98" s="988"/>
      <c r="K98" s="988"/>
      <c r="L98" s="989" t="s">
        <v>459</v>
      </c>
      <c r="M98" s="990"/>
      <c r="N98" s="991"/>
      <c r="O98" s="1080" t="str" cm="1">
        <f t="array" ref="O98">angleDecimal2Txt(AC98)</f>
        <v>+00°00.00 (+00.0000) [+00°00'00.00]</v>
      </c>
      <c r="P98" s="1080"/>
      <c r="Q98" s="1080"/>
      <c r="R98" s="1080"/>
      <c r="S98" s="1080"/>
      <c r="T98" s="1080"/>
      <c r="U98" s="1080"/>
      <c r="V98" s="1080"/>
      <c r="W98" s="1080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>
      <c r="C99" s="1034" t="s">
        <v>181</v>
      </c>
      <c r="D99" s="1034"/>
      <c r="E99" s="1034"/>
      <c r="F99" s="1034"/>
      <c r="G99" s="1034"/>
      <c r="H99" s="1034"/>
      <c r="I99" s="987">
        <v>13</v>
      </c>
      <c r="J99" s="988"/>
      <c r="K99" s="988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>
      <c r="AA100" s="16"/>
      <c r="AB100" s="16"/>
      <c r="AC100" s="16"/>
    </row>
    <row r="101" spans="1:60" ht="17.25" customHeight="1">
      <c r="AA101" s="16"/>
      <c r="AB101" s="16"/>
      <c r="AC101" s="16"/>
    </row>
    <row r="102" spans="1:60" ht="17.25" customHeight="1">
      <c r="I102" s="952" t="s">
        <v>182</v>
      </c>
      <c r="J102" s="952"/>
      <c r="K102" s="952"/>
      <c r="L102" s="952">
        <f>I99/TAN(I98*PI()/180)</f>
        <v>293.82619257974028</v>
      </c>
      <c r="M102" s="952"/>
      <c r="AA102" s="16"/>
      <c r="AB102" s="16"/>
      <c r="AC102" s="16"/>
    </row>
    <row r="103" spans="1:60" ht="17.25" customHeight="1">
      <c r="I103" s="952" t="s">
        <v>146</v>
      </c>
      <c r="J103" s="952"/>
      <c r="K103" s="952"/>
      <c r="L103" s="952">
        <f>L102/1852</f>
        <v>0.15865345171692238</v>
      </c>
      <c r="M103" s="952"/>
      <c r="AA103" s="16"/>
      <c r="AB103" s="16"/>
      <c r="AC103" s="16"/>
    </row>
    <row r="104" spans="1:60" ht="17.25" customHeight="1">
      <c r="AA104" s="16"/>
      <c r="AB104" s="16"/>
      <c r="AC104" s="16"/>
    </row>
    <row r="105" spans="1:60" ht="17.25" customHeight="1">
      <c r="AA105" s="16"/>
      <c r="AB105" s="16"/>
      <c r="AC105" s="16"/>
    </row>
    <row r="106" spans="1:60">
      <c r="AA106" s="16"/>
      <c r="AB106" s="16"/>
      <c r="AC106" s="16"/>
    </row>
    <row r="107" spans="1:60" ht="15.75" thickBot="1">
      <c r="AA107" s="16"/>
      <c r="AB107" s="16"/>
      <c r="AC107" s="16"/>
    </row>
    <row r="108" spans="1:60" ht="15.75" thickBot="1">
      <c r="A108" s="1"/>
      <c r="B108" s="10" t="s">
        <v>442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>
      <c r="A110" s="1"/>
      <c r="C110"/>
      <c r="D110"/>
      <c r="E110" s="213" t="s">
        <v>114</v>
      </c>
      <c r="F110" s="213" t="s">
        <v>446</v>
      </c>
      <c r="G110" s="213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447</v>
      </c>
      <c r="R110" t="s">
        <v>448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>
      <c r="A111" s="1"/>
      <c r="B111" s="1"/>
      <c r="C111"/>
      <c r="D111"/>
      <c r="E111" s="213">
        <v>23.13</v>
      </c>
      <c r="F111" s="213">
        <v>27.25</v>
      </c>
      <c r="G111" s="213">
        <v>328.93</v>
      </c>
      <c r="H111"/>
      <c r="I111" s="226" t="s">
        <v>444</v>
      </c>
      <c r="J111" s="226">
        <f>SIN(E112)*SIN(F112)+COS(E112)*COS(G112)*COS(F112)</f>
        <v>0.88012731306072611</v>
      </c>
      <c r="K111"/>
      <c r="L111" s="224" t="s">
        <v>443</v>
      </c>
      <c r="M111" s="225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>
      <c r="A112" s="1"/>
      <c r="B112" s="1"/>
      <c r="C112"/>
      <c r="D112"/>
      <c r="E112" s="227">
        <f>E111*$K$15</f>
        <v>0.4036946559862884</v>
      </c>
      <c r="F112" s="227">
        <f>F111*$K$15</f>
        <v>0.4756022211684548</v>
      </c>
      <c r="G112" s="227">
        <f>G111*$K$15</f>
        <v>5.740911508584948</v>
      </c>
      <c r="H112"/>
      <c r="I112"/>
      <c r="J112"/>
      <c r="K112"/>
      <c r="L112" s="223"/>
      <c r="M112" s="226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>
      <c r="A113" s="1"/>
      <c r="B113" s="1"/>
      <c r="C113"/>
      <c r="D113"/>
      <c r="E113"/>
      <c r="F113"/>
      <c r="G113"/>
      <c r="H113"/>
      <c r="I113" s="226" t="s">
        <v>445</v>
      </c>
      <c r="J113" s="226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>
      <c r="H115"/>
      <c r="I115"/>
      <c r="J115"/>
      <c r="K115"/>
      <c r="L115"/>
      <c r="M115"/>
      <c r="N115"/>
      <c r="AA115" s="16"/>
      <c r="AB115" s="16"/>
      <c r="AC115" s="16"/>
    </row>
    <row r="116" spans="1:29">
      <c r="H116"/>
      <c r="I116"/>
      <c r="J116"/>
      <c r="K116"/>
      <c r="L116"/>
      <c r="M116"/>
      <c r="N116"/>
      <c r="AA116" s="16"/>
    </row>
    <row r="117" spans="1:29" ht="15.75" thickBot="1">
      <c r="H117"/>
      <c r="I117"/>
      <c r="J117"/>
      <c r="K117"/>
      <c r="L117"/>
      <c r="M117"/>
      <c r="N117"/>
      <c r="AA117" s="16"/>
    </row>
    <row r="118" spans="1:29" s="181" customFormat="1" ht="13.5" thickBot="1">
      <c r="B118" s="107" t="s">
        <v>480</v>
      </c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249"/>
      <c r="AB118" s="184"/>
      <c r="AC118" s="184"/>
    </row>
    <row r="119" spans="1:29" s="181" customFormat="1" ht="12.75">
      <c r="H119" s="96"/>
      <c r="I119" s="96"/>
      <c r="J119" s="96"/>
      <c r="K119" s="96"/>
      <c r="L119" s="96"/>
      <c r="M119" s="96"/>
      <c r="N119" s="96"/>
      <c r="AA119" s="250"/>
      <c r="AB119" s="184"/>
      <c r="AC119" s="184"/>
    </row>
    <row r="120" spans="1:29" s="181" customFormat="1" ht="13.5" thickBot="1">
      <c r="B120" s="181" t="s">
        <v>481</v>
      </c>
      <c r="O120" s="181" t="s">
        <v>482</v>
      </c>
      <c r="AA120" s="250"/>
      <c r="AB120" s="184"/>
      <c r="AC120" s="184"/>
    </row>
    <row r="121" spans="1:29" s="181" customFormat="1" ht="14.25" thickTop="1" thickBot="1">
      <c r="C121" s="1014" t="s">
        <v>15</v>
      </c>
      <c r="D121" s="1014"/>
      <c r="E121" s="1014"/>
      <c r="F121" s="1015" t="s">
        <v>14</v>
      </c>
      <c r="G121" s="1015"/>
      <c r="H121" s="1015"/>
      <c r="I121" s="969" t="s">
        <v>35</v>
      </c>
      <c r="J121" s="969"/>
      <c r="K121" s="969"/>
      <c r="L121" s="969"/>
      <c r="M121" s="969"/>
      <c r="N121" s="255"/>
      <c r="O121" s="963" t="s">
        <v>29</v>
      </c>
      <c r="P121" s="964"/>
      <c r="Q121" s="964"/>
      <c r="R121" s="965"/>
      <c r="S121" s="966" t="s">
        <v>30</v>
      </c>
      <c r="T121" s="967"/>
      <c r="U121" s="968"/>
      <c r="V121" s="969" t="s">
        <v>35</v>
      </c>
      <c r="W121" s="969"/>
      <c r="X121" s="969"/>
      <c r="Y121" s="969"/>
      <c r="Z121" s="969"/>
      <c r="AA121" s="250"/>
      <c r="AB121" s="184"/>
      <c r="AC121" s="184"/>
    </row>
    <row r="122" spans="1:29" s="181" customFormat="1" ht="14.25" thickTop="1" thickBot="1">
      <c r="C122" s="970" t="s">
        <v>79</v>
      </c>
      <c r="D122" s="971"/>
      <c r="E122" s="972"/>
      <c r="F122" s="973" cm="1">
        <f t="array" ref="F122">heureConvert2Decimal(C122)</f>
        <v>11.983333333333333</v>
      </c>
      <c r="G122" s="974"/>
      <c r="H122" s="975"/>
      <c r="I122" s="960" t="str" cm="1">
        <f t="array" ref="I122">heureDecimal2Txt(F122)</f>
        <v>11:59:00.00(11.9833)</v>
      </c>
      <c r="J122" s="961"/>
      <c r="K122" s="961"/>
      <c r="L122" s="961"/>
      <c r="M122" s="962"/>
      <c r="O122" s="954" t="s">
        <v>494</v>
      </c>
      <c r="P122" s="955"/>
      <c r="Q122" s="955"/>
      <c r="R122" s="956"/>
      <c r="S122" s="957" cm="1">
        <f t="array" ref="S122">angleConvert2Decimal(O122)</f>
        <v>1</v>
      </c>
      <c r="T122" s="958"/>
      <c r="U122" s="959"/>
      <c r="V122" s="960" t="str" cm="1">
        <f t="array" ref="V122">angleDecimal2Txt(S122)</f>
        <v>+01°00.00 (+01.0000) [+01°00'00.00]</v>
      </c>
      <c r="W122" s="961"/>
      <c r="X122" s="961"/>
      <c r="Y122" s="961"/>
      <c r="Z122" s="962"/>
      <c r="AA122" s="250"/>
      <c r="AB122" s="184"/>
      <c r="AC122" s="184"/>
    </row>
    <row r="123" spans="1:29" s="181" customFormat="1" ht="14.25" thickTop="1" thickBot="1">
      <c r="C123" s="970" t="s">
        <v>79</v>
      </c>
      <c r="D123" s="971"/>
      <c r="E123" s="972"/>
      <c r="F123" s="973" cm="1">
        <f t="array" ref="F123">heureConvert2Decimal(C123)</f>
        <v>11.983333333333333</v>
      </c>
      <c r="G123" s="974"/>
      <c r="H123" s="975"/>
      <c r="I123" s="960" t="str" cm="1">
        <f t="array" ref="I123">heureDecimal2Txt(F123)</f>
        <v>11:59:00.00(11.9833)</v>
      </c>
      <c r="J123" s="961"/>
      <c r="K123" s="961"/>
      <c r="L123" s="961"/>
      <c r="M123" s="962"/>
      <c r="O123" s="954" t="s">
        <v>458</v>
      </c>
      <c r="P123" s="955"/>
      <c r="Q123" s="955"/>
      <c r="R123" s="956"/>
      <c r="S123" s="957" cm="1">
        <f t="array" ref="S123">angleConvert2Decimal(O123)</f>
        <v>0.46666666666666667</v>
      </c>
      <c r="T123" s="958"/>
      <c r="U123" s="959"/>
      <c r="V123" s="960" t="str" cm="1">
        <f t="array" ref="V123">angleDecimal2Txt(S123)</f>
        <v>+00°28.00 (+00.4666) [+00°28'00.00]</v>
      </c>
      <c r="W123" s="961"/>
      <c r="X123" s="961"/>
      <c r="Y123" s="961"/>
      <c r="Z123" s="962"/>
      <c r="AA123" s="250"/>
      <c r="AB123" s="184"/>
      <c r="AC123" s="184"/>
    </row>
    <row r="124" spans="1:29" s="181" customFormat="1" ht="14.25" thickTop="1" thickBot="1">
      <c r="C124" s="970" t="s">
        <v>79</v>
      </c>
      <c r="D124" s="971"/>
      <c r="E124" s="972"/>
      <c r="F124" s="973" cm="1">
        <f t="array" ref="F124">heureConvert2Decimal(C124)</f>
        <v>11.983333333333333</v>
      </c>
      <c r="G124" s="974"/>
      <c r="H124" s="975"/>
      <c r="I124" s="960" t="str" cm="1">
        <f t="array" ref="I124">heureDecimal2Txt(F124)</f>
        <v>11:59:00.00(11.9833)</v>
      </c>
      <c r="J124" s="961"/>
      <c r="K124" s="961"/>
      <c r="L124" s="961"/>
      <c r="M124" s="962"/>
      <c r="O124" s="954" t="s">
        <v>458</v>
      </c>
      <c r="P124" s="955"/>
      <c r="Q124" s="955"/>
      <c r="R124" s="956"/>
      <c r="S124" s="957" cm="1">
        <f t="array" ref="S124">angleConvert2Decimal(O124)</f>
        <v>0.46666666666666667</v>
      </c>
      <c r="T124" s="958"/>
      <c r="U124" s="959"/>
      <c r="V124" s="960" t="str" cm="1">
        <f t="array" ref="V124">angleDecimal2Txt(S124)</f>
        <v>+00°28.00 (+00.4666) [+00°28'00.00]</v>
      </c>
      <c r="W124" s="961"/>
      <c r="X124" s="961"/>
      <c r="Y124" s="961"/>
      <c r="Z124" s="962"/>
      <c r="AA124" s="250"/>
      <c r="AB124" s="184"/>
      <c r="AC124" s="184"/>
    </row>
    <row r="125" spans="1:29" s="181" customFormat="1" ht="14.25" thickTop="1" thickBot="1">
      <c r="C125" s="970" t="s">
        <v>79</v>
      </c>
      <c r="D125" s="971"/>
      <c r="E125" s="972"/>
      <c r="F125" s="973" cm="1">
        <f t="array" ref="F125">heureConvert2Decimal(C125)</f>
        <v>11.983333333333333</v>
      </c>
      <c r="G125" s="974"/>
      <c r="H125" s="975"/>
      <c r="I125" s="960" t="str" cm="1">
        <f t="array" ref="I125">heureDecimal2Txt(F125)</f>
        <v>11:59:00.00(11.9833)</v>
      </c>
      <c r="J125" s="961"/>
      <c r="K125" s="961"/>
      <c r="L125" s="961"/>
      <c r="M125" s="962"/>
      <c r="O125" s="954" t="s">
        <v>458</v>
      </c>
      <c r="P125" s="955"/>
      <c r="Q125" s="955"/>
      <c r="R125" s="956"/>
      <c r="S125" s="957" cm="1">
        <f t="array" ref="S125">angleConvert2Decimal(O125)</f>
        <v>0.46666666666666667</v>
      </c>
      <c r="T125" s="958"/>
      <c r="U125" s="959"/>
      <c r="V125" s="960" t="str" cm="1">
        <f t="array" ref="V125">angleDecimal2Txt(S125)</f>
        <v>+00°28.00 (+00.4666) [+00°28'00.00]</v>
      </c>
      <c r="W125" s="961"/>
      <c r="X125" s="961"/>
      <c r="Y125" s="961"/>
      <c r="Z125" s="962"/>
      <c r="AA125" s="250"/>
      <c r="AB125" s="184"/>
      <c r="AC125" s="184"/>
    </row>
    <row r="126" spans="1:29" s="181" customFormat="1" ht="14.25" thickTop="1" thickBot="1">
      <c r="C126" s="970" t="s">
        <v>79</v>
      </c>
      <c r="D126" s="971"/>
      <c r="E126" s="972"/>
      <c r="F126" s="973" cm="1">
        <f t="array" ref="F126">heureConvert2Decimal(C126)</f>
        <v>11.983333333333333</v>
      </c>
      <c r="G126" s="974"/>
      <c r="H126" s="975"/>
      <c r="I126" s="960" t="str" cm="1">
        <f t="array" ref="I126">heureDecimal2Txt(F126)</f>
        <v>11:59:00.00(11.9833)</v>
      </c>
      <c r="J126" s="961"/>
      <c r="K126" s="961"/>
      <c r="L126" s="961"/>
      <c r="M126" s="962"/>
      <c r="O126" s="954" t="s">
        <v>458</v>
      </c>
      <c r="P126" s="955"/>
      <c r="Q126" s="955"/>
      <c r="R126" s="956"/>
      <c r="S126" s="957" cm="1">
        <f t="array" ref="S126">angleConvert2Decimal(O126)</f>
        <v>0.46666666666666667</v>
      </c>
      <c r="T126" s="958"/>
      <c r="U126" s="959"/>
      <c r="V126" s="960" t="str" cm="1">
        <f t="array" ref="V126">angleDecimal2Txt(S126)</f>
        <v>+00°28.00 (+00.4666) [+00°28'00.00]</v>
      </c>
      <c r="W126" s="961"/>
      <c r="X126" s="961"/>
      <c r="Y126" s="961"/>
      <c r="Z126" s="962"/>
      <c r="AA126" s="250"/>
      <c r="AB126" s="184"/>
      <c r="AC126" s="184"/>
    </row>
    <row r="127" spans="1:29" s="181" customFormat="1" ht="14.25" thickTop="1" thickBot="1">
      <c r="C127" s="970" t="s">
        <v>79</v>
      </c>
      <c r="D127" s="971"/>
      <c r="E127" s="972"/>
      <c r="F127" s="973" cm="1">
        <f t="array" ref="F127">heureConvert2Decimal(C127)</f>
        <v>11.983333333333333</v>
      </c>
      <c r="G127" s="974"/>
      <c r="H127" s="975"/>
      <c r="I127" s="960" t="str" cm="1">
        <f t="array" ref="I127">heureDecimal2Txt(F127)</f>
        <v>11:59:00.00(11.9833)</v>
      </c>
      <c r="J127" s="961"/>
      <c r="K127" s="961"/>
      <c r="L127" s="961"/>
      <c r="M127" s="962"/>
      <c r="O127" s="954" t="s">
        <v>458</v>
      </c>
      <c r="P127" s="955"/>
      <c r="Q127" s="955"/>
      <c r="R127" s="956"/>
      <c r="S127" s="957" cm="1">
        <f t="array" ref="S127">angleConvert2Decimal(O127)</f>
        <v>0.46666666666666667</v>
      </c>
      <c r="T127" s="958"/>
      <c r="U127" s="959"/>
      <c r="V127" s="960" t="str" cm="1">
        <f t="array" ref="V127">angleDecimal2Txt(S127)</f>
        <v>+00°28.00 (+00.4666) [+00°28'00.00]</v>
      </c>
      <c r="W127" s="961"/>
      <c r="X127" s="961"/>
      <c r="Y127" s="961"/>
      <c r="Z127" s="962"/>
      <c r="AA127" s="250"/>
      <c r="AB127" s="184"/>
      <c r="AC127" s="184"/>
    </row>
    <row r="128" spans="1:29" s="181" customFormat="1" ht="14.25" thickTop="1" thickBot="1">
      <c r="C128" s="970" t="s">
        <v>79</v>
      </c>
      <c r="D128" s="971"/>
      <c r="E128" s="972"/>
      <c r="F128" s="973" cm="1">
        <f t="array" ref="F128">heureConvert2Decimal(C128)</f>
        <v>11.983333333333333</v>
      </c>
      <c r="G128" s="974"/>
      <c r="H128" s="975"/>
      <c r="I128" s="960" t="str" cm="1">
        <f t="array" ref="I128">heureDecimal2Txt(F128)</f>
        <v>11:59:00.00(11.9833)</v>
      </c>
      <c r="J128" s="961"/>
      <c r="K128" s="961"/>
      <c r="L128" s="961"/>
      <c r="M128" s="962"/>
      <c r="O128" s="954" t="s">
        <v>458</v>
      </c>
      <c r="P128" s="955"/>
      <c r="Q128" s="955"/>
      <c r="R128" s="956"/>
      <c r="S128" s="957" cm="1">
        <f t="array" ref="S128">angleConvert2Decimal(O128)</f>
        <v>0.46666666666666667</v>
      </c>
      <c r="T128" s="958"/>
      <c r="U128" s="959"/>
      <c r="V128" s="960" t="str" cm="1">
        <f t="array" ref="V128">angleDecimal2Txt(S128)</f>
        <v>+00°28.00 (+00.4666) [+00°28'00.00]</v>
      </c>
      <c r="W128" s="961"/>
      <c r="X128" s="961"/>
      <c r="Y128" s="961"/>
      <c r="Z128" s="962"/>
      <c r="AA128" s="250"/>
      <c r="AB128" s="184"/>
      <c r="AC128" s="184"/>
    </row>
    <row r="129" spans="2:29" s="181" customFormat="1" ht="14.25" thickTop="1" thickBot="1">
      <c r="O129" s="954" t="s">
        <v>458</v>
      </c>
      <c r="P129" s="955"/>
      <c r="Q129" s="955"/>
      <c r="R129" s="956"/>
      <c r="S129" s="957" cm="1">
        <f t="array" ref="S129">angleConvert2Decimal(O129)</f>
        <v>0.46666666666666667</v>
      </c>
      <c r="T129" s="958"/>
      <c r="U129" s="959"/>
      <c r="V129" s="960" t="str" cm="1">
        <f t="array" ref="V129">angleDecimal2Txt(S129)</f>
        <v>+00°28.00 (+00.4666) [+00°28'00.00]</v>
      </c>
      <c r="W129" s="961"/>
      <c r="X129" s="961"/>
      <c r="Y129" s="961"/>
      <c r="Z129" s="962"/>
      <c r="AA129" s="250"/>
      <c r="AB129" s="184"/>
      <c r="AC129" s="184"/>
    </row>
    <row r="130" spans="2:29" s="181" customFormat="1" ht="14.25" thickTop="1" thickBot="1">
      <c r="O130" s="954" t="s">
        <v>458</v>
      </c>
      <c r="P130" s="955"/>
      <c r="Q130" s="955"/>
      <c r="R130" s="956"/>
      <c r="S130" s="957" cm="1">
        <f t="array" ref="S130">angleConvert2Decimal(O130)</f>
        <v>0.46666666666666667</v>
      </c>
      <c r="T130" s="958"/>
      <c r="U130" s="959"/>
      <c r="V130" s="960" t="str" cm="1">
        <f t="array" ref="V130">angleDecimal2Txt(S130)</f>
        <v>+00°28.00 (+00.4666) [+00°28'00.00]</v>
      </c>
      <c r="W130" s="961"/>
      <c r="X130" s="961"/>
      <c r="Y130" s="961"/>
      <c r="Z130" s="962"/>
      <c r="AA130" s="250"/>
      <c r="AB130" s="184"/>
      <c r="AC130" s="184"/>
    </row>
    <row r="131" spans="2:29" s="181" customFormat="1" ht="14.25" thickTop="1" thickBot="1">
      <c r="O131" s="954" t="s">
        <v>458</v>
      </c>
      <c r="P131" s="955"/>
      <c r="Q131" s="955"/>
      <c r="R131" s="956"/>
      <c r="S131" s="957" cm="1">
        <f t="array" ref="S131">angleConvert2Decimal(O131)</f>
        <v>0.46666666666666667</v>
      </c>
      <c r="T131" s="958"/>
      <c r="U131" s="959"/>
      <c r="V131" s="960" t="str" cm="1">
        <f t="array" ref="V131">angleDecimal2Txt(S131)</f>
        <v>+00°28.00 (+00.4666) [+00°28'00.00]</v>
      </c>
      <c r="W131" s="961"/>
      <c r="X131" s="961"/>
      <c r="Y131" s="961"/>
      <c r="Z131" s="962"/>
      <c r="AA131" s="250"/>
      <c r="AB131" s="184"/>
      <c r="AC131" s="184"/>
    </row>
    <row r="132" spans="2:29" s="181" customFormat="1" ht="14.25" thickTop="1" thickBot="1">
      <c r="O132" s="954" t="s">
        <v>458</v>
      </c>
      <c r="P132" s="955"/>
      <c r="Q132" s="955"/>
      <c r="R132" s="956"/>
      <c r="S132" s="957" cm="1">
        <f t="array" ref="S132">angleConvert2Decimal(O132)</f>
        <v>0.46666666666666667</v>
      </c>
      <c r="T132" s="958"/>
      <c r="U132" s="959"/>
      <c r="V132" s="960" t="str" cm="1">
        <f t="array" ref="V132">angleDecimal2Txt(S132)</f>
        <v>+00°28.00 (+00.4666) [+00°28'00.00]</v>
      </c>
      <c r="W132" s="961"/>
      <c r="X132" s="961"/>
      <c r="Y132" s="961"/>
      <c r="Z132" s="962"/>
      <c r="AA132" s="250"/>
      <c r="AB132" s="184"/>
      <c r="AC132" s="184"/>
    </row>
    <row r="133" spans="2:29" ht="16.5" thickTop="1" thickBot="1">
      <c r="O133" s="954" t="s">
        <v>458</v>
      </c>
      <c r="P133" s="955"/>
      <c r="Q133" s="955"/>
      <c r="R133" s="956"/>
      <c r="S133" s="957" cm="1">
        <f t="array" ref="S133">angleConvert2Decimal(O133)</f>
        <v>0.46666666666666667</v>
      </c>
      <c r="T133" s="958"/>
      <c r="U133" s="959"/>
      <c r="V133" s="960" t="str" cm="1">
        <f t="array" ref="V133">angleDecimal2Txt(S133)</f>
        <v>+00°28.00 (+00.4666) [+00°28'00.00]</v>
      </c>
      <c r="W133" s="961"/>
      <c r="X133" s="961"/>
      <c r="Y133" s="961"/>
      <c r="Z133" s="962"/>
    </row>
    <row r="134" spans="2:29" ht="16.5" thickTop="1" thickBot="1">
      <c r="O134" s="954" t="s">
        <v>458</v>
      </c>
      <c r="P134" s="955"/>
      <c r="Q134" s="955"/>
      <c r="R134" s="956"/>
      <c r="S134" s="957" cm="1">
        <f t="array" ref="S134">angleConvert2Decimal(O134)</f>
        <v>0.46666666666666667</v>
      </c>
      <c r="T134" s="958"/>
      <c r="U134" s="959"/>
      <c r="V134" s="960" t="str" cm="1">
        <f t="array" ref="V134">angleDecimal2Txt(S134)</f>
        <v>+00°28.00 (+00.4666) [+00°28'00.00]</v>
      </c>
      <c r="W134" s="961"/>
      <c r="X134" s="961"/>
      <c r="Y134" s="961"/>
      <c r="Z134" s="962"/>
    </row>
    <row r="135" spans="2:29" ht="16.5" thickTop="1" thickBot="1">
      <c r="B135" s="107" t="s">
        <v>493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7"/>
    </row>
    <row r="136" spans="2:29">
      <c r="C136" s="951" t="s">
        <v>489</v>
      </c>
      <c r="D136" s="251" t="s">
        <v>483</v>
      </c>
      <c r="E136" s="39">
        <v>5</v>
      </c>
      <c r="F136" s="33"/>
      <c r="G136" s="952" t="s">
        <v>491</v>
      </c>
      <c r="H136" s="952"/>
      <c r="I136" s="952"/>
      <c r="J136" s="952"/>
      <c r="L136" s="16" t="s">
        <v>487</v>
      </c>
      <c r="M136" s="16">
        <f>(E137-E139)/(E136-E138)</f>
        <v>4.9616666666666669</v>
      </c>
    </row>
    <row r="137" spans="2:29">
      <c r="C137" s="951"/>
      <c r="D137" s="251" t="s">
        <v>484</v>
      </c>
      <c r="E137" s="39">
        <v>23.23</v>
      </c>
      <c r="F137" s="254" t="s">
        <v>492</v>
      </c>
      <c r="G137" s="251" t="s">
        <v>169</v>
      </c>
      <c r="H137" s="39">
        <v>10.5</v>
      </c>
      <c r="I137" s="229" t="s">
        <v>479</v>
      </c>
      <c r="J137" s="252">
        <f>M136*H137+M137</f>
        <v>50.519166666666671</v>
      </c>
      <c r="L137" s="16" t="s">
        <v>488</v>
      </c>
      <c r="M137" s="16">
        <f>E137-M136*(E136)</f>
        <v>-1.5783333333333331</v>
      </c>
    </row>
    <row r="138" spans="2:29">
      <c r="C138" s="953" t="s">
        <v>490</v>
      </c>
      <c r="D138" s="253" t="s">
        <v>485</v>
      </c>
      <c r="E138" s="39">
        <v>11</v>
      </c>
      <c r="F138" s="33"/>
      <c r="G138" s="33"/>
      <c r="H138" s="33"/>
      <c r="I138" s="33"/>
      <c r="J138" s="33"/>
    </row>
    <row r="139" spans="2:29">
      <c r="C139" s="953"/>
      <c r="D139" s="253" t="s">
        <v>486</v>
      </c>
      <c r="E139" s="39">
        <v>53</v>
      </c>
      <c r="F139" s="33"/>
      <c r="G139" s="33"/>
      <c r="H139" s="33"/>
      <c r="I139" s="33"/>
      <c r="J139" s="33"/>
    </row>
    <row r="141" spans="2:29">
      <c r="C141" s="951" t="s">
        <v>489</v>
      </c>
      <c r="D141" s="251" t="s">
        <v>483</v>
      </c>
      <c r="E141" s="39">
        <v>0</v>
      </c>
      <c r="F141" s="33"/>
      <c r="G141" s="952" t="s">
        <v>491</v>
      </c>
      <c r="H141" s="952"/>
      <c r="I141" s="952"/>
      <c r="J141" s="952"/>
      <c r="L141" s="16" t="s">
        <v>487</v>
      </c>
      <c r="M141" s="16">
        <f>(E142-E144)/(E141-E143)</f>
        <v>1</v>
      </c>
    </row>
    <row r="142" spans="2:29">
      <c r="C142" s="951"/>
      <c r="D142" s="251" t="s">
        <v>484</v>
      </c>
      <c r="E142" s="39">
        <v>0</v>
      </c>
      <c r="F142" s="254" t="s">
        <v>492</v>
      </c>
      <c r="G142" s="251" t="s">
        <v>169</v>
      </c>
      <c r="H142" s="39">
        <v>10.5</v>
      </c>
      <c r="I142" s="229" t="s">
        <v>479</v>
      </c>
      <c r="J142" s="252">
        <f>M141*H142+M142</f>
        <v>10.5</v>
      </c>
      <c r="L142" s="16" t="s">
        <v>488</v>
      </c>
      <c r="M142" s="16">
        <f>E142-M141*(E141)</f>
        <v>0</v>
      </c>
    </row>
    <row r="143" spans="2:29">
      <c r="C143" s="953" t="s">
        <v>490</v>
      </c>
      <c r="D143" s="253" t="s">
        <v>485</v>
      </c>
      <c r="E143" s="39">
        <v>11</v>
      </c>
      <c r="F143" s="33"/>
      <c r="G143" s="33"/>
      <c r="H143" s="33"/>
      <c r="I143" s="33"/>
      <c r="J143" s="33"/>
    </row>
    <row r="144" spans="2:29">
      <c r="C144" s="953"/>
      <c r="D144" s="253" t="s">
        <v>486</v>
      </c>
      <c r="E144" s="39">
        <v>11</v>
      </c>
      <c r="F144" s="33"/>
      <c r="G144" s="33"/>
      <c r="H144" s="33"/>
      <c r="I144" s="33"/>
      <c r="J144" s="33"/>
    </row>
    <row r="146" spans="3:13">
      <c r="C146" s="951" t="s">
        <v>489</v>
      </c>
      <c r="D146" s="251" t="s">
        <v>483</v>
      </c>
      <c r="E146" s="39">
        <v>0</v>
      </c>
      <c r="F146" s="33"/>
      <c r="G146" s="952" t="s">
        <v>491</v>
      </c>
      <c r="H146" s="952"/>
      <c r="I146" s="952"/>
      <c r="J146" s="952"/>
      <c r="L146" s="16" t="s">
        <v>487</v>
      </c>
      <c r="M146" s="16">
        <f>(E147-E149)/(E146-E148)</f>
        <v>-1</v>
      </c>
    </row>
    <row r="147" spans="3:13">
      <c r="C147" s="951"/>
      <c r="D147" s="251" t="s">
        <v>484</v>
      </c>
      <c r="E147" s="39">
        <v>11</v>
      </c>
      <c r="F147" s="254" t="s">
        <v>492</v>
      </c>
      <c r="G147" s="251" t="s">
        <v>169</v>
      </c>
      <c r="H147" s="39">
        <v>10.5</v>
      </c>
      <c r="I147" s="229" t="s">
        <v>479</v>
      </c>
      <c r="J147" s="252">
        <f>M146*H147+M147</f>
        <v>0.5</v>
      </c>
      <c r="L147" s="16" t="s">
        <v>488</v>
      </c>
      <c r="M147" s="16">
        <f>E147-M146*(E146)</f>
        <v>11</v>
      </c>
    </row>
    <row r="148" spans="3:13">
      <c r="C148" s="953" t="s">
        <v>490</v>
      </c>
      <c r="D148" s="253" t="s">
        <v>485</v>
      </c>
      <c r="E148" s="39">
        <v>11</v>
      </c>
      <c r="F148" s="33"/>
      <c r="G148" s="33"/>
      <c r="H148" s="33"/>
      <c r="I148" s="33"/>
      <c r="J148" s="33"/>
    </row>
    <row r="149" spans="3:13">
      <c r="C149" s="953"/>
      <c r="D149" s="253" t="s">
        <v>486</v>
      </c>
      <c r="E149" s="39">
        <v>0</v>
      </c>
      <c r="F149" s="33"/>
      <c r="G149" s="33"/>
      <c r="H149" s="33"/>
      <c r="I149" s="33"/>
      <c r="J149" s="33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defaultColWidth="9.7109375" defaultRowHeight="15" outlineLevelCol="1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>
      <c r="C1" s="1074" t="s">
        <v>236</v>
      </c>
      <c r="D1" s="1074"/>
      <c r="E1" s="1074"/>
      <c r="F1" s="1074"/>
      <c r="G1" s="1075" t="s">
        <v>237</v>
      </c>
      <c r="H1" s="1075"/>
      <c r="I1" s="1075"/>
      <c r="J1" s="1075"/>
      <c r="K1" s="1075"/>
      <c r="L1" s="1075"/>
      <c r="M1" s="1075"/>
      <c r="N1" s="1075"/>
      <c r="O1" s="1075"/>
      <c r="P1" s="1075"/>
      <c r="Q1" s="1075"/>
      <c r="R1" s="1075"/>
      <c r="S1" s="1075"/>
      <c r="T1" s="1075"/>
      <c r="U1" s="1075"/>
      <c r="V1" s="1075"/>
      <c r="W1" s="1075"/>
      <c r="X1" s="1075"/>
      <c r="Y1" s="1075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>
      <c r="C2" s="1074"/>
      <c r="D2" s="1074"/>
      <c r="E2" s="1074"/>
      <c r="F2" s="1074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>
      <c r="C3" s="1074"/>
      <c r="D3" s="1074"/>
      <c r="E3" s="1074"/>
      <c r="F3" s="1074"/>
      <c r="G3" s="1113" t="s">
        <v>241</v>
      </c>
      <c r="H3" s="1113"/>
      <c r="I3" s="1113"/>
      <c r="J3" s="1115" t="s">
        <v>240</v>
      </c>
      <c r="K3" s="1115"/>
      <c r="L3" s="1115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>
      <c r="C4" s="1074"/>
      <c r="D4" s="1074"/>
      <c r="E4" s="1074"/>
      <c r="F4" s="1074"/>
      <c r="G4" s="1114"/>
      <c r="H4" s="1114"/>
      <c r="I4" s="1114"/>
      <c r="J4" s="1116"/>
      <c r="K4" s="1116"/>
      <c r="L4" s="1116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>
      <c r="AC7" s="16" t="s">
        <v>264</v>
      </c>
      <c r="AD7" s="50">
        <f ca="1">TODAY()</f>
        <v>45503</v>
      </c>
      <c r="AI7" s="34">
        <f ca="1">AD7</f>
        <v>45503</v>
      </c>
      <c r="AQ7" s="16" t="s">
        <v>271</v>
      </c>
      <c r="AR7" s="16" t="s">
        <v>101</v>
      </c>
      <c r="AS7" s="16" t="s">
        <v>272</v>
      </c>
      <c r="AT7" s="16" t="s">
        <v>65</v>
      </c>
      <c r="AU7" s="16" t="s">
        <v>272</v>
      </c>
    </row>
    <row r="8" spans="1:66" ht="18.75">
      <c r="C8" s="38" t="s">
        <v>201</v>
      </c>
      <c r="D8" s="46" t="s">
        <v>169</v>
      </c>
      <c r="E8"/>
      <c r="F8" s="1111" t="s">
        <v>127</v>
      </c>
      <c r="G8" s="1111"/>
      <c r="H8" s="1111"/>
      <c r="I8" s="1111"/>
      <c r="J8" s="1111"/>
      <c r="K8" s="1111"/>
      <c r="L8" s="1111"/>
      <c r="M8" s="1111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>
      <c r="C9" s="38" t="s">
        <v>203</v>
      </c>
      <c r="D9" s="46" t="s">
        <v>169</v>
      </c>
      <c r="E9"/>
      <c r="F9" s="1112" t="s">
        <v>204</v>
      </c>
      <c r="G9" s="1112"/>
      <c r="H9" s="1112"/>
      <c r="I9" s="1112"/>
      <c r="J9" s="1112" t="s">
        <v>207</v>
      </c>
      <c r="K9" s="1112"/>
      <c r="L9" s="1112"/>
      <c r="M9" s="1112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>
      <c r="F10" s="1112" t="s">
        <v>205</v>
      </c>
      <c r="G10" s="1112"/>
      <c r="H10" s="1112" t="s">
        <v>206</v>
      </c>
      <c r="I10" s="1112"/>
      <c r="J10" s="1112" t="s">
        <v>205</v>
      </c>
      <c r="K10" s="1112"/>
      <c r="L10" s="1112" t="s">
        <v>206</v>
      </c>
      <c r="M10" s="1112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>
      <c r="C11"/>
      <c r="D11" s="47" t="s">
        <v>201</v>
      </c>
      <c r="E11" s="47" t="s">
        <v>203</v>
      </c>
      <c r="F11" s="35" t="s">
        <v>208</v>
      </c>
      <c r="G11" s="35" t="s">
        <v>209</v>
      </c>
      <c r="H11" s="35" t="s">
        <v>208</v>
      </c>
      <c r="I11" s="35" t="s">
        <v>209</v>
      </c>
      <c r="J11" s="35" t="s">
        <v>208</v>
      </c>
      <c r="K11" s="35" t="s">
        <v>209</v>
      </c>
      <c r="L11" s="35" t="s">
        <v>208</v>
      </c>
      <c r="M11" s="35" t="s">
        <v>209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>
      <c r="A12" s="65" t="s">
        <v>254</v>
      </c>
      <c r="B12" s="65" t="s">
        <v>308</v>
      </c>
      <c r="C12" s="65" t="s">
        <v>203</v>
      </c>
      <c r="D12" s="1108" t="s">
        <v>202</v>
      </c>
      <c r="E12" s="48" t="s">
        <v>220</v>
      </c>
      <c r="F12" s="42">
        <v>0.23</v>
      </c>
      <c r="G12" s="43" t="s">
        <v>211</v>
      </c>
      <c r="H12" s="42">
        <v>-2.1</v>
      </c>
      <c r="I12" s="44" t="s">
        <v>210</v>
      </c>
      <c r="J12" s="42">
        <v>0.13</v>
      </c>
      <c r="K12" s="43" t="s">
        <v>211</v>
      </c>
      <c r="L12" s="42">
        <v>-0.78</v>
      </c>
      <c r="M12" s="44" t="s">
        <v>217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>
      <c r="A13" s="49" t="s">
        <v>205</v>
      </c>
      <c r="B13" s="3" t="s">
        <v>169</v>
      </c>
      <c r="C13" s="62" t="s">
        <v>169</v>
      </c>
      <c r="D13" s="1109"/>
      <c r="E13" s="48" t="s">
        <v>251</v>
      </c>
      <c r="F13" s="42">
        <v>0.23</v>
      </c>
      <c r="G13" s="43" t="s">
        <v>211</v>
      </c>
      <c r="H13" s="42">
        <v>-2.1</v>
      </c>
      <c r="I13" s="44" t="s">
        <v>273</v>
      </c>
      <c r="J13" s="42">
        <v>0.13</v>
      </c>
      <c r="K13" s="43" t="s">
        <v>211</v>
      </c>
      <c r="L13" s="42">
        <v>-0.78</v>
      </c>
      <c r="M13" s="44" t="s">
        <v>217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>
      <c r="A14" s="49" t="s">
        <v>206</v>
      </c>
      <c r="B14" s="62" t="s">
        <v>202</v>
      </c>
      <c r="C14" s="62" t="s">
        <v>220</v>
      </c>
      <c r="D14" s="1110"/>
      <c r="E14" s="48" t="s">
        <v>252</v>
      </c>
      <c r="F14" s="42">
        <v>0.23</v>
      </c>
      <c r="G14" s="43" t="s">
        <v>211</v>
      </c>
      <c r="H14" s="42">
        <v>-2.1</v>
      </c>
      <c r="I14" s="44" t="s">
        <v>210</v>
      </c>
      <c r="J14" s="42">
        <v>0.13</v>
      </c>
      <c r="K14" s="43" t="s">
        <v>211</v>
      </c>
      <c r="L14" s="42">
        <v>-0.78</v>
      </c>
      <c r="M14" s="44" t="s">
        <v>217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>
      <c r="B15" s="66" t="s">
        <v>253</v>
      </c>
      <c r="C15" s="62" t="s">
        <v>251</v>
      </c>
      <c r="D15" s="1108" t="s">
        <v>253</v>
      </c>
      <c r="E15" s="48" t="s">
        <v>220</v>
      </c>
      <c r="F15" s="42">
        <v>0.23</v>
      </c>
      <c r="G15" s="43" t="s">
        <v>211</v>
      </c>
      <c r="H15" s="42">
        <v>-2.1</v>
      </c>
      <c r="I15" s="44" t="s">
        <v>210</v>
      </c>
      <c r="J15" s="42">
        <v>0.13</v>
      </c>
      <c r="K15" s="43" t="s">
        <v>211</v>
      </c>
      <c r="L15" s="42">
        <v>-0.78</v>
      </c>
      <c r="M15" s="44" t="s">
        <v>217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>
      <c r="C16" s="62" t="s">
        <v>252</v>
      </c>
      <c r="D16" s="1109"/>
      <c r="E16" s="48" t="s">
        <v>251</v>
      </c>
      <c r="F16" s="42">
        <v>0.23</v>
      </c>
      <c r="G16" s="43" t="s">
        <v>211</v>
      </c>
      <c r="H16" s="42">
        <v>-2.1</v>
      </c>
      <c r="I16" s="44" t="s">
        <v>210</v>
      </c>
      <c r="J16" s="42">
        <v>0.13</v>
      </c>
      <c r="K16" s="43" t="s">
        <v>211</v>
      </c>
      <c r="L16" s="42">
        <v>-0.78</v>
      </c>
      <c r="M16" s="44" t="s">
        <v>217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>
      <c r="C17" s="62"/>
      <c r="D17" s="1110"/>
      <c r="E17" s="48" t="s">
        <v>252</v>
      </c>
      <c r="F17" s="42">
        <v>0.23</v>
      </c>
      <c r="G17" s="43" t="s">
        <v>211</v>
      </c>
      <c r="H17" s="42">
        <v>-2.1</v>
      </c>
      <c r="I17" s="44" t="s">
        <v>210</v>
      </c>
      <c r="J17" s="42">
        <v>0.13</v>
      </c>
      <c r="K17" s="43" t="s">
        <v>211</v>
      </c>
      <c r="L17" s="42">
        <v>-0.78</v>
      </c>
      <c r="M17" s="44" t="s">
        <v>217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>
      <c r="D18" s="48" t="s">
        <v>169</v>
      </c>
      <c r="E18" s="48" t="s">
        <v>169</v>
      </c>
      <c r="F18" s="42">
        <v>0</v>
      </c>
      <c r="G18" s="43" t="s">
        <v>309</v>
      </c>
      <c r="H18" s="42">
        <v>0</v>
      </c>
      <c r="I18" s="43" t="s">
        <v>309</v>
      </c>
      <c r="J18" s="42">
        <v>0</v>
      </c>
      <c r="K18" s="43" t="s">
        <v>309</v>
      </c>
      <c r="L18" s="42">
        <v>0</v>
      </c>
      <c r="M18" s="43" t="s">
        <v>309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>
      <c r="P19" s="16"/>
      <c r="Q19" s="16"/>
      <c r="S19"/>
      <c r="T19"/>
      <c r="U19"/>
    </row>
    <row r="20" spans="2:53" ht="20.25" thickTop="1" thickBot="1">
      <c r="C20" s="1124" t="s">
        <v>219</v>
      </c>
      <c r="D20" s="1124"/>
      <c r="E20" s="1124"/>
      <c r="F20" s="1124"/>
      <c r="G20" s="1124"/>
      <c r="H20" s="1125" t="s">
        <v>312</v>
      </c>
      <c r="I20" s="1126"/>
      <c r="J20" s="1126"/>
      <c r="K20" s="1126"/>
      <c r="L20"/>
      <c r="M20"/>
      <c r="P20" s="16"/>
      <c r="Q20" s="16"/>
    </row>
    <row r="21" spans="2:53" ht="17.25" thickTop="1" thickBot="1">
      <c r="C21" s="40" t="s">
        <v>254</v>
      </c>
      <c r="D21" s="40" t="s">
        <v>1</v>
      </c>
      <c r="E21" s="40" t="s">
        <v>11</v>
      </c>
      <c r="F21" s="40" t="s">
        <v>196</v>
      </c>
      <c r="G21" s="40" t="s">
        <v>299</v>
      </c>
      <c r="H21" s="73" t="s">
        <v>257</v>
      </c>
      <c r="I21" s="68" t="s">
        <v>268</v>
      </c>
      <c r="J21" s="68" t="s">
        <v>11</v>
      </c>
      <c r="K21" s="68" t="s">
        <v>197</v>
      </c>
      <c r="P21" s="16"/>
      <c r="Q21" s="16"/>
      <c r="AB21" s="16" t="s">
        <v>258</v>
      </c>
      <c r="AC21" s="16" t="s">
        <v>1</v>
      </c>
      <c r="AD21" s="16" t="s">
        <v>11</v>
      </c>
      <c r="AE21" s="16" t="s">
        <v>259</v>
      </c>
      <c r="AF21" s="16" t="s">
        <v>260</v>
      </c>
      <c r="AG21" s="16" t="s">
        <v>261</v>
      </c>
      <c r="AH21" s="16" t="s">
        <v>262</v>
      </c>
      <c r="AI21" s="16" t="s">
        <v>263</v>
      </c>
      <c r="AJ21" s="16" t="s">
        <v>265</v>
      </c>
      <c r="AK21" s="16" t="s">
        <v>266</v>
      </c>
      <c r="AL21" s="16" t="s">
        <v>280</v>
      </c>
      <c r="AM21" s="16" t="s">
        <v>267</v>
      </c>
      <c r="AN21" s="16" t="s">
        <v>196</v>
      </c>
      <c r="AO21" s="16" t="s">
        <v>213</v>
      </c>
      <c r="AQ21" s="16" t="s">
        <v>274</v>
      </c>
      <c r="AR21" s="16" t="s">
        <v>275</v>
      </c>
      <c r="AS21" s="16" t="s">
        <v>276</v>
      </c>
      <c r="AT21" s="16" t="s">
        <v>277</v>
      </c>
      <c r="AU21" s="16" t="s">
        <v>11</v>
      </c>
      <c r="AW21" s="16" t="s">
        <v>274</v>
      </c>
      <c r="AX21" s="16" t="s">
        <v>275</v>
      </c>
      <c r="AY21" s="16" t="s">
        <v>276</v>
      </c>
      <c r="AZ21" s="16" t="s">
        <v>277</v>
      </c>
      <c r="BA21" s="16" t="s">
        <v>197</v>
      </c>
    </row>
    <row r="22" spans="2:53" ht="17.25" thickTop="1" thickBot="1">
      <c r="B22" s="72" t="s">
        <v>255</v>
      </c>
      <c r="C22" s="39" t="s">
        <v>205</v>
      </c>
      <c r="D22" s="74" t="s">
        <v>269</v>
      </c>
      <c r="E22" s="75" t="s">
        <v>198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>
      <c r="C23" s="78" t="str">
        <f>IF(C22=$A$13,$A$14,$A$13)</f>
        <v>BM</v>
      </c>
      <c r="D23" s="74" t="s">
        <v>269</v>
      </c>
      <c r="E23" s="75" t="s">
        <v>199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0.67500000000000004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>
      <c r="C24" s="78" t="str">
        <f t="shared" ref="C24:C31" si="29">IF(C23=$A$13,$A$14,$A$13)</f>
        <v>PM</v>
      </c>
      <c r="D24" s="74" t="s">
        <v>270</v>
      </c>
      <c r="E24" s="77" t="s">
        <v>281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>
      <c r="C25" s="78" t="str">
        <f t="shared" si="29"/>
        <v>BM</v>
      </c>
      <c r="D25" s="74" t="s">
        <v>270</v>
      </c>
      <c r="E25" s="77" t="s">
        <v>282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>
      <c r="C26" s="78" t="str">
        <f t="shared" si="29"/>
        <v>PM</v>
      </c>
      <c r="D26" s="74" t="str">
        <f>D25</f>
        <v>2024/12/21</v>
      </c>
      <c r="E26" s="77" t="s">
        <v>313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>
      <c r="B31" s="72" t="s">
        <v>256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>
      <c r="P32" s="16"/>
      <c r="Q32" s="16"/>
      <c r="X32"/>
      <c r="Y32" s="1117"/>
      <c r="Z32" s="1117"/>
      <c r="AA32" s="1117"/>
    </row>
    <row r="33" spans="3:83">
      <c r="P33" s="16"/>
      <c r="Q33" s="16"/>
      <c r="X33"/>
      <c r="Y33" s="1117"/>
      <c r="Z33" s="1117"/>
      <c r="AA33" s="1117"/>
    </row>
    <row r="34" spans="3:83">
      <c r="X34"/>
      <c r="Y34" s="1117"/>
      <c r="Z34" s="1117"/>
      <c r="AA34" s="1117"/>
      <c r="AC34" s="51">
        <f ca="1">IF(AM22,J22,AD7)</f>
        <v>45646.416666666664</v>
      </c>
      <c r="AD34" s="16" t="s">
        <v>279</v>
      </c>
      <c r="AE34" s="16" t="s">
        <v>279</v>
      </c>
      <c r="AF34" s="16" t="s">
        <v>279</v>
      </c>
      <c r="AG34" s="16" t="s">
        <v>279</v>
      </c>
      <c r="AH34" s="16" t="s">
        <v>279</v>
      </c>
      <c r="AI34" s="51">
        <f ca="1">IF($AM$23,$J$23,AC34+6/24)</f>
        <v>45646.675000000003</v>
      </c>
      <c r="AJ34" s="16" t="s">
        <v>279</v>
      </c>
      <c r="AK34" s="16" t="s">
        <v>279</v>
      </c>
      <c r="AL34" s="16" t="s">
        <v>279</v>
      </c>
      <c r="AM34" s="16" t="s">
        <v>279</v>
      </c>
      <c r="AN34" s="16" t="s">
        <v>279</v>
      </c>
      <c r="AO34" s="51">
        <f ca="1">IF($AM$24,$J$24,AI34+6/24)</f>
        <v>45647.008333333331</v>
      </c>
      <c r="AP34" s="16" t="s">
        <v>279</v>
      </c>
      <c r="AQ34" s="16" t="s">
        <v>279</v>
      </c>
      <c r="AR34" s="16" t="s">
        <v>279</v>
      </c>
      <c r="AS34" s="16" t="s">
        <v>279</v>
      </c>
      <c r="AT34" s="16" t="s">
        <v>279</v>
      </c>
      <c r="AU34" s="51">
        <f ca="1">IF($AM$25,$J$25,AO34+6/24)</f>
        <v>45647.258333333331</v>
      </c>
      <c r="AV34" s="16" t="s">
        <v>279</v>
      </c>
      <c r="AW34" s="16" t="s">
        <v>279</v>
      </c>
      <c r="AX34" s="16" t="s">
        <v>279</v>
      </c>
      <c r="AY34" s="16" t="s">
        <v>279</v>
      </c>
      <c r="AZ34" s="16" t="s">
        <v>279</v>
      </c>
      <c r="BA34" s="51">
        <f ca="1">IF($AM$26,$J$26,AU34+6/24)</f>
        <v>45647.51666666667</v>
      </c>
      <c r="BB34" s="16" t="s">
        <v>279</v>
      </c>
      <c r="BC34" s="16" t="s">
        <v>279</v>
      </c>
      <c r="BD34" s="16" t="s">
        <v>279</v>
      </c>
      <c r="BE34" s="16" t="s">
        <v>279</v>
      </c>
      <c r="BF34" s="16" t="s">
        <v>279</v>
      </c>
      <c r="BG34" s="51">
        <f ca="1">IF($AM$27,$J$27,BA34+6/24)</f>
        <v>45647.76666666667</v>
      </c>
      <c r="BH34" s="16" t="s">
        <v>279</v>
      </c>
      <c r="BI34" s="16" t="s">
        <v>279</v>
      </c>
      <c r="BJ34" s="16" t="s">
        <v>279</v>
      </c>
      <c r="BK34" s="16" t="s">
        <v>279</v>
      </c>
      <c r="BL34" s="16" t="s">
        <v>279</v>
      </c>
      <c r="BM34" s="51">
        <f ca="1">IF($AM$28,$J$28,BG34+6/24)</f>
        <v>45648.01666666667</v>
      </c>
      <c r="BN34" s="16" t="s">
        <v>279</v>
      </c>
      <c r="BO34" s="16" t="s">
        <v>279</v>
      </c>
      <c r="BP34" s="16" t="s">
        <v>279</v>
      </c>
      <c r="BQ34" s="16" t="s">
        <v>279</v>
      </c>
      <c r="BR34" s="16" t="s">
        <v>279</v>
      </c>
      <c r="BS34" s="51">
        <f ca="1">IF($AM$29,$J$29,BM34+6/24)</f>
        <v>45648.26666666667</v>
      </c>
      <c r="BT34" s="16" t="s">
        <v>279</v>
      </c>
      <c r="BU34" s="16" t="s">
        <v>279</v>
      </c>
      <c r="BV34" s="16" t="s">
        <v>279</v>
      </c>
      <c r="BW34" s="16" t="s">
        <v>279</v>
      </c>
      <c r="BX34" s="16" t="s">
        <v>279</v>
      </c>
      <c r="BY34" s="51">
        <f ca="1">IF($AM$30,$J$30,BS34+6/24)</f>
        <v>45648.51666666667</v>
      </c>
      <c r="BZ34" s="16" t="s">
        <v>279</v>
      </c>
      <c r="CA34" s="16" t="s">
        <v>279</v>
      </c>
      <c r="CB34" s="16" t="s">
        <v>279</v>
      </c>
      <c r="CC34" s="16" t="s">
        <v>279</v>
      </c>
      <c r="CD34" s="16" t="s">
        <v>279</v>
      </c>
      <c r="CE34" s="51">
        <f ca="1">IF($AM$31,$J$31,BY34+6/24)</f>
        <v>45648.76666666667</v>
      </c>
    </row>
    <row r="35" spans="3:83" ht="18.75">
      <c r="C35" s="1120" t="s">
        <v>300</v>
      </c>
      <c r="D35" s="1121"/>
      <c r="E35" s="1121"/>
      <c r="F35" s="1122"/>
      <c r="AB35" s="16" t="s">
        <v>278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>
      <c r="C36" s="16" t="s">
        <v>289</v>
      </c>
      <c r="D36" s="16">
        <v>5.01</v>
      </c>
      <c r="E36" s="16" t="s">
        <v>200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>
      <c r="C37" s="16" t="s">
        <v>301</v>
      </c>
      <c r="D37" s="53" t="s">
        <v>297</v>
      </c>
      <c r="AB37" s="16" t="s">
        <v>197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>
      <c r="D38" s="1112" t="s">
        <v>302</v>
      </c>
      <c r="E38" s="1112"/>
    </row>
    <row r="39" spans="3:83">
      <c r="D39" s="59" t="s">
        <v>11</v>
      </c>
      <c r="E39" s="67" t="s">
        <v>197</v>
      </c>
      <c r="F39" s="1123" t="s">
        <v>303</v>
      </c>
      <c r="G39" s="1118" t="s">
        <v>304</v>
      </c>
      <c r="H39" s="1119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>
      <c r="D40" s="58">
        <f ca="1">J22</f>
        <v>45646.416666666664</v>
      </c>
      <c r="E40" s="61">
        <f ca="1">K22</f>
        <v>9.56</v>
      </c>
      <c r="F40" s="1123"/>
      <c r="G40" s="36" t="s">
        <v>305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>
      <c r="D41" s="1130">
        <f ca="1">AJ46</f>
        <v>45646.67386695907</v>
      </c>
      <c r="E41" s="1131"/>
      <c r="F41" s="1132"/>
      <c r="G41" s="63" t="str">
        <f ca="1">IF(AS65,AJ65,"-")</f>
        <v>-</v>
      </c>
      <c r="H41" s="64" t="str">
        <f ca="1">IF(AS65,AL65,"Impossible")</f>
        <v>Impossible</v>
      </c>
      <c r="AC41" s="16" t="s">
        <v>307</v>
      </c>
      <c r="AD41" s="16">
        <f ca="1">(AM39-AC39)/10</f>
        <v>0.23500000000058208</v>
      </c>
    </row>
    <row r="42" spans="3:83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>
      <c r="D43" s="1127">
        <f ca="1">AJ48</f>
        <v>45646.676282051281</v>
      </c>
      <c r="E43" s="1128"/>
      <c r="F43" s="1129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197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>
      <c r="D45" s="1127">
        <f ca="1">AJ50</f>
        <v>45647.234480122323</v>
      </c>
      <c r="E45" s="1128"/>
      <c r="F45" s="1129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306</v>
      </c>
      <c r="AC45" s="54" t="s">
        <v>283</v>
      </c>
      <c r="AD45" s="16" t="s">
        <v>284</v>
      </c>
      <c r="AE45" s="16" t="s">
        <v>287</v>
      </c>
      <c r="AF45" s="16" t="s">
        <v>285</v>
      </c>
      <c r="AG45" s="16" t="s">
        <v>286</v>
      </c>
      <c r="AH45" s="16" t="s">
        <v>288</v>
      </c>
      <c r="AI45" s="16" t="s">
        <v>290</v>
      </c>
      <c r="AJ45" s="16" t="s">
        <v>11</v>
      </c>
    </row>
    <row r="46" spans="3:83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>
      <c r="D47" s="1127">
        <f ca="1">AJ52</f>
        <v>45647.285362173039</v>
      </c>
      <c r="E47" s="1128"/>
      <c r="F47" s="1129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>
      <c r="D49" s="1127" t="e">
        <f ca="1">AJ54</f>
        <v>#VALUE!</v>
      </c>
      <c r="E49" s="1128"/>
      <c r="F49" s="1129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>
      <c r="D51" s="1127" t="e">
        <f>AJ56</f>
        <v>#VALUE!</v>
      </c>
      <c r="E51" s="1128"/>
      <c r="F51" s="1129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>
      <c r="D53" s="1127" t="e">
        <f>AJ58</f>
        <v>#VALUE!</v>
      </c>
      <c r="E53" s="1128"/>
      <c r="F53" s="1129"/>
      <c r="G53" s="63" t="e">
        <f>IF(AS71,AJ71,"-")</f>
        <v>#VALUE!</v>
      </c>
      <c r="H53" s="64" t="e">
        <f>IF(AS71,AL71,"Impossible")</f>
        <v>#VALUE!</v>
      </c>
      <c r="Q53" s="16"/>
    </row>
    <row r="54" spans="4:51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>
      <c r="D55" s="1127" t="str">
        <f>AJ60</f>
        <v>impossible</v>
      </c>
      <c r="E55" s="1128"/>
      <c r="F55" s="1129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>
      <c r="D57" s="1127" t="str">
        <f>AJ62</f>
        <v>impossible</v>
      </c>
      <c r="E57" s="1128"/>
      <c r="F57" s="1129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>
      <c r="O59"/>
      <c r="P59"/>
      <c r="Q59"/>
      <c r="R59"/>
      <c r="S59"/>
      <c r="T59"/>
      <c r="U59"/>
      <c r="V59"/>
      <c r="W59"/>
      <c r="X59"/>
      <c r="Y59"/>
    </row>
    <row r="60" spans="4:51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>
      <c r="O61"/>
      <c r="P61"/>
      <c r="Q61"/>
      <c r="R61"/>
      <c r="S61"/>
      <c r="T61"/>
      <c r="U61"/>
      <c r="V61"/>
      <c r="W61"/>
      <c r="X61"/>
      <c r="Y61"/>
    </row>
    <row r="62" spans="4:51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>
      <c r="O63"/>
      <c r="P63"/>
      <c r="Q63"/>
      <c r="R63"/>
      <c r="S63"/>
      <c r="T63"/>
      <c r="U63"/>
      <c r="V63"/>
      <c r="W63"/>
      <c r="X63"/>
      <c r="Y63"/>
    </row>
    <row r="64" spans="4:51">
      <c r="O64"/>
      <c r="P64"/>
      <c r="Q64"/>
      <c r="R64"/>
      <c r="S64"/>
      <c r="T64"/>
      <c r="U64"/>
      <c r="V64"/>
      <c r="W64"/>
      <c r="X64"/>
      <c r="Y64"/>
      <c r="AC64" s="56" t="s">
        <v>283</v>
      </c>
      <c r="AD64" s="56" t="s">
        <v>284</v>
      </c>
      <c r="AE64" s="56" t="s">
        <v>287</v>
      </c>
      <c r="AF64" s="56" t="s">
        <v>298</v>
      </c>
      <c r="AG64" s="56" t="s">
        <v>286</v>
      </c>
      <c r="AH64" s="56" t="s">
        <v>288</v>
      </c>
      <c r="AI64" s="56" t="s">
        <v>290</v>
      </c>
      <c r="AJ64" s="56" t="s">
        <v>11</v>
      </c>
      <c r="AK64" s="56" t="s">
        <v>291</v>
      </c>
      <c r="AL64" s="16" t="s">
        <v>292</v>
      </c>
      <c r="AN64" s="16" t="s">
        <v>271</v>
      </c>
      <c r="AO64" s="16" t="s">
        <v>101</v>
      </c>
      <c r="AP64" s="16" t="s">
        <v>272</v>
      </c>
      <c r="AQ64" s="16" t="s">
        <v>65</v>
      </c>
      <c r="AR64" s="16" t="s">
        <v>272</v>
      </c>
      <c r="AS64" s="16" t="s">
        <v>293</v>
      </c>
      <c r="AT64" s="16" t="s">
        <v>294</v>
      </c>
      <c r="AU64" s="16" t="s">
        <v>295</v>
      </c>
      <c r="AV64" s="16" t="s">
        <v>296</v>
      </c>
      <c r="AW64" s="16" t="s">
        <v>272</v>
      </c>
      <c r="AX64" s="16" t="s">
        <v>11</v>
      </c>
      <c r="AY64" s="16" t="s">
        <v>11</v>
      </c>
    </row>
    <row r="65" spans="15:51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>
      <c r="O74"/>
      <c r="P74"/>
      <c r="Q74"/>
      <c r="R74"/>
      <c r="S74"/>
      <c r="T74"/>
      <c r="U74"/>
      <c r="V74"/>
      <c r="W74"/>
      <c r="X74"/>
      <c r="Y74"/>
    </row>
    <row r="75" spans="15:51">
      <c r="O75"/>
      <c r="P75"/>
      <c r="Q75"/>
      <c r="R75"/>
      <c r="S75"/>
      <c r="T75"/>
      <c r="U75"/>
      <c r="V75"/>
      <c r="W75"/>
      <c r="X75"/>
      <c r="Y75"/>
    </row>
    <row r="76" spans="15:51">
      <c r="O76"/>
      <c r="P76"/>
      <c r="Q76"/>
      <c r="R76"/>
      <c r="S76"/>
      <c r="T76"/>
      <c r="U76"/>
      <c r="V76"/>
      <c r="W76"/>
      <c r="X76"/>
      <c r="Y76"/>
    </row>
    <row r="77" spans="15:51">
      <c r="O77"/>
      <c r="P77"/>
      <c r="Q77"/>
      <c r="R77"/>
      <c r="S77"/>
      <c r="T77"/>
      <c r="U77"/>
      <c r="V77"/>
      <c r="W77"/>
      <c r="X77"/>
      <c r="Y77"/>
    </row>
    <row r="78" spans="15:51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defaultColWidth="7.28515625" defaultRowHeight="1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>
      <c r="K3" s="84" t="s">
        <v>214</v>
      </c>
      <c r="L3" s="84" t="s">
        <v>221</v>
      </c>
      <c r="M3" s="84" t="s">
        <v>212</v>
      </c>
      <c r="N3" s="85" t="s">
        <v>224</v>
      </c>
      <c r="P3" s="84" t="s">
        <v>215</v>
      </c>
      <c r="Q3" s="84" t="s">
        <v>213</v>
      </c>
      <c r="R3" s="84" t="s">
        <v>216</v>
      </c>
      <c r="S3" s="84" t="s">
        <v>218</v>
      </c>
      <c r="T3" s="84" t="s">
        <v>196</v>
      </c>
    </row>
    <row r="4" spans="2:20">
      <c r="B4" s="1133" t="s">
        <v>222</v>
      </c>
      <c r="C4" s="87" t="str">
        <f>Maree!D22</f>
        <v>2024/12/20</v>
      </c>
      <c r="D4" s="88" t="s">
        <v>327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>
      <c r="B5" s="1133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>
      <c r="B6" s="1134" t="s">
        <v>223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>
      <c r="B7" s="1134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>
      <c r="B8" s="1134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>
      <c r="B9" s="1134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>
      <c r="B10" s="1134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>
      <c r="B11" s="1134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>
      <c r="B12" s="1134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>
      <c r="B13" s="1134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>
      <c r="B14" s="1134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>
      <c r="B15" s="1134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>
      <c r="B16" s="1134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>
      <c r="B17" s="1134"/>
      <c r="C17" s="92"/>
      <c r="D17" s="92"/>
      <c r="E17" s="92"/>
      <c r="F17" s="92"/>
    </row>
    <row r="18" spans="2:10">
      <c r="B18" s="1134"/>
      <c r="C18" s="92"/>
      <c r="D18" s="92"/>
      <c r="E18" s="92"/>
      <c r="F18" s="92"/>
    </row>
    <row r="30" spans="2:10">
      <c r="E30" s="82">
        <f>18+46/60</f>
        <v>18.766666666666666</v>
      </c>
    </row>
    <row r="31" spans="2:10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1:BN24"/>
  <sheetViews>
    <sheetView workbookViewId="0">
      <selection activeCell="J15" sqref="A1:XFD1048576"/>
    </sheetView>
  </sheetViews>
  <sheetFormatPr defaultColWidth="11.42578125" defaultRowHeight="15"/>
  <cols>
    <col min="1" max="16384" width="11.42578125" style="260"/>
  </cols>
  <sheetData>
    <row r="1" spans="1:23">
      <c r="A1" s="464" t="s">
        <v>236</v>
      </c>
      <c r="B1" s="464"/>
      <c r="C1" s="464"/>
      <c r="D1" s="464"/>
      <c r="E1" s="455" t="s">
        <v>237</v>
      </c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</row>
    <row r="2" spans="1:23">
      <c r="A2" s="464"/>
      <c r="B2" s="464"/>
      <c r="C2" s="464"/>
      <c r="D2" s="464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</row>
    <row r="3" spans="1:23">
      <c r="A3" s="464"/>
      <c r="B3" s="464"/>
      <c r="C3" s="464"/>
      <c r="D3" s="464"/>
      <c r="E3" s="460" t="s">
        <v>241</v>
      </c>
      <c r="F3" s="460"/>
      <c r="G3" s="460"/>
      <c r="H3" s="462" t="s">
        <v>240</v>
      </c>
      <c r="I3" s="462"/>
      <c r="J3" s="462"/>
      <c r="K3" s="98"/>
      <c r="L3" s="1165" t="s">
        <v>463</v>
      </c>
      <c r="M3" s="1166"/>
      <c r="N3" s="1167"/>
      <c r="O3" s="1159" t="s">
        <v>363</v>
      </c>
      <c r="P3" s="1160"/>
      <c r="Q3" s="1161"/>
      <c r="R3" s="98"/>
      <c r="S3" s="98"/>
      <c r="T3" s="98"/>
      <c r="U3" s="98"/>
      <c r="V3" s="98"/>
      <c r="W3" s="98"/>
    </row>
    <row r="4" spans="1:23">
      <c r="A4" s="464"/>
      <c r="B4" s="464"/>
      <c r="C4" s="464"/>
      <c r="D4" s="464"/>
      <c r="E4" s="461"/>
      <c r="F4" s="461"/>
      <c r="G4" s="461"/>
      <c r="H4" s="463"/>
      <c r="I4" s="463"/>
      <c r="J4" s="463"/>
      <c r="K4" s="98"/>
      <c r="L4" s="1168"/>
      <c r="M4" s="1169"/>
      <c r="N4" s="1170"/>
      <c r="O4" s="1162"/>
      <c r="P4" s="1163"/>
      <c r="Q4" s="1164"/>
      <c r="R4" s="98"/>
      <c r="S4" s="98"/>
      <c r="T4" s="98"/>
      <c r="U4" s="98"/>
      <c r="V4" s="98"/>
      <c r="W4" s="98"/>
    </row>
    <row r="8" spans="1:23" ht="15.75" thickBot="1"/>
    <row r="9" spans="1:23">
      <c r="C9" s="369" t="s">
        <v>138</v>
      </c>
      <c r="D9" s="370"/>
      <c r="E9" s="370"/>
      <c r="F9" s="371"/>
    </row>
    <row r="10" spans="1:23">
      <c r="C10" s="134" t="s">
        <v>62</v>
      </c>
      <c r="D10" s="135" t="s">
        <v>121</v>
      </c>
      <c r="E10" s="136" t="s">
        <v>310</v>
      </c>
      <c r="F10" s="137">
        <f>PI()/180</f>
        <v>1.7453292519943295E-2</v>
      </c>
    </row>
    <row r="11" spans="1:23" ht="15.75" thickBot="1">
      <c r="C11" s="101" t="s">
        <v>123</v>
      </c>
      <c r="D11" s="138" t="s">
        <v>121</v>
      </c>
      <c r="E11" s="139" t="s">
        <v>311</v>
      </c>
      <c r="F11" s="140">
        <f>180/PI()</f>
        <v>57.295779513082323</v>
      </c>
    </row>
    <row r="12" spans="1:23" ht="15.75" thickBot="1"/>
    <row r="13" spans="1:23" ht="15.75" thickBot="1">
      <c r="C13" s="372" t="s">
        <v>41</v>
      </c>
      <c r="D13" s="373"/>
      <c r="E13" s="374"/>
    </row>
    <row r="14" spans="1:23">
      <c r="C14" s="99" t="s">
        <v>49</v>
      </c>
      <c r="D14" s="114" t="s">
        <v>50</v>
      </c>
      <c r="E14" s="100"/>
    </row>
    <row r="15" spans="1:23">
      <c r="C15" s="99" t="s">
        <v>3</v>
      </c>
      <c r="D15" s="114" t="s">
        <v>5</v>
      </c>
      <c r="E15" s="100">
        <v>1</v>
      </c>
    </row>
    <row r="16" spans="1:23" ht="15.75" thickBot="1">
      <c r="C16" s="101" t="s">
        <v>4</v>
      </c>
      <c r="D16" s="102" t="s">
        <v>6</v>
      </c>
      <c r="E16" s="103">
        <v>-1</v>
      </c>
    </row>
    <row r="21" spans="28:66" s="98" customFormat="1" ht="17.25" customHeight="1">
      <c r="AB21" s="145"/>
      <c r="AC21" s="260"/>
      <c r="AD21" s="260"/>
      <c r="AE21" s="260"/>
      <c r="AF21" s="260"/>
      <c r="AG21" s="260"/>
      <c r="AH21" s="260"/>
      <c r="AI21" s="260"/>
      <c r="AJ21" s="260"/>
      <c r="AK21" s="260"/>
      <c r="AL21" s="260"/>
      <c r="AM21" s="260"/>
      <c r="AN21" s="260"/>
      <c r="AO21" s="260"/>
      <c r="AP21" s="260"/>
      <c r="AQ21" s="260"/>
      <c r="AR21" s="260"/>
      <c r="AS21" s="260"/>
      <c r="AT21" s="260"/>
      <c r="AU21" s="260"/>
      <c r="AV21" s="260"/>
      <c r="AW21" s="260"/>
      <c r="AX21" s="260"/>
      <c r="AY21" s="260"/>
      <c r="AZ21" s="260"/>
      <c r="BA21" s="260"/>
      <c r="BB21" s="260"/>
      <c r="BC21" s="260"/>
      <c r="BD21" s="260"/>
      <c r="BE21" s="260"/>
      <c r="BF21" s="260"/>
      <c r="BG21" s="260"/>
      <c r="BH21" s="260"/>
      <c r="BI21" s="260"/>
      <c r="BJ21" s="260"/>
      <c r="BK21" s="260"/>
      <c r="BL21" s="260"/>
      <c r="BM21" s="260"/>
      <c r="BN21" s="106"/>
    </row>
    <row r="22" spans="28:66" s="98" customFormat="1" ht="17.25" customHeight="1">
      <c r="AB22" s="145"/>
      <c r="AC22" s="260"/>
      <c r="AD22" s="260"/>
      <c r="AE22" s="260"/>
      <c r="AF22" s="260"/>
      <c r="AG22" s="260"/>
      <c r="AH22" s="260"/>
      <c r="AI22" s="260"/>
      <c r="AJ22" s="260"/>
      <c r="AK22" s="260"/>
      <c r="AL22" s="260"/>
      <c r="AM22" s="260"/>
      <c r="AN22" s="260"/>
      <c r="AO22" s="260"/>
      <c r="AP22" s="260"/>
      <c r="AQ22" s="260"/>
      <c r="AR22" s="260"/>
      <c r="AS22" s="260"/>
      <c r="AT22" s="260"/>
      <c r="AU22" s="260"/>
      <c r="AV22" s="260"/>
      <c r="AW22" s="260"/>
      <c r="AX22" s="260"/>
      <c r="AY22" s="260"/>
      <c r="AZ22" s="260"/>
      <c r="BA22" s="260"/>
      <c r="BB22" s="260"/>
      <c r="BC22" s="260"/>
      <c r="BD22" s="260"/>
      <c r="BE22" s="260"/>
      <c r="BF22" s="260"/>
      <c r="BG22" s="260"/>
      <c r="BH22" s="260"/>
      <c r="BI22" s="260"/>
      <c r="BJ22" s="260"/>
      <c r="BK22" s="260"/>
      <c r="BL22" s="260"/>
      <c r="BM22" s="260"/>
      <c r="BN22" s="106"/>
    </row>
    <row r="23" spans="28:66" s="98" customFormat="1" ht="17.25" customHeight="1">
      <c r="AB23" s="145"/>
      <c r="AC23" s="260"/>
      <c r="AD23" s="260"/>
      <c r="AE23" s="260"/>
      <c r="AF23" s="260"/>
      <c r="AG23" s="260"/>
      <c r="AH23" s="260"/>
      <c r="AI23" s="260"/>
      <c r="AJ23" s="260"/>
      <c r="AK23" s="260"/>
      <c r="AL23" s="260"/>
      <c r="AM23" s="260"/>
      <c r="AN23" s="260"/>
      <c r="AO23" s="260"/>
      <c r="AP23" s="260"/>
      <c r="AQ23" s="260"/>
      <c r="AR23" s="260"/>
      <c r="AS23" s="260"/>
      <c r="AT23" s="260"/>
      <c r="AU23" s="260"/>
      <c r="AV23" s="260"/>
      <c r="AW23" s="260"/>
      <c r="AX23" s="260"/>
      <c r="AY23" s="260"/>
      <c r="AZ23" s="260"/>
      <c r="BA23" s="260"/>
      <c r="BB23" s="260"/>
      <c r="BC23" s="260"/>
      <c r="BD23" s="260"/>
      <c r="BE23" s="260"/>
      <c r="BF23" s="260"/>
      <c r="BG23" s="260"/>
      <c r="BH23" s="260"/>
      <c r="BI23" s="260"/>
      <c r="BJ23" s="260"/>
      <c r="BK23" s="260"/>
      <c r="BL23" s="260"/>
      <c r="BM23" s="260"/>
      <c r="BN23" s="106"/>
    </row>
    <row r="24" spans="28:66" s="98" customFormat="1" ht="17.25" customHeight="1">
      <c r="AB24" s="145"/>
      <c r="AC24" s="260"/>
      <c r="AD24" s="260"/>
      <c r="AE24" s="260"/>
      <c r="AF24" s="260"/>
      <c r="AG24" s="260"/>
      <c r="AH24" s="260"/>
      <c r="AI24" s="260"/>
      <c r="AJ24" s="260"/>
      <c r="AK24" s="260"/>
      <c r="AL24" s="260"/>
      <c r="AM24" s="260"/>
      <c r="AN24" s="260"/>
      <c r="AO24" s="260"/>
      <c r="AP24" s="260"/>
      <c r="AQ24" s="260"/>
      <c r="AR24" s="260"/>
      <c r="AS24" s="260"/>
      <c r="AT24" s="260"/>
      <c r="AU24" s="260"/>
      <c r="AV24" s="260"/>
      <c r="AW24" s="260"/>
      <c r="AX24" s="260"/>
      <c r="AY24" s="260"/>
      <c r="AZ24" s="260"/>
      <c r="BA24" s="260"/>
      <c r="BB24" s="260"/>
      <c r="BC24" s="260"/>
      <c r="BD24" s="260"/>
      <c r="BE24" s="260"/>
      <c r="BF24" s="260"/>
      <c r="BG24" s="260"/>
      <c r="BH24" s="260"/>
      <c r="BI24" s="260"/>
      <c r="BJ24" s="260"/>
      <c r="BK24" s="260"/>
      <c r="BL24" s="260"/>
      <c r="BM24" s="260"/>
      <c r="BN24" s="106"/>
    </row>
  </sheetData>
  <sheetProtection algorithmName="SHA-512" hashValue="twShir0LktpiWytIJEChJ0M/Ufsi8JKMhFSAJdjG8zZhWNE+89EM5o6w3I7A1efY/YSqCYeHY9PUfpf0zFd73w==" saltValue="RGkpS9kfwT2x6lf+TGSSWA==" spinCount="100000" sheet="1" objects="1" scenarios="1" selectLockedCells="1" selectUnlockedCells="1"/>
  <mergeCells count="8">
    <mergeCell ref="A1:D4"/>
    <mergeCell ref="O3:Q4"/>
    <mergeCell ref="L3:N4"/>
    <mergeCell ref="H3:J4"/>
    <mergeCell ref="E3:G4"/>
    <mergeCell ref="E1:W2"/>
    <mergeCell ref="C9:F9"/>
    <mergeCell ref="C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Nav</vt:lpstr>
      <vt:lpstr>Maree</vt:lpstr>
      <vt:lpstr>Maree-backend</vt:lpstr>
      <vt:lpstr>Outils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2024-07-30T07:36:20Z</dcterms:modified>
</cp:coreProperties>
</file>