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6BD336E0-9216-420B-AA2D-D342C26E4F2D}" xr6:coauthVersionLast="47" xr6:coauthVersionMax="47" xr10:uidLastSave="{00000000-0000-0000-0000-000000000000}"/>
  <bookViews>
    <workbookView xWindow="10155" yWindow="1935" windowWidth="28800" windowHeight="9990" tabRatio="872" activeTab="5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Nav" sheetId="3" r:id="rId7"/>
    <sheet name="Maree" sheetId="4" r:id="rId8"/>
    <sheet name="Maree-backend" sheetId="6" r:id="rId9"/>
    <sheet name="Outils" sheetId="15" r:id="rId10"/>
    <sheet name="Montre" sheetId="18" r:id="rId11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09" i="11" l="1"/>
  <c r="G7" i="18"/>
  <c r="G6" i="18"/>
  <c r="G5" i="18"/>
  <c r="H7" i="18"/>
  <c r="H6" i="18"/>
  <c r="H5" i="18"/>
  <c r="F5" i="18"/>
  <c r="E5" i="18"/>
  <c r="F6" i="18"/>
  <c r="E6" i="18"/>
  <c r="V137" i="11"/>
  <c r="V136" i="11"/>
  <c r="E35" i="17"/>
  <c r="J17" i="1"/>
  <c r="AM39" i="17"/>
  <c r="AM38" i="17"/>
  <c r="AJ39" i="17"/>
  <c r="AJ38" i="17"/>
  <c r="AJ37" i="17"/>
  <c r="AJ36" i="17"/>
  <c r="AJ35" i="17"/>
  <c r="AH39" i="17"/>
  <c r="AH38" i="17"/>
  <c r="AH37" i="17"/>
  <c r="AH36" i="17"/>
  <c r="AH35" i="17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AG48" i="17" s="1"/>
  <c r="C39" i="17"/>
  <c r="D38" i="17"/>
  <c r="AH47" i="17" s="1"/>
  <c r="C38" i="17"/>
  <c r="D37" i="17"/>
  <c r="AG46" i="17" s="1"/>
  <c r="C37" i="17"/>
  <c r="D36" i="17"/>
  <c r="AH45" i="17" s="1"/>
  <c r="C36" i="17"/>
  <c r="D35" i="17"/>
  <c r="AG44" i="17" s="1"/>
  <c r="C35" i="17"/>
  <c r="E39" i="17"/>
  <c r="E38" i="17"/>
  <c r="E37" i="17"/>
  <c r="E36" i="17"/>
  <c r="D30" i="17"/>
  <c r="D29" i="17"/>
  <c r="D28" i="17"/>
  <c r="P19" i="17"/>
  <c r="K19" i="17" s="1"/>
  <c r="J19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F76" i="11"/>
  <c r="AD74" i="11"/>
  <c r="F72" i="11"/>
  <c r="AD70" i="11"/>
  <c r="AD68" i="11"/>
  <c r="AD67" i="11"/>
  <c r="AD58" i="11"/>
  <c r="F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G105" i="13" s="1"/>
  <c r="AD105" i="13" s="1"/>
  <c r="E104" i="13"/>
  <c r="G104" i="13" s="1"/>
  <c r="AD104" i="13" s="1"/>
  <c r="E103" i="13"/>
  <c r="E102" i="13"/>
  <c r="E101" i="13"/>
  <c r="G101" i="13" s="1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5" i="1"/>
  <c r="AD175" i="1"/>
  <c r="AD174" i="1"/>
  <c r="AD173" i="1"/>
  <c r="AE167" i="1"/>
  <c r="AD126" i="16"/>
  <c r="AD124" i="16"/>
  <c r="AD118" i="16"/>
  <c r="AD117" i="16"/>
  <c r="AD40" i="1"/>
  <c r="T6" i="17"/>
  <c r="E6" i="17"/>
  <c r="J16" i="11" a="1"/>
  <c r="AD84" i="13"/>
  <c r="G169" i="11" a="1"/>
  <c r="AI32" i="11"/>
  <c r="AG86" i="13"/>
  <c r="G202" i="16" a="1"/>
  <c r="AE95" i="13"/>
  <c r="AD8" i="11" a="1"/>
  <c r="AK32" i="11"/>
  <c r="J130" i="13" a="1"/>
  <c r="U169" i="13" a="1"/>
  <c r="F78" i="11" a="1"/>
  <c r="AE68" i="11" a="1"/>
  <c r="AE32" i="11"/>
  <c r="AH32" i="11"/>
  <c r="J17" i="11" a="1"/>
  <c r="AD57" i="11" a="1"/>
  <c r="S132" i="13" a="1"/>
  <c r="F21" i="13"/>
  <c r="AG84" i="13"/>
  <c r="O124" i="11" a="1"/>
  <c r="N7" i="13"/>
  <c r="AD83" i="13"/>
  <c r="AG32" i="11"/>
  <c r="AE49" i="11" a="1"/>
  <c r="AE187" i="13" a="1"/>
  <c r="AD87" i="13"/>
  <c r="AD11" i="11" a="1"/>
  <c r="AH93" i="13"/>
  <c r="G170" i="11" a="1"/>
  <c r="AD32" i="11"/>
  <c r="AD85" i="13"/>
  <c r="AE96" i="13"/>
  <c r="AH95" i="13"/>
  <c r="AG83" i="13"/>
  <c r="AD37" i="13" a="1"/>
  <c r="AF32" i="11"/>
  <c r="AG85" i="13"/>
  <c r="AE67" i="11" a="1"/>
  <c r="O202" i="13" a="1"/>
  <c r="AE94" i="13"/>
  <c r="J123" i="13" a="1"/>
  <c r="G236" i="13" a="1"/>
  <c r="F43" i="13"/>
  <c r="R124" i="11" a="1"/>
  <c r="AN32" i="11"/>
  <c r="U91" i="11" a="1"/>
  <c r="J122" i="13" a="1"/>
  <c r="AO32" i="11"/>
  <c r="G235" i="13" a="1"/>
  <c r="J24" i="11" a="1"/>
  <c r="AM32" i="11"/>
  <c r="F161" i="13" a="1"/>
  <c r="AE151" i="13" a="1"/>
  <c r="AD86" i="13"/>
  <c r="J89" i="16" a="1"/>
  <c r="AD75" i="11" a="1"/>
  <c r="G203" i="16" a="1"/>
  <c r="AC32" i="11"/>
  <c r="AD160" i="13" a="1"/>
  <c r="AE93" i="13"/>
  <c r="AE150" i="13" a="1"/>
  <c r="AD77" i="11" a="1"/>
  <c r="E7" i="11" a="1"/>
  <c r="J134" i="13" a="1"/>
  <c r="AJ32" i="11"/>
  <c r="S136" i="13" a="1"/>
  <c r="R202" i="13" a="1"/>
  <c r="O32" i="13" a="1"/>
  <c r="AE92" i="13"/>
  <c r="AL32" i="11"/>
  <c r="AH94" i="13"/>
  <c r="AE50" i="11" a="1"/>
  <c r="AD12" i="13" a="1"/>
  <c r="AH92" i="13"/>
  <c r="J126" i="13" a="1"/>
  <c r="AH96" i="13"/>
  <c r="AD158" i="13" a="1"/>
  <c r="N7" i="16"/>
  <c r="AD59" i="11" a="1"/>
  <c r="J127" i="13" a="1"/>
  <c r="AD17" i="13" a="1"/>
  <c r="AG87" i="13"/>
  <c r="F28" i="13"/>
  <c r="O43" i="13"/>
  <c r="F60" i="11" a="1"/>
  <c r="M30" i="17"/>
  <c r="M28" i="17"/>
  <c r="I27" i="17"/>
  <c r="J20" i="17" a="1"/>
  <c r="G27" i="17"/>
  <c r="S35" i="17" s="1"/>
  <c r="I31" i="17"/>
  <c r="I29" i="17"/>
  <c r="O27" i="17"/>
  <c r="O31" i="17"/>
  <c r="M31" i="17"/>
  <c r="G31" i="17"/>
  <c r="S39" i="17" s="1"/>
  <c r="G29" i="17"/>
  <c r="S37" i="17" s="1"/>
  <c r="M27" i="17"/>
  <c r="O29" i="17"/>
  <c r="M29" i="17"/>
  <c r="I30" i="17"/>
  <c r="I28" i="17"/>
  <c r="O30" i="17"/>
  <c r="G30" i="17"/>
  <c r="S38" i="17" s="1"/>
  <c r="G28" i="17"/>
  <c r="S36" i="17" s="1"/>
  <c r="O28" i="17"/>
  <c r="F16" i="17"/>
  <c r="F12" i="17"/>
  <c r="T29" i="17"/>
  <c r="T28" i="17"/>
  <c r="T27" i="17"/>
  <c r="K43" i="17"/>
  <c r="F39" i="17"/>
  <c r="F38" i="17"/>
  <c r="K44" i="17"/>
  <c r="F37" i="17"/>
  <c r="F36" i="17"/>
  <c r="AD42" i="11" a="1"/>
  <c r="I86" i="11"/>
  <c r="AD37" i="11" a="1"/>
  <c r="J21" i="11" a="1"/>
  <c r="J20" i="11" a="1"/>
  <c r="D7" i="18"/>
  <c r="D6" i="18"/>
  <c r="D5" i="18"/>
  <c r="D4" i="18"/>
  <c r="X136" i="11"/>
  <c r="X137" i="11"/>
  <c r="I104" i="13"/>
  <c r="I101" i="13"/>
  <c r="I105" i="13"/>
  <c r="P16" i="1" a="1"/>
  <c r="J16" i="1" a="1"/>
  <c r="AG31" i="1"/>
  <c r="AN31" i="1"/>
  <c r="AI31" i="1"/>
  <c r="AM31" i="1"/>
  <c r="AD31" i="1"/>
  <c r="AE31" i="1"/>
  <c r="AH31" i="1"/>
  <c r="AJ31" i="1"/>
  <c r="AF31" i="1"/>
  <c r="AL31" i="1"/>
  <c r="AK31" i="1"/>
  <c r="AC31" i="1"/>
  <c r="T7" i="1"/>
  <c r="E7" i="18" l="1"/>
  <c r="F7" i="18" s="1"/>
  <c r="P16" i="1"/>
  <c r="J16" i="1"/>
  <c r="AH46" i="17"/>
  <c r="AG45" i="17"/>
  <c r="AH44" i="17"/>
  <c r="X6" i="17"/>
  <c r="AA6" i="17" s="1"/>
  <c r="AE42" i="17" s="1"/>
  <c r="AD36" i="17"/>
  <c r="AK35" i="17"/>
  <c r="AD39" i="17"/>
  <c r="AD35" i="17"/>
  <c r="AD38" i="17"/>
  <c r="AD37" i="17"/>
  <c r="AC36" i="17"/>
  <c r="AC38" i="17"/>
  <c r="AC37" i="17"/>
  <c r="AC39" i="17"/>
  <c r="AC35" i="17"/>
  <c r="O35" i="17"/>
  <c r="O39" i="17"/>
  <c r="O38" i="17"/>
  <c r="O37" i="17"/>
  <c r="O36" i="17"/>
  <c r="J20" i="17"/>
  <c r="J27" i="17" s="1"/>
  <c r="X7" i="1"/>
  <c r="AA7" i="1" s="1"/>
  <c r="AF24" i="1" s="1"/>
  <c r="AD177" i="11"/>
  <c r="AD178" i="11" s="1"/>
  <c r="AD103" i="11"/>
  <c r="AE68" i="11"/>
  <c r="AE49" i="11"/>
  <c r="AE50" i="11"/>
  <c r="AE67" i="11"/>
  <c r="E7" i="11"/>
  <c r="AD11" i="11"/>
  <c r="J17" i="11"/>
  <c r="AD37" i="11"/>
  <c r="F36" i="11" s="1"/>
  <c r="F78" i="11"/>
  <c r="AD75" i="11"/>
  <c r="AD8" i="11"/>
  <c r="AD59" i="11"/>
  <c r="G170" i="11"/>
  <c r="J16" i="11"/>
  <c r="J24" i="11"/>
  <c r="AJ28" i="11" s="1"/>
  <c r="O124" i="11"/>
  <c r="J20" i="11"/>
  <c r="F6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J89" i="16"/>
  <c r="AI46" i="17"/>
  <c r="L37" i="17" s="1"/>
  <c r="AI45" i="17"/>
  <c r="L36" i="17" s="1"/>
  <c r="AI44" i="17"/>
  <c r="L35" i="17" s="1"/>
  <c r="P123" i="13" a="1"/>
  <c r="J95" i="13"/>
  <c r="J92" i="13"/>
  <c r="P127" i="13" a="1"/>
  <c r="P78" i="11" a="1"/>
  <c r="U52" i="11" a="1"/>
  <c r="P16" i="11" a="1"/>
  <c r="W202" i="13" a="1"/>
  <c r="U151" i="13" a="1"/>
  <c r="U185" i="13" a="1"/>
  <c r="J93" i="13"/>
  <c r="P27" i="11" a="1"/>
  <c r="P122" i="13" a="1"/>
  <c r="P161" i="13" a="1"/>
  <c r="O28" i="13" a="1"/>
  <c r="U50" i="11" a="1"/>
  <c r="P126" i="13" a="1"/>
  <c r="O16" i="13" a="1"/>
  <c r="U161" i="13" a="1"/>
  <c r="U70" i="11" a="1"/>
  <c r="J96" i="13"/>
  <c r="U78" i="11" a="1"/>
  <c r="G87" i="13"/>
  <c r="U68" i="11" a="1"/>
  <c r="P133" i="13" a="1"/>
  <c r="G84" i="13"/>
  <c r="G86" i="13"/>
  <c r="P137" i="13" a="1"/>
  <c r="P17" i="11" a="1"/>
  <c r="O36" i="13" a="1"/>
  <c r="O11" i="13" a="1"/>
  <c r="P60" i="11" a="1"/>
  <c r="P89" i="16" a="1"/>
  <c r="U153" i="13" a="1"/>
  <c r="U60" i="11" a="1"/>
  <c r="G85" i="13"/>
  <c r="G83" i="13"/>
  <c r="J94" i="13"/>
  <c r="O21" i="13"/>
  <c r="J12" i="17"/>
  <c r="K27" i="17"/>
  <c r="J16" i="17"/>
  <c r="P20" i="17" a="1"/>
  <c r="O41" i="11" a="1"/>
  <c r="AE109" i="11" a="1"/>
  <c r="O36" i="11" a="1"/>
  <c r="P21" i="11" a="1"/>
  <c r="P20" i="11" a="1"/>
  <c r="I103" i="13"/>
  <c r="F35" i="17"/>
  <c r="Q39" i="17" l="1"/>
  <c r="P39" i="17"/>
  <c r="Q38" i="17"/>
  <c r="P38" i="17"/>
  <c r="Q37" i="17"/>
  <c r="P37" i="17"/>
  <c r="Q36" i="17"/>
  <c r="P36" i="17"/>
  <c r="Q35" i="17"/>
  <c r="P35" i="17"/>
  <c r="I35" i="17"/>
  <c r="J35" i="17" s="1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G35" i="17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AE109" i="11"/>
  <c r="AD110" i="11" s="1"/>
  <c r="O107" i="11" s="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AI47" i="17"/>
  <c r="L38" i="17" s="1"/>
  <c r="AI48" i="17"/>
  <c r="L39" i="17" s="1"/>
  <c r="J90" i="16" a="1"/>
  <c r="U97" i="11" a="1"/>
  <c r="K60" i="13"/>
  <c r="J18" i="11" a="1"/>
  <c r="I7" i="11" a="1"/>
  <c r="J124" i="13" a="1"/>
  <c r="E12" i="11" a="1"/>
  <c r="U167" i="13" a="1"/>
  <c r="U175" i="13" a="1"/>
  <c r="U168" i="13" a="1"/>
  <c r="W124" i="11" a="1"/>
  <c r="K29" i="17"/>
  <c r="K28" i="17"/>
  <c r="K30" i="17"/>
  <c r="K31" i="17"/>
  <c r="U107" i="11" a="1"/>
  <c r="U89" i="11" a="1"/>
  <c r="U90" i="11" a="1"/>
  <c r="I102" i="13"/>
  <c r="M35" i="17"/>
  <c r="R38" i="17" l="1"/>
  <c r="T38" i="17" s="1"/>
  <c r="I37" i="17"/>
  <c r="J37" i="17" s="1"/>
  <c r="AF46" i="17"/>
  <c r="I36" i="17"/>
  <c r="J36" i="17" s="1"/>
  <c r="AF45" i="17"/>
  <c r="I39" i="17"/>
  <c r="J39" i="17" s="1"/>
  <c r="I38" i="17"/>
  <c r="J38" i="17" s="1"/>
  <c r="G39" i="17"/>
  <c r="R35" i="17"/>
  <c r="T35" i="17" s="1"/>
  <c r="AA35" i="17"/>
  <c r="AA38" i="17"/>
  <c r="R36" i="17"/>
  <c r="R37" i="17"/>
  <c r="T37" i="17" s="1"/>
  <c r="G36" i="17"/>
  <c r="G37" i="17"/>
  <c r="G38" i="17"/>
  <c r="R39" i="17"/>
  <c r="T39" i="17" s="1"/>
  <c r="AN27" i="11"/>
  <c r="AM27" i="11"/>
  <c r="AQ28" i="11" s="1"/>
  <c r="AN28" i="11"/>
  <c r="AM28" i="11"/>
  <c r="O93" i="11"/>
  <c r="W124" i="11"/>
  <c r="U89" i="11"/>
  <c r="J18" i="11"/>
  <c r="U107" i="11"/>
  <c r="U90" i="11"/>
  <c r="U97" i="11"/>
  <c r="E12" i="11"/>
  <c r="I7" i="11"/>
  <c r="U131" i="11"/>
  <c r="J123" i="11"/>
  <c r="M86" i="11"/>
  <c r="O114" i="11"/>
  <c r="U143" i="11"/>
  <c r="L151" i="11"/>
  <c r="AD90" i="11"/>
  <c r="L123" i="11"/>
  <c r="I76" i="11"/>
  <c r="AF78" i="11" s="1"/>
  <c r="AD78" i="11" s="1"/>
  <c r="I68" i="11"/>
  <c r="AD71" i="11" s="1"/>
  <c r="AF72" i="11" s="1"/>
  <c r="I58" i="11"/>
  <c r="AD60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L202" i="13" a="1"/>
  <c r="P18" i="11" a="1"/>
  <c r="P124" i="13" a="1"/>
  <c r="P90" i="16" a="1"/>
  <c r="F54" i="11" a="1"/>
  <c r="U171" i="13" a="1"/>
  <c r="L124" i="11" a="1"/>
  <c r="U93" i="11" a="1"/>
  <c r="K36" i="17"/>
  <c r="M36" i="17"/>
  <c r="M38" i="17"/>
  <c r="K37" i="17"/>
  <c r="K39" i="17"/>
  <c r="K38" i="17"/>
  <c r="I107" i="13"/>
  <c r="N35" i="17"/>
  <c r="K35" i="17"/>
  <c r="U38" i="17" l="1"/>
  <c r="U35" i="17"/>
  <c r="V35" i="17" s="1"/>
  <c r="AE35" i="17" s="1"/>
  <c r="V38" i="17"/>
  <c r="AE38" i="17" s="1"/>
  <c r="AQ29" i="11"/>
  <c r="AQ30" i="11" s="1"/>
  <c r="AQ31" i="11" s="1"/>
  <c r="AA36" i="17"/>
  <c r="T36" i="17"/>
  <c r="U36" i="17"/>
  <c r="U39" i="17"/>
  <c r="AA39" i="17"/>
  <c r="U37" i="17"/>
  <c r="AA37" i="17"/>
  <c r="L124" i="11"/>
  <c r="O126" i="11" s="1"/>
  <c r="U93" i="11"/>
  <c r="F54" i="11"/>
  <c r="P18" i="11"/>
  <c r="AD72" i="11"/>
  <c r="F68" i="11"/>
  <c r="F63" i="11" s="1"/>
  <c r="L63" i="11" s="1"/>
  <c r="R93" i="11"/>
  <c r="AD97" i="11" s="1"/>
  <c r="AD101" i="11"/>
  <c r="AD102" i="11" s="1"/>
  <c r="AD104" i="11" s="1"/>
  <c r="O103" i="11" s="1"/>
  <c r="F45" i="11"/>
  <c r="Q107" i="13"/>
  <c r="Q109" i="13" s="1"/>
  <c r="P124" i="13"/>
  <c r="L202" i="13"/>
  <c r="O204" i="13" s="1"/>
  <c r="U171" i="13"/>
  <c r="P90" i="16"/>
  <c r="M91" i="16"/>
  <c r="J91" i="16" a="1"/>
  <c r="Q63" i="11"/>
  <c r="K45" i="11" a="1"/>
  <c r="S30" i="11"/>
  <c r="U204" i="13" a="1"/>
  <c r="U103" i="11" a="1"/>
  <c r="U126" i="11" a="1"/>
  <c r="M39" i="17"/>
  <c r="M37" i="17"/>
  <c r="N36" i="17"/>
  <c r="N38" i="17"/>
  <c r="S107" i="13"/>
  <c r="S109" i="13"/>
  <c r="AL35" i="17" l="1"/>
  <c r="AF35" i="17"/>
  <c r="AI35" i="17" s="1"/>
  <c r="AL38" i="17"/>
  <c r="AF38" i="17"/>
  <c r="V36" i="17"/>
  <c r="AE36" i="17" s="1"/>
  <c r="V37" i="17"/>
  <c r="AE37" i="17" s="1"/>
  <c r="V39" i="17"/>
  <c r="AE39" i="17" s="1"/>
  <c r="P30" i="11"/>
  <c r="M28" i="11" s="1"/>
  <c r="AF97" i="11"/>
  <c r="O98" i="11" s="1"/>
  <c r="U126" i="11"/>
  <c r="U103" i="11"/>
  <c r="K45" i="11"/>
  <c r="AD83" i="11"/>
  <c r="Q142" i="11"/>
  <c r="U142" i="11" s="1"/>
  <c r="Q130" i="11"/>
  <c r="U130" i="11" s="1"/>
  <c r="M220" i="13"/>
  <c r="U204" i="13"/>
  <c r="J91" i="16"/>
  <c r="J92" i="16"/>
  <c r="P91" i="16" a="1"/>
  <c r="J93" i="16" a="1"/>
  <c r="J28" i="11" a="1"/>
  <c r="U98" i="11" a="1"/>
  <c r="N37" i="17"/>
  <c r="N39" i="17"/>
  <c r="P220" i="13"/>
  <c r="AG38" i="17" l="1"/>
  <c r="W38" i="17" s="1"/>
  <c r="AI38" i="17"/>
  <c r="AM35" i="17"/>
  <c r="AN35" i="17" s="1"/>
  <c r="Y38" i="17"/>
  <c r="Z38" i="17" s="1"/>
  <c r="AG35" i="17"/>
  <c r="W35" i="17" s="1"/>
  <c r="Y35" i="17" s="1"/>
  <c r="AL39" i="17"/>
  <c r="AF39" i="17"/>
  <c r="AF36" i="17"/>
  <c r="AI36" i="17" s="1"/>
  <c r="AL36" i="17"/>
  <c r="AL37" i="17"/>
  <c r="AF37" i="17"/>
  <c r="J28" i="11"/>
  <c r="O116" i="11"/>
  <c r="J88" i="11" s="1"/>
  <c r="U98" i="11"/>
  <c r="S86" i="11"/>
  <c r="AD84" i="11"/>
  <c r="I83" i="11" s="1"/>
  <c r="F82" i="11" s="1"/>
  <c r="N83" i="11"/>
  <c r="E227" i="13"/>
  <c r="P91" i="16"/>
  <c r="J93" i="16"/>
  <c r="X38" i="17"/>
  <c r="X35" i="17"/>
  <c r="P31" i="11" a="1"/>
  <c r="P93" i="16" a="1"/>
  <c r="V86" i="11" a="1"/>
  <c r="U116" i="11" a="1"/>
  <c r="F86" i="11" l="1"/>
  <c r="I134" i="11" s="1"/>
  <c r="AB35" i="17"/>
  <c r="AB38" i="17"/>
  <c r="AI37" i="17"/>
  <c r="AG39" i="17"/>
  <c r="W39" i="17" s="1"/>
  <c r="AI39" i="17"/>
  <c r="Z35" i="17"/>
  <c r="AG37" i="17"/>
  <c r="W37" i="17" s="1"/>
  <c r="AG36" i="17"/>
  <c r="W36" i="17" s="1"/>
  <c r="Y36" i="17" s="1"/>
  <c r="AM36" i="17"/>
  <c r="P31" i="11"/>
  <c r="O105" i="11"/>
  <c r="U116" i="11"/>
  <c r="V86" i="11"/>
  <c r="Q144" i="11"/>
  <c r="Q132" i="11"/>
  <c r="P93" i="16"/>
  <c r="X39" i="17"/>
  <c r="X37" i="17"/>
  <c r="X36" i="17"/>
  <c r="J94" i="16" a="1"/>
  <c r="I136" i="11" a="1"/>
  <c r="I136" i="11" l="1"/>
  <c r="AB39" i="17"/>
  <c r="AM37" i="17"/>
  <c r="AB37" i="17" s="1"/>
  <c r="Y39" i="17"/>
  <c r="Z39" i="17" s="1"/>
  <c r="AB36" i="17"/>
  <c r="Y37" i="17"/>
  <c r="Z37" i="17" s="1"/>
  <c r="Z36" i="17"/>
  <c r="O110" i="11"/>
  <c r="O112" i="11"/>
  <c r="K152" i="11"/>
  <c r="L153" i="11" s="1"/>
  <c r="U144" i="11"/>
  <c r="L152" i="11"/>
  <c r="U132" i="11"/>
  <c r="AD130" i="11" s="1"/>
  <c r="AD131" i="11" s="1"/>
  <c r="J94" i="16"/>
  <c r="P94" i="16" a="1"/>
  <c r="AD132" i="11" l="1"/>
  <c r="I130" i="11" s="1"/>
  <c r="AD141" i="11"/>
  <c r="AD142" i="11" s="1"/>
  <c r="AD143" i="11" s="1"/>
  <c r="I142" i="11" s="1"/>
  <c r="P94" i="16"/>
  <c r="J95" i="16"/>
  <c r="J96" i="16"/>
  <c r="P99" i="16"/>
  <c r="M97" i="16" s="1"/>
  <c r="J97" i="16" a="1"/>
  <c r="S99" i="16" a="1"/>
  <c r="I144" i="11" a="1"/>
  <c r="I132" i="11" a="1"/>
  <c r="I132" i="11" l="1"/>
  <c r="I144" i="11"/>
  <c r="T135" i="11"/>
  <c r="T152" i="11"/>
  <c r="J97" i="16"/>
  <c r="S99" i="16"/>
  <c r="P100" i="16" a="1"/>
  <c r="T153" i="11" a="1"/>
  <c r="T153" i="11" l="1"/>
  <c r="M159" i="11"/>
  <c r="Y135" i="11"/>
  <c r="V135" i="11"/>
  <c r="I159" i="11" s="1"/>
  <c r="AD158" i="11" s="1"/>
  <c r="P100" i="16"/>
  <c r="P103" i="16"/>
  <c r="M101" i="16" s="1"/>
  <c r="J101" i="16" a="1"/>
  <c r="S103" i="16" a="1"/>
  <c r="R163" i="11" l="1"/>
  <c r="AD169" i="11" s="1"/>
  <c r="AD159" i="11"/>
  <c r="AD161" i="11" s="1"/>
  <c r="J101" i="16"/>
  <c r="S103" i="16"/>
  <c r="P104" i="16" a="1"/>
  <c r="S159" i="11" l="1"/>
  <c r="AD162" i="11"/>
  <c r="AD163" i="11" s="1"/>
  <c r="S160" i="11" s="1"/>
  <c r="P104" i="16"/>
  <c r="AE117" i="16" a="1"/>
  <c r="U159" i="11" a="1"/>
  <c r="U160" i="11" a="1"/>
  <c r="U160" i="11" l="1"/>
  <c r="U159" i="11"/>
  <c r="AD171" i="11"/>
  <c r="AG177" i="11"/>
  <c r="AD170" i="11"/>
  <c r="AD172" i="11" s="1"/>
  <c r="AE117" i="16"/>
  <c r="AD120" i="16"/>
  <c r="AE118" i="16" a="1"/>
  <c r="U118" i="16" a="1"/>
  <c r="AD125" i="16" a="1"/>
  <c r="AD173" i="11" l="1"/>
  <c r="AG173" i="11" s="1"/>
  <c r="U118" i="16"/>
  <c r="AE118" i="16"/>
  <c r="AD125" i="16"/>
  <c r="F126" i="16"/>
  <c r="U120" i="16" a="1"/>
  <c r="AD127" i="16" a="1"/>
  <c r="S169" i="11" l="1"/>
  <c r="AG179" i="11"/>
  <c r="AG174" i="11"/>
  <c r="U120" i="16"/>
  <c r="AD119" i="16"/>
  <c r="AD127" i="16"/>
  <c r="O134" i="16"/>
  <c r="M131" i="16" s="1"/>
  <c r="O135" i="16"/>
  <c r="AD135" i="16" s="1"/>
  <c r="AD136" i="16"/>
  <c r="AD137" i="16" s="1"/>
  <c r="O136" i="16" s="1"/>
  <c r="P128" i="16" a="1"/>
  <c r="U128" i="16" a="1"/>
  <c r="F128" i="16" a="1"/>
  <c r="U134" i="16" a="1"/>
  <c r="U135" i="16" a="1"/>
  <c r="U136" i="16" a="1"/>
  <c r="U169" i="11" a="1"/>
  <c r="U169" i="11" l="1"/>
  <c r="S170" i="11"/>
  <c r="AG180" i="11"/>
  <c r="U134" i="16"/>
  <c r="P128" i="16"/>
  <c r="U135" i="16"/>
  <c r="U128" i="16"/>
  <c r="F128" i="16"/>
  <c r="O138" i="16"/>
  <c r="U136" i="16"/>
  <c r="O142" i="16"/>
  <c r="O146" i="16"/>
  <c r="O147" i="16"/>
  <c r="AD148" i="16" s="1"/>
  <c r="O150" i="16"/>
  <c r="O151" i="16"/>
  <c r="AD151" i="16"/>
  <c r="U142" i="16" a="1"/>
  <c r="U138" i="16" a="1"/>
  <c r="U170" i="11" a="1"/>
  <c r="U170" i="11" l="1"/>
  <c r="U142" i="16"/>
  <c r="U138" i="16"/>
  <c r="AD152" i="16"/>
  <c r="AD153" i="16" s="1"/>
  <c r="AD154" i="16"/>
  <c r="AE154" i="16" a="1"/>
  <c r="AE154" i="16" l="1"/>
  <c r="AD155" i="16" s="1"/>
  <c r="O152" i="16" s="1"/>
  <c r="U152" i="16" a="1"/>
  <c r="U152" i="16" l="1"/>
  <c r="O159" i="16"/>
  <c r="J163" i="16"/>
  <c r="J168" i="16"/>
  <c r="L168" i="16"/>
  <c r="L169" i="16" a="1"/>
  <c r="L169" i="16" l="1"/>
  <c r="O169" i="16" a="1"/>
  <c r="R169" i="16" a="1"/>
  <c r="R169" i="16" l="1"/>
  <c r="O171" i="16" s="1"/>
  <c r="O169" i="16"/>
  <c r="I193" i="16"/>
  <c r="U171" i="16" a="1"/>
  <c r="U171" i="16" l="1"/>
  <c r="V169" i="16"/>
  <c r="R196" i="16"/>
  <c r="W169" i="16" a="1"/>
  <c r="W169" i="16" l="1"/>
  <c r="I36" i="16"/>
  <c r="AD36" i="16" s="1"/>
  <c r="J36" i="16"/>
  <c r="AD11" i="16"/>
  <c r="C56" i="16"/>
  <c r="F32" i="16"/>
  <c r="E51" i="16" s="1"/>
  <c r="AD16" i="16"/>
  <c r="P25" i="1"/>
  <c r="F11" i="15"/>
  <c r="F10" i="15"/>
  <c r="M146" i="3"/>
  <c r="M147" i="3" s="1"/>
  <c r="M141" i="3"/>
  <c r="M142" i="3" s="1"/>
  <c r="M136" i="3"/>
  <c r="F77" i="3"/>
  <c r="AC73" i="3" s="1"/>
  <c r="AF55" i="3"/>
  <c r="AD12" i="16" a="1"/>
  <c r="S123" i="3" a="1"/>
  <c r="S128" i="3" a="1"/>
  <c r="F122" i="3" a="1"/>
  <c r="F124" i="3" a="1"/>
  <c r="E39" i="3" a="1"/>
  <c r="S129" i="3" a="1"/>
  <c r="E69" i="3" a="1"/>
  <c r="F128" i="3" a="1"/>
  <c r="AB97" i="3" a="1"/>
  <c r="S134" i="3" a="1"/>
  <c r="E71" i="3" a="1"/>
  <c r="N79" i="3" a="1"/>
  <c r="S125" i="3" a="1"/>
  <c r="S126" i="3" a="1"/>
  <c r="AD17" i="16" a="1"/>
  <c r="F123" i="3" a="1"/>
  <c r="S132" i="3" a="1"/>
  <c r="O32" i="16" a="1"/>
  <c r="S122" i="3" a="1"/>
  <c r="F28" i="16"/>
  <c r="F21" i="16"/>
  <c r="F125" i="3" a="1"/>
  <c r="AB96" i="3" a="1"/>
  <c r="S124" i="3" a="1"/>
  <c r="S133" i="3" a="1"/>
  <c r="N75" i="3" a="1"/>
  <c r="AD37" i="16" a="1"/>
  <c r="S130" i="3" a="1"/>
  <c r="S131" i="3" a="1"/>
  <c r="F43" i="16"/>
  <c r="F127" i="3" a="1"/>
  <c r="F126" i="3" a="1"/>
  <c r="S127" i="3" a="1"/>
  <c r="G169" i="1" a="1"/>
  <c r="G168" i="1" a="1"/>
  <c r="E7" i="1" a="1"/>
  <c r="AD176" i="1" l="1"/>
  <c r="AD177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8" i="1"/>
  <c r="G169" i="1"/>
  <c r="E7" i="1"/>
  <c r="AB96" i="3"/>
  <c r="I96" i="3" s="1"/>
  <c r="AB97" i="3"/>
  <c r="N79" i="3"/>
  <c r="N75" i="3"/>
  <c r="E71" i="3"/>
  <c r="E69" i="3"/>
  <c r="E39" i="3"/>
  <c r="AC33" i="3"/>
  <c r="AC32" i="3"/>
  <c r="J18" i="1"/>
  <c r="O43" i="16"/>
  <c r="V132" i="3" a="1"/>
  <c r="V128" i="3" a="1"/>
  <c r="V126" i="3" a="1"/>
  <c r="N69" i="3" a="1"/>
  <c r="I122" i="3" a="1"/>
  <c r="E41" i="3" a="1"/>
  <c r="E35" i="3" a="1"/>
  <c r="V124" i="3" a="1"/>
  <c r="V131" i="3" a="1"/>
  <c r="U148" i="16" a="1"/>
  <c r="N71" i="3" a="1"/>
  <c r="G9" i="3" a="1"/>
  <c r="O16" i="16" a="1"/>
  <c r="V129" i="3" a="1"/>
  <c r="O28" i="16" a="1"/>
  <c r="V134" i="3" a="1"/>
  <c r="I128" i="3" a="1"/>
  <c r="I127" i="3" a="1"/>
  <c r="I123" i="3" a="1"/>
  <c r="E33" i="3" a="1"/>
  <c r="V123" i="3" a="1"/>
  <c r="J11" i="3" a="1"/>
  <c r="O21" i="16"/>
  <c r="U181" i="13" a="1"/>
  <c r="O36" i="16" a="1"/>
  <c r="K60" i="16"/>
  <c r="V133" i="3" a="1"/>
  <c r="O11" i="16" a="1"/>
  <c r="U143" i="16" a="1"/>
  <c r="U176" i="13" a="1"/>
  <c r="V127" i="3" a="1"/>
  <c r="V130" i="3" a="1"/>
  <c r="I126" i="3" a="1"/>
  <c r="O98" i="3" a="1"/>
  <c r="I124" i="3" a="1"/>
  <c r="V125" i="3" a="1"/>
  <c r="S9" i="3" a="1"/>
  <c r="V122" i="3" a="1"/>
  <c r="I125" i="3" a="1"/>
  <c r="U148" i="16" l="1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N39" i="3" a="1"/>
  <c r="N41" i="3" a="1"/>
  <c r="J9" i="3" a="1"/>
  <c r="N33" i="3" a="1"/>
  <c r="U161" i="16" a="1"/>
  <c r="V9" i="3" a="1"/>
  <c r="V164" i="13" a="1"/>
  <c r="U194" i="13" a="1"/>
  <c r="V131" i="16" a="1"/>
  <c r="N35" i="3" a="1"/>
  <c r="V131" i="16" l="1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Q176" i="16" s="1"/>
  <c r="I175" i="16" s="1"/>
  <c r="J133" i="16"/>
  <c r="X55" i="13"/>
  <c r="V70" i="13"/>
  <c r="V72" i="13" s="1"/>
  <c r="S181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X72" i="13"/>
  <c r="AD56" i="10" a="1"/>
  <c r="R101" i="10" a="1"/>
  <c r="AD11" i="10" a="1"/>
  <c r="AD54" i="10" a="1"/>
  <c r="N101" i="10" a="1"/>
  <c r="I177" i="16" a="1"/>
  <c r="AD25" i="10" a="1"/>
  <c r="I210" i="13" a="1"/>
  <c r="AE47" i="10" a="1"/>
  <c r="AE46" i="10" a="1"/>
  <c r="N39" i="10" a="1"/>
  <c r="AD35" i="10" a="1"/>
  <c r="AD30" i="10" a="1"/>
  <c r="J17" i="10" a="1"/>
  <c r="J16" i="10" a="1"/>
  <c r="U70" i="10" a="1"/>
  <c r="AD8" i="10" a="1"/>
  <c r="B88" i="13" l="1"/>
  <c r="I177" i="16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O72" i="10" s="1"/>
  <c r="N39" i="10"/>
  <c r="AD54" i="10"/>
  <c r="AD8" i="10"/>
  <c r="AD30" i="10"/>
  <c r="F29" i="10" s="1"/>
  <c r="AD35" i="10"/>
  <c r="N34" i="10" s="1"/>
  <c r="M61" i="10"/>
  <c r="J22" i="1"/>
  <c r="M23" i="1"/>
  <c r="P29" i="1"/>
  <c r="AD75" i="1"/>
  <c r="AD73" i="1"/>
  <c r="AD67" i="1"/>
  <c r="AD66" i="1"/>
  <c r="AD69" i="1"/>
  <c r="AD49" i="1"/>
  <c r="AD48" i="1"/>
  <c r="AD57" i="1"/>
  <c r="AD55" i="1"/>
  <c r="AD51" i="1"/>
  <c r="AD35" i="1"/>
  <c r="I117" i="13" a="1"/>
  <c r="X72" i="16"/>
  <c r="U76" i="10" a="1"/>
  <c r="X86" i="13"/>
  <c r="X87" i="13"/>
  <c r="X84" i="13"/>
  <c r="P57" i="10" a="1"/>
  <c r="X85" i="13"/>
  <c r="O24" i="10" a="1"/>
  <c r="X83" i="13"/>
  <c r="U57" i="10" a="1"/>
  <c r="AE88" i="10" a="1"/>
  <c r="I113" i="13"/>
  <c r="U49" i="10" a="1"/>
  <c r="U47" i="10" a="1"/>
  <c r="Q39" i="10" a="1"/>
  <c r="Q34" i="10" a="1"/>
  <c r="O29" i="10" a="1"/>
  <c r="P16" i="10" a="1"/>
  <c r="U69" i="10" a="1"/>
  <c r="AD58" i="1" a="1"/>
  <c r="R123" i="1" a="1"/>
  <c r="O123" i="1" a="1"/>
  <c r="AD74" i="1" a="1"/>
  <c r="AD76" i="1" a="1"/>
  <c r="AD36" i="1" a="1"/>
  <c r="AD41" i="1" a="1"/>
  <c r="AD56" i="1" a="1"/>
  <c r="AE66" i="1" a="1"/>
  <c r="AE48" i="1" a="1"/>
  <c r="AE67" i="1" a="1"/>
  <c r="AE49" i="1" a="1"/>
  <c r="S29" i="1" a="1"/>
  <c r="S25" i="1" a="1"/>
  <c r="E84" i="16" l="1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R123" i="1"/>
  <c r="O123" i="1"/>
  <c r="S29" i="1"/>
  <c r="S25" i="1"/>
  <c r="AE66" i="1"/>
  <c r="AE67" i="1"/>
  <c r="AE49" i="1"/>
  <c r="AE48" i="1"/>
  <c r="AD74" i="1"/>
  <c r="AD76" i="1"/>
  <c r="AD58" i="1"/>
  <c r="AD56" i="1"/>
  <c r="AD41" i="1"/>
  <c r="F40" i="1" s="1"/>
  <c r="E159" i="1" s="1"/>
  <c r="AD36" i="1"/>
  <c r="F35" i="1" s="1"/>
  <c r="E158" i="1" s="1"/>
  <c r="F155" i="13" a="1"/>
  <c r="U86" i="10" a="1"/>
  <c r="G94" i="13"/>
  <c r="G96" i="13"/>
  <c r="I80" i="16"/>
  <c r="G92" i="13"/>
  <c r="G93" i="13"/>
  <c r="G95" i="13"/>
  <c r="I84" i="16" a="1"/>
  <c r="W101" i="10" a="1"/>
  <c r="J33" i="10" a="1"/>
  <c r="L101" i="10" a="1"/>
  <c r="E12" i="10" a="1"/>
  <c r="G7" i="10" a="1"/>
  <c r="U69" i="1" a="1"/>
  <c r="U59" i="1" a="1"/>
  <c r="O40" i="1" a="1"/>
  <c r="U67" i="1" a="1"/>
  <c r="O35" i="1" a="1"/>
  <c r="U51" i="1" a="1"/>
  <c r="U77" i="1" a="1"/>
  <c r="P77" i="1" a="1"/>
  <c r="P59" i="1" a="1"/>
  <c r="U49" i="1" a="1"/>
  <c r="I84" i="16" l="1"/>
  <c r="I118" i="16"/>
  <c r="AD121" i="16" s="1"/>
  <c r="AD122" i="16" s="1"/>
  <c r="F118" i="16" s="1"/>
  <c r="I126" i="16"/>
  <c r="AD128" i="16" s="1"/>
  <c r="F155" i="13"/>
  <c r="F146" i="13"/>
  <c r="I46" i="3"/>
  <c r="AD53" i="3"/>
  <c r="U49" i="3" s="1"/>
  <c r="I49" i="3"/>
  <c r="O40" i="1"/>
  <c r="O35" i="1"/>
  <c r="K150" i="1"/>
  <c r="Q142" i="1"/>
  <c r="Q130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V123" i="1"/>
  <c r="U69" i="1"/>
  <c r="U67" i="1"/>
  <c r="U77" i="1"/>
  <c r="U59" i="1"/>
  <c r="P59" i="1"/>
  <c r="P77" i="1"/>
  <c r="AD68" i="1"/>
  <c r="AD50" i="1"/>
  <c r="U49" i="1"/>
  <c r="U51" i="1"/>
  <c r="E46" i="3" a="1"/>
  <c r="L49" i="3" a="1"/>
  <c r="L46" i="3" a="1"/>
  <c r="E49" i="3" a="1"/>
  <c r="F122" i="16" a="1"/>
  <c r="K146" i="13" a="1"/>
  <c r="H108" i="10" a="1"/>
  <c r="F51" i="10" a="1"/>
  <c r="F57" i="10" a="1"/>
  <c r="J15" i="1" a="1"/>
  <c r="W123" i="1" a="1"/>
  <c r="F122" i="16" l="1"/>
  <c r="F113" i="16"/>
  <c r="K146" i="13"/>
  <c r="Q210" i="13"/>
  <c r="S215" i="13"/>
  <c r="E49" i="3"/>
  <c r="L49" i="3"/>
  <c r="E46" i="3"/>
  <c r="L46" i="3"/>
  <c r="F57" i="10"/>
  <c r="H108" i="10"/>
  <c r="F51" i="10"/>
  <c r="F42" i="10"/>
  <c r="AD62" i="10" s="1"/>
  <c r="W123" i="1"/>
  <c r="J15" i="1"/>
  <c r="K113" i="16" a="1"/>
  <c r="P15" i="1" a="1"/>
  <c r="K113" i="16" l="1"/>
  <c r="Q177" i="16"/>
  <c r="S182" i="16"/>
  <c r="AD217" i="13"/>
  <c r="AC214" i="13"/>
  <c r="AC215" i="13"/>
  <c r="U215" i="13" s="1"/>
  <c r="AD216" i="13"/>
  <c r="AD218" i="13"/>
  <c r="L42" i="10"/>
  <c r="AD63" i="10"/>
  <c r="I62" i="10" s="1"/>
  <c r="N62" i="10"/>
  <c r="P15" i="1"/>
  <c r="AD90" i="1"/>
  <c r="AD91" i="1" s="1"/>
  <c r="O90" i="1" s="1"/>
  <c r="AD10" i="1"/>
  <c r="AD9" i="1"/>
  <c r="P17" i="10" a="1"/>
  <c r="I63" i="10" a="1"/>
  <c r="J19" i="1" a="1"/>
  <c r="U90" i="1" a="1"/>
  <c r="AD11" i="1" a="1"/>
  <c r="AD8" i="1" a="1"/>
  <c r="AD184" i="16" l="1"/>
  <c r="AD185" i="16"/>
  <c r="AD183" i="16"/>
  <c r="AC182" i="16"/>
  <c r="U182" i="16" s="1"/>
  <c r="AC181" i="16"/>
  <c r="AC219" i="13"/>
  <c r="M219" i="13" s="1"/>
  <c r="U214" i="13"/>
  <c r="P17" i="10"/>
  <c r="O68" i="10"/>
  <c r="I63" i="10"/>
  <c r="F61" i="10"/>
  <c r="U90" i="1"/>
  <c r="J19" i="1"/>
  <c r="AD11" i="1"/>
  <c r="AD8" i="1"/>
  <c r="D124" i="10"/>
  <c r="D123" i="10"/>
  <c r="D26" i="4"/>
  <c r="AC26" i="4" s="1"/>
  <c r="AE26" i="4" s="1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P219" i="13"/>
  <c r="U68" i="10" a="1"/>
  <c r="M20" i="1"/>
  <c r="J20" i="1" s="1"/>
  <c r="P19" i="1" a="1"/>
  <c r="U181" i="16" l="1"/>
  <c r="AC186" i="16"/>
  <c r="M186" i="16" s="1"/>
  <c r="E226" i="13"/>
  <c r="S226" i="13" s="1"/>
  <c r="U68" i="10"/>
  <c r="J100" i="10"/>
  <c r="O103" i="10" s="1"/>
  <c r="P111" i="10"/>
  <c r="P119" i="10"/>
  <c r="E11" i="1"/>
  <c r="P19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1" i="1"/>
  <c r="O100" i="1"/>
  <c r="K15" i="3"/>
  <c r="K16" i="3"/>
  <c r="O105" i="1"/>
  <c r="AD106" i="1" s="1"/>
  <c r="AD107" i="1" s="1"/>
  <c r="J21" i="1"/>
  <c r="AD105" i="1" s="1"/>
  <c r="AD108" i="1" s="1"/>
  <c r="P186" i="16"/>
  <c r="U226" i="13" a="1"/>
  <c r="U103" i="10" a="1"/>
  <c r="U72" i="10" a="1"/>
  <c r="E12" i="1" a="1"/>
  <c r="I7" i="1" a="1"/>
  <c r="AE108" i="1" a="1"/>
  <c r="E193" i="16" l="1"/>
  <c r="S193" i="16" s="1"/>
  <c r="F31" i="6"/>
  <c r="G31" i="6" s="1"/>
  <c r="U226" i="13"/>
  <c r="AG238" i="13"/>
  <c r="S235" i="13" s="1"/>
  <c r="AG239" i="13"/>
  <c r="S236" i="13" s="1"/>
  <c r="AE108" i="1"/>
  <c r="AD109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E12" i="1"/>
  <c r="R72" i="10"/>
  <c r="AD76" i="10" s="1"/>
  <c r="O77" i="10" s="1"/>
  <c r="AD80" i="10"/>
  <c r="AD81" i="10" s="1"/>
  <c r="U72" i="10"/>
  <c r="U103" i="10"/>
  <c r="J97" i="10"/>
  <c r="AD102" i="1"/>
  <c r="M27" i="1"/>
  <c r="I7" i="1"/>
  <c r="H31" i="6"/>
  <c r="I31" i="6" s="1"/>
  <c r="J31" i="6" s="1"/>
  <c r="AD13" i="4"/>
  <c r="AE9" i="4" s="1"/>
  <c r="AL27" i="4"/>
  <c r="AL24" i="4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1" i="1"/>
  <c r="U193" i="16" a="1"/>
  <c r="J90" i="3" a="1"/>
  <c r="P86" i="3" a="1"/>
  <c r="P84" i="3" a="1"/>
  <c r="E60" i="3" a="1"/>
  <c r="J89" i="3" a="1"/>
  <c r="U235" i="13" a="1"/>
  <c r="U236" i="13" a="1"/>
  <c r="L60" i="3" a="1"/>
  <c r="U77" i="10" a="1"/>
  <c r="J27" i="1" a="1"/>
  <c r="J23" i="1" a="1"/>
  <c r="U193" i="16" l="1"/>
  <c r="AG206" i="16"/>
  <c r="S203" i="16" s="1"/>
  <c r="AG205" i="16"/>
  <c r="S202" i="16" s="1"/>
  <c r="AM24" i="4"/>
  <c r="AG9" i="4"/>
  <c r="AM9" i="4"/>
  <c r="AP11" i="4" s="1"/>
  <c r="AL9" i="4"/>
  <c r="AK9" i="4"/>
  <c r="AP10" i="4" s="1"/>
  <c r="AJ9" i="4"/>
  <c r="AI9" i="4"/>
  <c r="AH9" i="4"/>
  <c r="AF9" i="4"/>
  <c r="U236" i="13"/>
  <c r="U235" i="13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AD83" i="10"/>
  <c r="O82" i="10" s="1"/>
  <c r="U77" i="10"/>
  <c r="O106" i="1"/>
  <c r="O113" i="1" s="1"/>
  <c r="J27" i="1"/>
  <c r="J23" i="1"/>
  <c r="AJ10" i="4"/>
  <c r="AP8" i="4"/>
  <c r="AH10" i="4"/>
  <c r="AF10" i="4"/>
  <c r="AP9" i="4"/>
  <c r="AL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202" i="16" a="1"/>
  <c r="U203" i="16" a="1"/>
  <c r="U82" i="10" a="1"/>
  <c r="P26" i="1" a="1"/>
  <c r="P30" i="1" a="1"/>
  <c r="V65" i="10" l="1"/>
  <c r="O95" i="10"/>
  <c r="F65" i="10" s="1"/>
  <c r="U202" i="16"/>
  <c r="U203" i="16"/>
  <c r="U82" i="10"/>
  <c r="O91" i="10"/>
  <c r="O89" i="10"/>
  <c r="P26" i="1"/>
  <c r="P30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J65" i="10" a="1"/>
  <c r="U95" i="10" a="1"/>
  <c r="Y65" i="10" a="1"/>
  <c r="J67" i="10" l="1"/>
  <c r="U95" i="10"/>
  <c r="Y65" i="10"/>
  <c r="J65" i="10"/>
  <c r="P115" i="10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C35" i="4" l="1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B46" i="4" l="1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7" i="1"/>
  <c r="AD70" i="1" s="1"/>
  <c r="AF71" i="1" s="1"/>
  <c r="AD71" i="1" s="1"/>
  <c r="I75" i="1"/>
  <c r="AF77" i="1" l="1"/>
  <c r="AD77" i="1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89" i="1"/>
  <c r="L150" i="1"/>
  <c r="O104" i="1"/>
  <c r="U89" i="1" a="1"/>
  <c r="F75" i="1" l="1"/>
  <c r="F67" i="1"/>
  <c r="U89" i="1"/>
  <c r="AD89" i="1"/>
  <c r="O96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2" i="1"/>
  <c r="U142" i="1"/>
  <c r="U130" i="1"/>
  <c r="L123" i="1" a="1"/>
  <c r="F77" i="1" a="1"/>
  <c r="U96" i="1" a="1"/>
  <c r="F62" i="1" l="1"/>
  <c r="F77" i="1"/>
  <c r="L123" i="1"/>
  <c r="U96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U106" i="1" a="1"/>
  <c r="AD82" i="1" l="1"/>
  <c r="AD83" i="1" s="1"/>
  <c r="I82" i="1" s="1"/>
  <c r="V136" i="1"/>
  <c r="U106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X136" i="1"/>
  <c r="P17" i="1" a="1"/>
  <c r="N82" i="1" l="1"/>
  <c r="P17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49" i="1"/>
  <c r="AD52" i="1" s="1"/>
  <c r="AD53" i="1" s="1"/>
  <c r="F49" i="1" s="1"/>
  <c r="I57" i="1"/>
  <c r="AD59" i="1" s="1"/>
  <c r="F53" i="1" a="1"/>
  <c r="F53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7" i="1"/>
  <c r="F44" i="1" s="1"/>
  <c r="V135" i="1" s="1"/>
  <c r="X135" i="1"/>
  <c r="F59" i="1" a="1"/>
  <c r="K44" i="1" a="1"/>
  <c r="K44" i="1" l="1"/>
  <c r="Q141" i="1"/>
  <c r="Q129" i="1"/>
  <c r="F59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29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1" i="1"/>
  <c r="L62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1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1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1" i="1"/>
  <c r="Q143" i="1"/>
  <c r="L151" i="1" s="1"/>
  <c r="AJ112" i="10" l="1"/>
  <c r="AL112" i="10" s="1"/>
  <c r="AO112" i="10"/>
  <c r="AK112" i="10"/>
  <c r="AM112" i="10"/>
  <c r="AN112" i="10" s="1"/>
  <c r="T115" i="10"/>
  <c r="AQ108" i="10"/>
  <c r="AP108" i="10"/>
  <c r="U143" i="1"/>
  <c r="K151" i="1"/>
  <c r="L152" i="1" s="1"/>
  <c r="U131" i="1"/>
  <c r="AD129" i="1" s="1"/>
  <c r="AD130" i="1" l="1"/>
  <c r="AP112" i="10"/>
  <c r="AQ112" i="10"/>
  <c r="P120" i="10"/>
  <c r="T120" i="10" s="1"/>
  <c r="AT108" i="10"/>
  <c r="AR108" i="10"/>
  <c r="AU108" i="10" s="1"/>
  <c r="AV108" i="10" s="1"/>
  <c r="P20" i="1" a="1"/>
  <c r="AD131" i="1" l="1"/>
  <c r="I129" i="1" s="1"/>
  <c r="AD140" i="1"/>
  <c r="AD141" i="1" s="1"/>
  <c r="AD142" i="1" s="1"/>
  <c r="I141" i="1" s="1"/>
  <c r="AD118" i="10"/>
  <c r="H118" i="10" s="1"/>
  <c r="P20" i="1"/>
  <c r="O88" i="1"/>
  <c r="AT112" i="10"/>
  <c r="AR112" i="10"/>
  <c r="AU112" i="10" s="1"/>
  <c r="AV112" i="10" s="1"/>
  <c r="AP115" i="10"/>
  <c r="AW108" i="10"/>
  <c r="H120" i="10" a="1"/>
  <c r="U88" i="1" a="1"/>
  <c r="I131" i="1" a="1"/>
  <c r="I143" i="1" a="1"/>
  <c r="I131" i="1" l="1"/>
  <c r="H120" i="10"/>
  <c r="I143" i="1"/>
  <c r="T151" i="1"/>
  <c r="M158" i="1" s="1"/>
  <c r="R162" i="1" s="1"/>
  <c r="AD168" i="1" s="1"/>
  <c r="U88" i="1"/>
  <c r="J122" i="1"/>
  <c r="O125" i="1" s="1"/>
  <c r="J117" i="1" s="1"/>
  <c r="M85" i="1"/>
  <c r="O92" i="1"/>
  <c r="AW112" i="10"/>
  <c r="AI120" i="10"/>
  <c r="AS120" i="10" s="1"/>
  <c r="AH120" i="10"/>
  <c r="AG120" i="10"/>
  <c r="AL115" i="10"/>
  <c r="AG115" i="10"/>
  <c r="AH115" i="10" s="1"/>
  <c r="BB108" i="10"/>
  <c r="AX108" i="10"/>
  <c r="U125" i="1" a="1"/>
  <c r="U92" i="1" a="1"/>
  <c r="T152" i="1" a="1"/>
  <c r="AD158" i="1" l="1"/>
  <c r="T152" i="1"/>
  <c r="U125" i="1"/>
  <c r="U92" i="1"/>
  <c r="R92" i="1"/>
  <c r="AD96" i="1" s="1"/>
  <c r="O97" i="1" s="1"/>
  <c r="AD100" i="1"/>
  <c r="AD101" i="1" s="1"/>
  <c r="AD103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7" i="1" a="1"/>
  <c r="AM120" i="10" l="1"/>
  <c r="AN120" i="10" s="1"/>
  <c r="AK120" i="10"/>
  <c r="U97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2" i="1" l="1"/>
  <c r="AT120" i="10"/>
  <c r="AR120" i="10"/>
  <c r="AU120" i="10" s="1"/>
  <c r="AV120" i="10" s="1"/>
  <c r="AQ115" i="10"/>
  <c r="AT115" i="10"/>
  <c r="AU115" i="10" s="1"/>
  <c r="I83" i="1"/>
  <c r="U102" i="1" a="1"/>
  <c r="U102" i="1" l="1"/>
  <c r="O111" i="1"/>
  <c r="O115" i="1"/>
  <c r="O109" i="1"/>
  <c r="S85" i="1"/>
  <c r="F85" i="1"/>
  <c r="I133" i="1" s="1"/>
  <c r="T134" i="1" s="1"/>
  <c r="AW120" i="10"/>
  <c r="AV115" i="10"/>
  <c r="AW115" i="10" s="1"/>
  <c r="AX115" i="10" s="1"/>
  <c r="U115" i="1" a="1"/>
  <c r="I135" i="1" a="1"/>
  <c r="V85" i="1" a="1"/>
  <c r="I135" i="1" l="1"/>
  <c r="X134" i="1"/>
  <c r="U115" i="1"/>
  <c r="V85" i="1"/>
  <c r="BB120" i="10"/>
  <c r="AX120" i="10"/>
  <c r="AY115" i="10"/>
  <c r="J87" i="1"/>
  <c r="AY120" i="10" l="1"/>
  <c r="AZ120" i="10" l="1"/>
  <c r="BA120" i="10" s="1"/>
  <c r="BC120" i="10" s="1"/>
  <c r="V134" i="1"/>
  <c r="I158" i="1" s="1"/>
  <c r="AD157" i="1" s="1"/>
  <c r="V11" i="3" a="1"/>
  <c r="AD160" i="1" l="1"/>
  <c r="V11" i="3"/>
  <c r="S158" i="1" l="1"/>
  <c r="AD161" i="1"/>
  <c r="AD162" i="1" s="1"/>
  <c r="S159" i="1" s="1"/>
  <c r="AD170" i="1" s="1"/>
  <c r="U158" i="1" a="1"/>
  <c r="U159" i="1" a="1"/>
  <c r="AG176" i="1" l="1"/>
  <c r="AD169" i="1"/>
  <c r="AD171" i="1" s="1"/>
  <c r="U159" i="1"/>
  <c r="U158" i="1"/>
  <c r="AD172" i="1" l="1"/>
  <c r="AG172" i="1" s="1"/>
  <c r="S168" i="1" l="1"/>
  <c r="AG178" i="1"/>
  <c r="AG173" i="1"/>
  <c r="U168" i="1" a="1"/>
  <c r="U168" i="1" l="1"/>
  <c r="S169" i="1"/>
  <c r="AG179" i="1"/>
  <c r="U169" i="1" a="1"/>
  <c r="U16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<sst xmlns="http://schemas.openxmlformats.org/spreadsheetml/2006/main" count="2308" uniqueCount="717">
  <si>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</si>
  <si>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</si>
  <si>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</si>
  <si>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</si>
  <si>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</si>
  <si>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</si>
  <si>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</si>
  <si>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</si>
  <si>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</si>
  <si>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</si>
  <si>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</si>
  <si>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</si>
  <si>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</si>
  <si>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</si>
  <si>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</si>
  <si>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</si>
  <si>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</si>
  <si>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</si>
  <si>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</si>
  <si>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</si>
  <si>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</si>
  <si>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</si>
  <si>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</si>
  <si>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</si>
  <si>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</si>
  <si>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</si>
  <si>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</si>
  <si>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</si>
  <si>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</si>
  <si>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</si>
  <si>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</si>
  <si>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</si>
  <si>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</si>
  <si>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</si>
  <si>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</si>
  <si>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</si>
  <si>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</si>
  <si>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</si>
  <si>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</si>
  <si>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</si>
  <si>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</si>
  <si>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</si>
  <si>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</si>
  <si>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</si>
  <si>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</si>
  <si>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</si>
  <si>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</si>
  <si>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</si>
  <si>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</si>
  <si>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</si>
  <si>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</si>
  <si>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</si>
  <si>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</si>
  <si>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</si>
  <si>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</si>
  <si>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</si>
  <si>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</si>
  <si>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</si>
  <si>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</si>
  <si>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</si>
  <si>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</si>
  <si>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</si>
  <si>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</si>
  <si>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</si>
  <si>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</si>
  <si>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</si>
  <si>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</si>
  <si>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</si>
  <si>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</si>
  <si>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</si>
  <si>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</si>
  <si>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</si>
  <si>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</si>
  <si>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</si>
  <si>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</si>
  <si>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</si>
  <si>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</si>
  <si>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</si>
  <si>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</si>
  <si>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</si>
  <si>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</si>
  <si>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</si>
  <si>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</si>
  <si>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</si>
  <si>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</si>
  <si>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</si>
  <si>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</si>
  <si>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</si>
  <si>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</si>
  <si>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</si>
  <si>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</si>
  <si>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</si>
  <si>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</si>
  <si>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</si>
  <si>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</si>
  <si>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</si>
  <si>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</si>
  <si>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</si>
  <si>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</si>
  <si>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</si>
  <si>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</si>
  <si>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</si>
  <si>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</si>
  <si>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</si>
  <si>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</si>
  <si>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</si>
  <si>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</si>
  <si>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</si>
  <si>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</si>
  <si>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</si>
  <si>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</si>
  <si>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</si>
  <si>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</si>
  <si>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</si>
  <si>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</si>
  <si>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</si>
  <si>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</si>
  <si>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</si>
  <si>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</si>
  <si>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</si>
  <si>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</si>
  <si>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</si>
  <si>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</si>
  <si>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</si>
  <si>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</si>
  <si>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</si>
  <si>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</si>
  <si>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</si>
  <si>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</si>
  <si>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</si>
  <si>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</si>
  <si>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</si>
  <si>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</si>
  <si>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</si>
  <si>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</si>
  <si>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</si>
  <si>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</si>
  <si>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</si>
  <si>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</si>
  <si>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</si>
  <si>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</si>
  <si>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</si>
  <si>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</si>
  <si>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</si>
  <si>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</si>
  <si>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</si>
  <si>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</si>
  <si>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</si>
  <si>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</si>
  <si>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</si>
  <si>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</si>
  <si>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</si>
  <si>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</si>
  <si>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</si>
  <si>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</si>
  <si>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</si>
  <si>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</si>
  <si>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</si>
  <si>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</si>
  <si>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</si>
  <si>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</si>
  <si>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</si>
  <si>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</si>
  <si>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</si>
  <si>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</si>
  <si>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</si>
  <si>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</si>
  <si>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</si>
  <si>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</si>
  <si>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</si>
  <si>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</si>
  <si>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</si>
  <si>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</si>
  <si>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</si>
  <si>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</si>
  <si>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</si>
  <si>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</si>
  <si>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</si>
  <si>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</si>
  <si>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</si>
  <si>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</si>
  <si>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</si>
  <si>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</si>
  <si>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</si>
  <si>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</si>
  <si>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</si>
  <si>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</si>
  <si>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</si>
  <si>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</si>
  <si>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</si>
  <si>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</si>
  <si>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</si>
  <si>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</si>
  <si>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</si>
  <si>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</si>
  <si>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</si>
  <si>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</si>
  <si>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</si>
  <si>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</si>
  <si>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</si>
  <si>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</si>
  <si>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</si>
  <si>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</si>
  <si>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</si>
  <si>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</si>
  <si>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</si>
  <si>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</si>
  <si>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</si>
  <si>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</si>
  <si>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</si>
  <si>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</si>
  <si>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</si>
  <si>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</si>
  <si>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</si>
  <si>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</si>
  <si>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</si>
  <si>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</si>
  <si>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</si>
  <si>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</si>
  <si>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</si>
  <si>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</si>
  <si>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</si>
  <si>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</si>
  <si>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</si>
  <si>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</si>
  <si>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</si>
  <si>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</si>
  <si>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</si>
  <si>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</si>
  <si>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</si>
  <si>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</si>
  <si>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</si>
  <si>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</si>
  <si>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</si>
  <si>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</si>
  <si>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</si>
  <si>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</si>
  <si>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</si>
  <si>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</si>
  <si>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</si>
  <si>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</si>
  <si>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</si>
  <si>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</si>
  <si>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</si>
  <si>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</si>
  <si>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</si>
  <si>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</si>
  <si>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</si>
  <si>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</si>
  <si>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</si>
  <si>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</si>
  <si>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</si>
  <si>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</si>
  <si>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</si>
  <si>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</si>
  <si>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</si>
  <si>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</si>
  <si>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</si>
  <si>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</si>
  <si>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</si>
  <si>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</si>
  <si>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</si>
  <si>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</si>
  <si>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</si>
  <si>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</si>
  <si>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</si>
  <si>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</si>
  <si>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</si>
  <si>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</si>
  <si>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</si>
  <si>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</si>
  <si>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</si>
  <si>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</si>
  <si>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</si>
  <si>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</si>
  <si>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</si>
  <si>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</si>
  <si>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</si>
  <si>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</si>
  <si>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</si>
  <si>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</si>
  <si>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</si>
  <si>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</si>
  <si>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</si>
  <si>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</si>
  <si>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</si>
  <si>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</si>
  <si>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</si>
  <si>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</si>
  <si>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</si>
  <si>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</si>
  <si>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</si>
  <si>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</si>
  <si>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</si>
  <si>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</si>
  <si>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</si>
  <si>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</si>
  <si>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</si>
  <si>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</si>
  <si>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</si>
  <si>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</si>
  <si>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</si>
  <si>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</si>
  <si>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</si>
  <si>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</si>
  <si>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</si>
  <si>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</si>
  <si>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</si>
  <si>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</si>
  <si>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</si>
  <si>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</si>
  <si>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</si>
  <si>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</si>
  <si>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</si>
  <si>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</si>
  <si>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</si>
  <si>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</si>
  <si>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</si>
  <si>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</si>
  <si>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</si>
  <si>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</si>
  <si>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</si>
  <si>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</si>
  <si>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</si>
  <si>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</si>
  <si>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</si>
  <si>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</si>
  <si>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</si>
  <si>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</si>
  <si>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</si>
  <si>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</si>
  <si>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</si>
  <si>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</si>
  <si>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</si>
  <si>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</si>
  <si>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</si>
  <si>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</si>
  <si>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</si>
  <si>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</si>
  <si>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</si>
  <si>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</si>
  <si>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</si>
  <si>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</si>
  <si>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</si>
  <si>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</si>
  <si>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</si>
  <si>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</si>
  <si>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</si>
  <si>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</si>
  <si>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</si>
  <si>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</si>
  <si>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</si>
  <si>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</si>
  <si>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</si>
  <si>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</si>
  <si>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</si>
  <si>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</si>
  <si>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SHA Polaire</t>
  </si>
  <si>
    <t>-pd * s / c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</si>
  <si>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</si>
  <si>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</si>
  <si>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</si>
  <si>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</si>
  <si>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</si>
  <si>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</si>
  <si>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</si>
  <si>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</si>
  <si>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</si>
  <si>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</si>
  <si>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</si>
  <si>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</si>
  <si>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</si>
  <si>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</si>
  <si>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</si>
  <si>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</si>
  <si>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</si>
  <si>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</si>
  <si>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</si>
  <si>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</si>
  <si>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</si>
  <si>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</si>
  <si>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</si>
  <si>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</si>
  <si>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</si>
  <si>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</si>
  <si>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</si>
  <si>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</si>
  <si>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</si>
  <si>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</si>
  <si>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</si>
  <si>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</si>
  <si>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</si>
  <si>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</si>
  <si>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</si>
  <si>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</si>
  <si>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</si>
  <si>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</si>
  <si>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</si>
  <si>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</si>
  <si>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</si>
  <si>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</si>
  <si>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</si>
  <si>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</si>
  <si>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</si>
  <si>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</si>
  <si>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</si>
  <si>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</si>
  <si>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</si>
  <si>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</si>
  <si>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</si>
  <si>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</si>
  <si>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</si>
  <si>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</si>
  <si>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</si>
  <si>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</si>
  <si>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</si>
  <si>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</si>
  <si>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</si>
  <si>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</si>
  <si>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</si>
  <si>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</si>
  <si>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</si>
  <si>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</si>
  <si>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</si>
  <si>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</si>
  <si>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</si>
  <si>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</si>
  <si>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</si>
  <si>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</si>
  <si>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</si>
  <si>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</si>
  <si>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</si>
  <si>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</si>
  <si>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</si>
  <si>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</si>
  <si>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</si>
  <si>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</si>
  <si>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</si>
  <si>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</si>
  <si>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</si>
  <si>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</si>
  <si>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</si>
  <si>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</si>
  <si>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</si>
  <si>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</si>
  <si>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</si>
  <si>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</si>
  <si>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</si>
  <si>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</si>
  <si>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</si>
  <si>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</si>
  <si>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</si>
  <si>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</si>
  <si>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</si>
  <si>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</si>
  <si>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</si>
  <si>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</si>
  <si>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</si>
  <si>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</si>
  <si>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</si>
  <si>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</si>
  <si>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</si>
  <si>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</si>
  <si>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</si>
  <si>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</si>
  <si>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</si>
  <si>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</si>
  <si>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</si>
  <si>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</si>
  <si>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</si>
  <si>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</si>
  <si>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</si>
  <si>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</si>
  <si>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</si>
  <si>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</si>
  <si>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</si>
  <si>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</si>
  <si>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</si>
  <si>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</si>
  <si>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</si>
  <si>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</si>
  <si>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</si>
  <si>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</si>
  <si>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</si>
  <si>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</si>
  <si>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</si>
  <si>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</si>
  <si>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</si>
  <si>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</si>
  <si>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</si>
  <si>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</si>
  <si>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</si>
  <si>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</si>
  <si>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</si>
  <si>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</si>
  <si>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</si>
  <si>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</si>
  <si>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</si>
  <si>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</si>
  <si>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</si>
  <si>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</si>
  <si>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</si>
  <si>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</si>
  <si>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</si>
  <si>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</si>
  <si>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</si>
  <si>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</si>
  <si>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</si>
  <si>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</si>
  <si>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</si>
  <si>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</si>
  <si>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</si>
  <si>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</si>
  <si>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</si>
  <si>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</si>
  <si>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</si>
  <si>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</si>
  <si>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</si>
  <si>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</si>
  <si>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</si>
  <si>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</si>
  <si>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</si>
  <si>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</si>
  <si>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</si>
  <si>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</si>
  <si>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</si>
  <si>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</si>
  <si>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</si>
  <si>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</si>
  <si>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</si>
  <si>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</si>
  <si>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</si>
  <si>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</si>
  <si>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</si>
  <si>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</si>
  <si>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</si>
  <si>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</si>
  <si>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</si>
  <si>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</si>
  <si>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</si>
  <si>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</si>
  <si>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</si>
  <si>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</si>
  <si>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</si>
  <si>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</si>
  <si>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</si>
  <si>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</si>
  <si>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</si>
  <si>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</si>
  <si>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</si>
  <si>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</si>
  <si>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</si>
  <si>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</si>
  <si>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</si>
  <si>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</si>
  <si>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</si>
  <si>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</si>
  <si>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</si>
  <si>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</si>
  <si>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</si>
  <si>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</si>
  <si>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</si>
  <si>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</si>
  <si>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</si>
  <si>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</si>
  <si>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</si>
  <si>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</si>
  <si>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</si>
  <si>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</si>
  <si>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</si>
  <si>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</si>
  <si>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</si>
  <si>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</si>
  <si>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</si>
  <si>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</si>
  <si>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</si>
  <si>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</si>
  <si>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</si>
  <si>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</si>
  <si>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</si>
  <si>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</si>
  <si>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</si>
  <si>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</si>
  <si>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</si>
  <si>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</si>
  <si>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</si>
  <si>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</si>
  <si>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</si>
  <si>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</si>
  <si>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</si>
  <si>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</si>
  <si>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</si>
  <si>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</si>
  <si>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</si>
  <si>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</si>
  <si>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</si>
  <si>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</si>
  <si>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</si>
  <si>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</si>
  <si>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</si>
  <si>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</si>
  <si>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</si>
  <si>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</si>
  <si>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</si>
  <si>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</si>
  <si>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</si>
  <si>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</si>
  <si>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</si>
  <si>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</si>
  <si>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</si>
  <si>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</si>
  <si>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</si>
  <si>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</si>
  <si>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</si>
  <si>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</si>
  <si>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</si>
  <si>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</si>
  <si>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</si>
  <si>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</si>
  <si>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</si>
  <si>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</si>
  <si>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</si>
  <si>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</si>
  <si>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</si>
  <si>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</si>
  <si>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</si>
  <si>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</si>
  <si>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</si>
  <si>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</si>
  <si>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</si>
  <si>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</si>
  <si>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</si>
  <si>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</si>
  <si>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</si>
  <si>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</si>
  <si>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</si>
  <si>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</si>
  <si>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</si>
  <si>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</si>
  <si>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</si>
  <si>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</si>
  <si>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</si>
  <si>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</si>
  <si>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</si>
  <si>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</si>
  <si>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</si>
  <si>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Hamal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</si>
  <si>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</si>
  <si>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</si>
  <si>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</si>
  <si>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</si>
  <si>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</si>
  <si>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</si>
  <si>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</si>
  <si>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</si>
  <si>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</si>
  <si>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</si>
  <si>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</si>
  <si>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</si>
  <si>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</si>
  <si>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</si>
  <si>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</si>
  <si>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</si>
  <si>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</si>
  <si>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</si>
  <si>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</si>
  <si>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</si>
  <si>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</si>
  <si>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</si>
  <si>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</si>
  <si>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</si>
  <si>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</si>
  <si>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05/8/2024</t>
  </si>
  <si>
    <t>7:08:30</t>
  </si>
  <si>
    <t>8:17</t>
  </si>
  <si>
    <t>50°24</t>
  </si>
  <si>
    <t>-0°12'</t>
  </si>
  <si>
    <t>48°52,53</t>
  </si>
  <si>
    <t>2°05,67</t>
  </si>
  <si>
    <t>283°30,1</t>
  </si>
  <si>
    <t>298°30,2</t>
  </si>
  <si>
    <t>16°48</t>
  </si>
  <si>
    <t>16°48,7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</si>
  <si>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</si>
  <si>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</si>
  <si>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</si>
  <si>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</si>
  <si>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</si>
  <si>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</si>
  <si>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</si>
  <si>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</si>
  <si>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</si>
  <si>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</si>
  <si>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</si>
  <si>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</si>
  <si>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</si>
  <si>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</si>
  <si>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</si>
  <si>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</si>
  <si>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</si>
  <si>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</si>
  <si>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</si>
  <si>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</si>
  <si>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</si>
  <si>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</si>
  <si>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</si>
  <si>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</si>
  <si>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</si>
  <si>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16/3/2013</t>
  </si>
  <si>
    <t>20:52:00</t>
  </si>
  <si>
    <t>25°48'</t>
  </si>
  <si>
    <t>35°00</t>
  </si>
  <si>
    <t>89°19,5</t>
  </si>
  <si>
    <t>318°09,8</t>
  </si>
  <si>
    <t>114°34,2</t>
  </si>
  <si>
    <t>129°36,7</t>
  </si>
  <si>
    <t>-0°03'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</si>
</sst>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  <numFmt numFmtId="172" formatCode="0.0000000"/>
    <numFmt numFmtId="173" formatCode="0.00000"/>
  </numFmts>
  <fonts count="9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</fills>
  <borders count="1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7" borderId="0" applyNumberFormat="0" applyBorder="0" applyAlignment="0" applyProtection="0"/>
    <xf numFmtId="0" fontId="7" fillId="28" borderId="0" applyNumberFormat="0" applyBorder="0" applyAlignment="0" applyProtection="0"/>
    <xf numFmtId="0" fontId="70" fillId="0" borderId="143" applyNumberFormat="0" applyFill="0" applyAlignment="0" applyProtection="0"/>
  </cellStyleXfs>
  <cellXfs count="1272">
    <xf numFmtId="0" fontId="0" fillId="0" borderId="0" xfId="0"/>
    <xf numFmtId="165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5" fontId="9" fillId="8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9" borderId="14" xfId="0" applyNumberFormat="1" applyFont="1" applyFill="1" applyBorder="1"/>
    <xf numFmtId="165" fontId="2" fillId="9" borderId="15" xfId="0" applyNumberFormat="1" applyFont="1" applyFill="1" applyBorder="1"/>
    <xf numFmtId="165" fontId="2" fillId="9" borderId="16" xfId="0" applyNumberFormat="1" applyFont="1" applyFill="1" applyBorder="1"/>
    <xf numFmtId="0" fontId="0" fillId="7" borderId="25" xfId="5" applyFont="1" applyProtection="1"/>
    <xf numFmtId="165" fontId="2" fillId="8" borderId="15" xfId="0" applyNumberFormat="1" applyFont="1" applyFill="1" applyBorder="1"/>
    <xf numFmtId="165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0" borderId="32" xfId="0" applyNumberFormat="1" applyFont="1" applyFill="1" applyBorder="1" applyAlignment="1">
      <alignment horizontal="center" vertical="center"/>
    </xf>
    <xf numFmtId="165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5" fontId="2" fillId="10" borderId="53" xfId="0" applyNumberFormat="1" applyFont="1" applyFill="1" applyBorder="1" applyAlignment="1">
      <alignment horizontal="center" vertical="center"/>
    </xf>
    <xf numFmtId="165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5" fontId="2" fillId="10" borderId="50" xfId="0" applyNumberFormat="1" applyFont="1" applyFill="1" applyBorder="1" applyAlignment="1">
      <alignment horizontal="center" vertical="center"/>
    </xf>
    <xf numFmtId="165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5" fontId="2" fillId="10" borderId="34" xfId="0" applyNumberFormat="1" applyFont="1" applyFill="1" applyBorder="1" applyAlignment="1">
      <alignment horizontal="center" vertical="center"/>
    </xf>
    <xf numFmtId="165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1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1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1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1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34" fillId="0" borderId="0" xfId="0" applyFont="1"/>
    <xf numFmtId="165" fontId="19" fillId="0" borderId="0" xfId="0" applyNumberFormat="1" applyFont="1" applyAlignment="1">
      <alignment horizontal="center" vertical="center"/>
    </xf>
    <xf numFmtId="165" fontId="19" fillId="0" borderId="0" xfId="0" applyNumberFormat="1" applyFont="1"/>
    <xf numFmtId="165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5" fontId="41" fillId="10" borderId="34" xfId="0" applyNumberFormat="1" applyFont="1" applyFill="1" applyBorder="1" applyAlignment="1">
      <alignment horizontal="center" vertical="center"/>
    </xf>
    <xf numFmtId="165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5" fontId="31" fillId="2" borderId="1" xfId="1" applyNumberFormat="1" applyFont="1" applyProtection="1"/>
    <xf numFmtId="165" fontId="41" fillId="8" borderId="0" xfId="0" applyNumberFormat="1" applyFont="1" applyFill="1"/>
    <xf numFmtId="165" fontId="41" fillId="0" borderId="0" xfId="0" applyNumberFormat="1" applyFont="1"/>
    <xf numFmtId="165" fontId="19" fillId="9" borderId="14" xfId="0" applyNumberFormat="1" applyFont="1" applyFill="1" applyBorder="1"/>
    <xf numFmtId="165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5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5" fontId="19" fillId="4" borderId="0" xfId="0" applyNumberFormat="1" applyFont="1" applyFill="1" applyAlignment="1">
      <alignment horizontal="left"/>
    </xf>
    <xf numFmtId="165" fontId="19" fillId="4" borderId="0" xfId="0" applyNumberFormat="1" applyFont="1" applyFill="1" applyAlignment="1">
      <alignment horizontal="center"/>
    </xf>
    <xf numFmtId="165" fontId="47" fillId="0" borderId="0" xfId="0" applyNumberFormat="1" applyFont="1" applyAlignment="1">
      <alignment horizontal="center" vertical="center"/>
    </xf>
    <xf numFmtId="165" fontId="46" fillId="7" borderId="25" xfId="5" applyNumberFormat="1" applyFont="1" applyProtection="1"/>
    <xf numFmtId="165" fontId="19" fillId="0" borderId="47" xfId="0" applyNumberFormat="1" applyFont="1" applyBorder="1"/>
    <xf numFmtId="165" fontId="19" fillId="0" borderId="47" xfId="0" quotePrefix="1" applyNumberFormat="1" applyFont="1" applyBorder="1"/>
    <xf numFmtId="165" fontId="19" fillId="0" borderId="0" xfId="0" quotePrefix="1" applyNumberFormat="1" applyFont="1"/>
    <xf numFmtId="165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8" fontId="35" fillId="13" borderId="1" xfId="2" quotePrefix="1" applyNumberFormat="1" applyFont="1" applyProtection="1">
      <protection locked="0"/>
    </xf>
    <xf numFmtId="165" fontId="19" fillId="0" borderId="45" xfId="0" quotePrefix="1" applyNumberFormat="1" applyFont="1" applyBorder="1"/>
    <xf numFmtId="165" fontId="19" fillId="0" borderId="67" xfId="0" applyNumberFormat="1" applyFont="1" applyBorder="1" applyAlignment="1">
      <alignment horizontal="center"/>
    </xf>
    <xf numFmtId="165" fontId="19" fillId="9" borderId="67" xfId="0" applyNumberFormat="1" applyFont="1" applyFill="1" applyBorder="1"/>
    <xf numFmtId="165" fontId="19" fillId="0" borderId="0" xfId="0" quotePrefix="1" applyNumberFormat="1" applyFont="1" applyAlignment="1">
      <alignment horizontal="center"/>
    </xf>
    <xf numFmtId="168" fontId="31" fillId="2" borderId="5" xfId="1" applyNumberFormat="1" applyFont="1" applyBorder="1" applyAlignment="1" applyProtection="1"/>
    <xf numFmtId="165" fontId="31" fillId="2" borderId="6" xfId="1" applyNumberFormat="1" applyFont="1" applyBorder="1" applyAlignment="1" applyProtection="1"/>
    <xf numFmtId="169" fontId="31" fillId="2" borderId="5" xfId="1" applyNumberFormat="1" applyFont="1" applyBorder="1" applyAlignment="1" applyProtection="1"/>
    <xf numFmtId="165" fontId="41" fillId="10" borderId="109" xfId="0" applyNumberFormat="1" applyFont="1" applyFill="1" applyBorder="1" applyAlignment="1">
      <alignment horizontal="center" vertical="center"/>
    </xf>
    <xf numFmtId="165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5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8" fontId="36" fillId="11" borderId="5" xfId="6" applyNumberFormat="1" applyFont="1" applyBorder="1" applyAlignment="1" applyProtection="1"/>
    <xf numFmtId="165" fontId="6" fillId="5" borderId="15" xfId="3" applyNumberFormat="1" applyBorder="1" applyAlignment="1" applyProtection="1"/>
    <xf numFmtId="165" fontId="19" fillId="0" borderId="0" xfId="0" applyNumberFormat="1" applyFont="1" applyAlignment="1">
      <alignment horizontal="center"/>
    </xf>
    <xf numFmtId="165" fontId="19" fillId="26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5" fontId="19" fillId="9" borderId="22" xfId="0" applyNumberFormat="1" applyFont="1" applyFill="1" applyBorder="1"/>
    <xf numFmtId="165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5" fontId="19" fillId="0" borderId="0" xfId="0" applyNumberFormat="1" applyFont="1" applyAlignment="1">
      <alignment horizontal="right"/>
    </xf>
    <xf numFmtId="165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5" fontId="19" fillId="10" borderId="113" xfId="0" applyNumberFormat="1" applyFont="1" applyFill="1" applyBorder="1" applyAlignment="1">
      <alignment horizontal="center" vertical="center"/>
    </xf>
    <xf numFmtId="165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5" fontId="19" fillId="10" borderId="76" xfId="0" applyNumberFormat="1" applyFont="1" applyFill="1" applyBorder="1" applyAlignment="1">
      <alignment horizontal="center" vertical="center"/>
    </xf>
    <xf numFmtId="165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/>
    <xf numFmtId="165" fontId="31" fillId="3" borderId="1" xfId="1" applyNumberFormat="1" applyFont="1" applyFill="1" applyProtection="1"/>
    <xf numFmtId="165" fontId="1" fillId="3" borderId="1" xfId="1" applyNumberFormat="1" applyFill="1" applyProtection="1"/>
    <xf numFmtId="165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7" borderId="25" xfId="5" applyFont="1" applyAlignment="1" applyProtection="1">
      <alignment horizontal="center" vertical="center"/>
    </xf>
    <xf numFmtId="165" fontId="19" fillId="9" borderId="16" xfId="0" applyNumberFormat="1" applyFont="1" applyFill="1" applyBorder="1"/>
    <xf numFmtId="0" fontId="33" fillId="2" borderId="1" xfId="1" applyFont="1"/>
    <xf numFmtId="165" fontId="19" fillId="28" borderId="47" xfId="11" applyNumberFormat="1" applyFont="1" applyBorder="1" applyAlignment="1" applyProtection="1">
      <alignment vertical="center"/>
    </xf>
    <xf numFmtId="165" fontId="19" fillId="28" borderId="4" xfId="11" applyNumberFormat="1" applyFont="1" applyBorder="1" applyAlignment="1" applyProtection="1">
      <alignment vertical="center"/>
    </xf>
    <xf numFmtId="165" fontId="19" fillId="28" borderId="10" xfId="11" applyNumberFormat="1" applyFont="1" applyBorder="1" applyAlignment="1" applyProtection="1">
      <alignment vertical="center"/>
    </xf>
    <xf numFmtId="165" fontId="19" fillId="28" borderId="12" xfId="11" applyNumberFormat="1" applyFont="1" applyBorder="1" applyAlignment="1" applyProtection="1">
      <alignment vertical="center"/>
    </xf>
    <xf numFmtId="165" fontId="19" fillId="0" borderId="0" xfId="0" applyNumberFormat="1" applyFont="1" applyAlignment="1">
      <alignment vertical="center"/>
    </xf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0" fillId="15" borderId="0" xfId="0" applyFont="1" applyFill="1"/>
    <xf numFmtId="0" fontId="16" fillId="5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5" fontId="2" fillId="26" borderId="15" xfId="0" applyNumberFormat="1" applyFont="1" applyFill="1" applyBorder="1"/>
    <xf numFmtId="165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5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5" fontId="6" fillId="30" borderId="15" xfId="3" applyNumberFormat="1" applyFill="1" applyBorder="1" applyAlignment="1" applyProtection="1"/>
    <xf numFmtId="165" fontId="19" fillId="30" borderId="15" xfId="0" applyNumberFormat="1" applyFont="1" applyFill="1" applyBorder="1" applyAlignment="1">
      <alignment horizontal="center"/>
    </xf>
    <xf numFmtId="165" fontId="19" fillId="30" borderId="15" xfId="0" applyNumberFormat="1" applyFont="1" applyFill="1" applyBorder="1"/>
    <xf numFmtId="165" fontId="19" fillId="9" borderId="0" xfId="0" applyNumberFormat="1" applyFont="1" applyFill="1"/>
    <xf numFmtId="0" fontId="34" fillId="9" borderId="0" xfId="0" applyFont="1" applyFill="1"/>
    <xf numFmtId="165" fontId="19" fillId="0" borderId="2" xfId="0" quotePrefix="1" applyNumberFormat="1" applyFont="1" applyBorder="1"/>
    <xf numFmtId="165" fontId="19" fillId="9" borderId="2" xfId="0" applyNumberFormat="1" applyFont="1" applyFill="1" applyBorder="1"/>
    <xf numFmtId="165" fontId="19" fillId="9" borderId="2" xfId="0" quotePrefix="1" applyNumberFormat="1" applyFont="1" applyFill="1" applyBorder="1"/>
    <xf numFmtId="168" fontId="35" fillId="13" borderId="13" xfId="2" quotePrefix="1" applyNumberFormat="1" applyFont="1" applyBorder="1" applyAlignment="1" applyProtection="1">
      <alignment horizontal="center"/>
      <protection locked="0"/>
    </xf>
    <xf numFmtId="165" fontId="19" fillId="0" borderId="0" xfId="5" quotePrefix="1" applyNumberFormat="1" applyFont="1" applyFill="1" applyBorder="1" applyAlignment="1" applyProtection="1"/>
    <xf numFmtId="165" fontId="28" fillId="32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5" fontId="19" fillId="7" borderId="25" xfId="5" applyNumberFormat="1" applyFont="1" applyProtection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165" fontId="3" fillId="13" borderId="1" xfId="2" applyNumberFormat="1" applyAlignment="1" applyProtection="1"/>
    <xf numFmtId="165" fontId="19" fillId="8" borderId="15" xfId="0" applyNumberFormat="1" applyFont="1" applyFill="1" applyBorder="1"/>
    <xf numFmtId="0" fontId="19" fillId="8" borderId="0" xfId="0" applyFont="1" applyFill="1"/>
    <xf numFmtId="0" fontId="2" fillId="31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5" fontId="36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70" fillId="7" borderId="143" xfId="12" applyNumberFormat="1" applyFill="1" applyAlignment="1" applyProtection="1"/>
    <xf numFmtId="0" fontId="70" fillId="7" borderId="143" xfId="12" applyFill="1" applyAlignment="1" applyProtection="1">
      <alignment horizontal="center"/>
    </xf>
    <xf numFmtId="0" fontId="1" fillId="2" borderId="3" xfId="1" applyBorder="1" applyProtection="1"/>
    <xf numFmtId="0" fontId="27" fillId="2" borderId="3" xfId="1" applyFont="1" applyBorder="1" applyProtection="1"/>
    <xf numFmtId="165" fontId="6" fillId="35" borderId="0" xfId="3" applyNumberFormat="1" applyFill="1" applyBorder="1" applyProtection="1"/>
    <xf numFmtId="165" fontId="6" fillId="35" borderId="0" xfId="3" applyNumberFormat="1" applyFill="1" applyBorder="1" applyAlignment="1" applyProtection="1"/>
    <xf numFmtId="165" fontId="6" fillId="36" borderId="15" xfId="3" applyNumberFormat="1" applyFill="1" applyBorder="1" applyAlignment="1" applyProtection="1"/>
    <xf numFmtId="0" fontId="0" fillId="33" borderId="0" xfId="0" applyFill="1"/>
    <xf numFmtId="165" fontId="0" fillId="33" borderId="0" xfId="0" applyNumberFormat="1" applyFill="1"/>
    <xf numFmtId="0" fontId="77" fillId="33" borderId="0" xfId="0" applyFont="1" applyFill="1"/>
    <xf numFmtId="0" fontId="0" fillId="37" borderId="0" xfId="0" applyFill="1"/>
    <xf numFmtId="165" fontId="0" fillId="37" borderId="0" xfId="0" applyNumberFormat="1" applyFill="1"/>
    <xf numFmtId="0" fontId="77" fillId="37" borderId="0" xfId="0" applyFont="1" applyFill="1"/>
    <xf numFmtId="0" fontId="0" fillId="30" borderId="0" xfId="0" applyFill="1"/>
    <xf numFmtId="165" fontId="0" fillId="30" borderId="0" xfId="0" applyNumberFormat="1" applyFill="1"/>
    <xf numFmtId="0" fontId="0" fillId="35" borderId="0" xfId="0" applyFill="1"/>
    <xf numFmtId="165" fontId="19" fillId="9" borderId="14" xfId="0" applyNumberFormat="1" applyFont="1" applyFill="1" applyBorder="1" applyAlignment="1">
      <alignment horizontal="left" vertical="center"/>
    </xf>
    <xf numFmtId="165" fontId="19" fillId="9" borderId="15" xfId="0" applyNumberFormat="1" applyFont="1" applyFill="1" applyBorder="1" applyAlignment="1">
      <alignment horizontal="left" vertical="center"/>
    </xf>
    <xf numFmtId="0" fontId="67" fillId="0" borderId="0" xfId="0" applyFont="1"/>
    <xf numFmtId="0" fontId="67" fillId="35" borderId="0" xfId="0" applyFont="1" applyFill="1"/>
    <xf numFmtId="0" fontId="0" fillId="0" borderId="0" xfId="0" applyAlignment="1">
      <alignment horizontal="right"/>
    </xf>
    <xf numFmtId="0" fontId="19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9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28" fillId="9" borderId="22" xfId="0" applyNumberFormat="1" applyFont="1" applyFill="1" applyBorder="1"/>
    <xf numFmtId="165" fontId="28" fillId="9" borderId="14" xfId="0" applyNumberFormat="1" applyFont="1" applyFill="1" applyBorder="1"/>
    <xf numFmtId="165" fontId="28" fillId="9" borderId="15" xfId="0" applyNumberFormat="1" applyFont="1" applyFill="1" applyBorder="1"/>
    <xf numFmtId="49" fontId="32" fillId="13" borderId="6" xfId="2" quotePrefix="1" applyNumberFormat="1" applyFont="1" applyBorder="1" applyAlignment="1" applyProtection="1">
      <alignment vertical="center"/>
      <protection locked="0"/>
    </xf>
    <xf numFmtId="165" fontId="19" fillId="16" borderId="5" xfId="8" applyNumberFormat="1" applyFont="1" applyBorder="1" applyAlignment="1" applyProtection="1"/>
    <xf numFmtId="165" fontId="19" fillId="16" borderId="6" xfId="8" applyNumberFormat="1" applyFont="1" applyBorder="1" applyAlignment="1" applyProtection="1"/>
    <xf numFmtId="164" fontId="19" fillId="16" borderId="4" xfId="8" applyNumberFormat="1" applyFont="1" applyBorder="1" applyAlignment="1" applyProtection="1">
      <alignment vertical="center" wrapText="1"/>
    </xf>
    <xf numFmtId="164" fontId="19" fillId="16" borderId="12" xfId="8" applyNumberFormat="1" applyFont="1" applyBorder="1" applyAlignment="1" applyProtection="1">
      <alignment vertical="center" wrapText="1"/>
    </xf>
    <xf numFmtId="165" fontId="19" fillId="16" borderId="5" xfId="8" applyNumberFormat="1" applyFont="1" applyBorder="1" applyAlignment="1" applyProtection="1">
      <alignment vertical="center"/>
    </xf>
    <xf numFmtId="165" fontId="19" fillId="16" borderId="6" xfId="8" applyNumberFormat="1" applyFont="1" applyBorder="1" applyAlignment="1" applyProtection="1">
      <alignment vertical="center"/>
    </xf>
    <xf numFmtId="167" fontId="1" fillId="2" borderId="1" xfId="1" applyNumberFormat="1" applyProtection="1"/>
    <xf numFmtId="165" fontId="6" fillId="4" borderId="0" xfId="3" applyNumberFormat="1" applyFill="1" applyBorder="1" applyProtection="1"/>
    <xf numFmtId="0" fontId="0" fillId="4" borderId="0" xfId="0" applyFill="1"/>
    <xf numFmtId="165" fontId="6" fillId="4" borderId="0" xfId="3" applyNumberFormat="1" applyFill="1" applyBorder="1" applyAlignment="1" applyProtection="1"/>
    <xf numFmtId="0" fontId="67" fillId="4" borderId="0" xfId="0" applyFont="1" applyFill="1"/>
    <xf numFmtId="0" fontId="0" fillId="12" borderId="6" xfId="0" applyFill="1" applyBorder="1"/>
    <xf numFmtId="0" fontId="24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5" fontId="19" fillId="4" borderId="0" xfId="0" applyNumberFormat="1" applyFont="1" applyFill="1"/>
    <xf numFmtId="164" fontId="19" fillId="38" borderId="0" xfId="8" applyNumberFormat="1" applyFont="1" applyFill="1" applyBorder="1" applyAlignment="1" applyProtection="1">
      <alignment vertical="center" wrapText="1"/>
    </xf>
    <xf numFmtId="49" fontId="32" fillId="39" borderId="0" xfId="2" quotePrefix="1" applyNumberFormat="1" applyFont="1" applyFill="1" applyBorder="1" applyAlignment="1" applyProtection="1">
      <alignment vertical="center"/>
      <protection locked="0"/>
    </xf>
    <xf numFmtId="166" fontId="6" fillId="4" borderId="0" xfId="3" applyNumberFormat="1" applyFill="1" applyBorder="1" applyProtection="1"/>
    <xf numFmtId="165" fontId="6" fillId="4" borderId="0" xfId="3" applyNumberFormat="1" applyFill="1" applyBorder="1" applyAlignment="1" applyProtection="1">
      <alignment horizontal="right" vertical="center"/>
    </xf>
    <xf numFmtId="165" fontId="19" fillId="16" borderId="7" xfId="8" applyNumberFormat="1" applyFont="1" applyBorder="1" applyAlignment="1" applyProtection="1"/>
    <xf numFmtId="165" fontId="19" fillId="16" borderId="9" xfId="8" applyNumberFormat="1" applyFont="1" applyBorder="1" applyAlignment="1" applyProtection="1"/>
    <xf numFmtId="0" fontId="1" fillId="2" borderId="21" xfId="1" applyBorder="1" applyProtection="1"/>
    <xf numFmtId="0" fontId="1" fillId="2" borderId="29" xfId="1" applyBorder="1" applyProtection="1"/>
    <xf numFmtId="167" fontId="1" fillId="2" borderId="29" xfId="1" applyNumberFormat="1" applyBorder="1" applyProtection="1"/>
    <xf numFmtId="1" fontId="1" fillId="2" borderId="29" xfId="1" applyNumberFormat="1" applyBorder="1" applyProtection="1"/>
    <xf numFmtId="0" fontId="32" fillId="13" borderId="23" xfId="2" quotePrefix="1" applyNumberFormat="1" applyFont="1" applyBorder="1" applyAlignment="1" applyProtection="1">
      <alignment vertical="center"/>
      <protection locked="0"/>
    </xf>
    <xf numFmtId="0" fontId="32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5" fontId="1" fillId="2" borderId="29" xfId="1" applyNumberFormat="1" applyBorder="1" applyProtection="1"/>
    <xf numFmtId="165" fontId="46" fillId="7" borderId="0" xfId="5" applyNumberFormat="1" applyFont="1" applyBorder="1" applyAlignment="1" applyProtection="1">
      <alignment horizontal="center"/>
    </xf>
    <xf numFmtId="1" fontId="19" fillId="9" borderId="15" xfId="0" applyNumberFormat="1" applyFont="1" applyFill="1" applyBorder="1"/>
    <xf numFmtId="0" fontId="24" fillId="12" borderId="30" xfId="0" applyFont="1" applyFill="1" applyBorder="1" applyAlignment="1">
      <alignment horizontal="right"/>
    </xf>
    <xf numFmtId="0" fontId="0" fillId="12" borderId="30" xfId="0" applyFill="1" applyBorder="1" applyAlignment="1">
      <alignment horizontal="center"/>
    </xf>
    <xf numFmtId="0" fontId="24" fillId="7" borderId="2" xfId="5" quotePrefix="1" applyFont="1" applyBorder="1" applyAlignment="1">
      <alignment horizontal="center" vertical="center"/>
    </xf>
    <xf numFmtId="0" fontId="24" fillId="7" borderId="73" xfId="5" applyFont="1" applyBorder="1" applyAlignment="1">
      <alignment horizontal="center" vertical="center"/>
    </xf>
    <xf numFmtId="165" fontId="36" fillId="11" borderId="2" xfId="6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 vertical="center"/>
    </xf>
    <xf numFmtId="168" fontId="19" fillId="0" borderId="0" xfId="0" applyNumberFormat="1" applyFont="1"/>
    <xf numFmtId="165" fontId="19" fillId="0" borderId="2" xfId="0" applyNumberFormat="1" applyFont="1" applyBorder="1"/>
    <xf numFmtId="0" fontId="31" fillId="2" borderId="38" xfId="1" applyFont="1" applyBorder="1" applyAlignment="1" applyProtection="1"/>
    <xf numFmtId="0" fontId="31" fillId="2" borderId="3" xfId="1" applyFont="1" applyBorder="1" applyAlignment="1" applyProtection="1"/>
    <xf numFmtId="165" fontId="31" fillId="2" borderId="44" xfId="1" applyNumberFormat="1" applyFont="1" applyBorder="1" applyAlignment="1" applyProtection="1"/>
    <xf numFmtId="165" fontId="31" fillId="2" borderId="1" xfId="1" applyNumberFormat="1" applyFont="1" applyAlignment="1" applyProtection="1"/>
    <xf numFmtId="0" fontId="31" fillId="2" borderId="1" xfId="1" applyFont="1" applyAlignment="1" applyProtection="1"/>
    <xf numFmtId="165" fontId="19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3" fontId="0" fillId="0" borderId="0" xfId="0" applyNumberFormat="1"/>
    <xf numFmtId="173" fontId="19" fillId="0" borderId="0" xfId="0" applyNumberFormat="1" applyFont="1" applyAlignment="1">
      <alignment horizontal="center"/>
    </xf>
    <xf numFmtId="168" fontId="0" fillId="0" borderId="0" xfId="0" applyNumberFormat="1"/>
    <xf numFmtId="2" fontId="19" fillId="0" borderId="0" xfId="0" applyNumberFormat="1" applyFont="1"/>
    <xf numFmtId="2" fontId="0" fillId="0" borderId="0" xfId="0" applyNumberFormat="1"/>
    <xf numFmtId="2" fontId="19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3" fontId="34" fillId="0" borderId="0" xfId="0" applyNumberFormat="1" applyFont="1"/>
    <xf numFmtId="173" fontId="19" fillId="9" borderId="15" xfId="0" applyNumberFormat="1" applyFont="1" applyFill="1" applyBorder="1"/>
    <xf numFmtId="168" fontId="34" fillId="0" borderId="0" xfId="0" applyNumberFormat="1" applyFont="1"/>
    <xf numFmtId="168" fontId="19" fillId="9" borderId="15" xfId="0" applyNumberFormat="1" applyFont="1" applyFill="1" applyBorder="1"/>
    <xf numFmtId="168" fontId="19" fillId="0" borderId="2" xfId="0" applyNumberFormat="1" applyFont="1" applyBorder="1" applyAlignment="1">
      <alignment horizontal="center" vertical="center"/>
    </xf>
    <xf numFmtId="165" fontId="35" fillId="13" borderId="1" xfId="2" quotePrefix="1" applyNumberFormat="1" applyFont="1" applyAlignment="1" applyProtection="1">
      <alignment vertical="center"/>
      <protection locked="0"/>
    </xf>
    <xf numFmtId="165" fontId="35" fillId="13" borderId="1" xfId="2" applyNumberFormat="1" applyFont="1" applyAlignment="1" applyProtection="1">
      <alignment vertical="center"/>
      <protection locked="0"/>
    </xf>
    <xf numFmtId="165" fontId="84" fillId="0" borderId="2" xfId="0" applyNumberFormat="1" applyFont="1" applyBorder="1" applyAlignment="1">
      <alignment horizontal="center" vertical="center"/>
    </xf>
    <xf numFmtId="165" fontId="84" fillId="0" borderId="31" xfId="0" applyNumberFormat="1" applyFont="1" applyBorder="1" applyAlignment="1">
      <alignment horizontal="center" vertical="center"/>
    </xf>
    <xf numFmtId="2" fontId="19" fillId="9" borderId="15" xfId="0" applyNumberFormat="1" applyFont="1" applyFill="1" applyBorder="1"/>
    <xf numFmtId="2" fontId="19" fillId="7" borderId="2" xfId="5" applyNumberFormat="1" applyFont="1" applyBorder="1" applyAlignment="1">
      <alignment horizontal="center" vertical="center"/>
    </xf>
    <xf numFmtId="2" fontId="34" fillId="0" borderId="0" xfId="0" applyNumberFormat="1" applyFont="1"/>
    <xf numFmtId="165" fontId="46" fillId="40" borderId="0" xfId="5" applyNumberFormat="1" applyFont="1" applyFill="1" applyBorder="1" applyAlignment="1" applyProtection="1"/>
    <xf numFmtId="165" fontId="46" fillId="40" borderId="2" xfId="5" applyNumberFormat="1" applyFont="1" applyFill="1" applyBorder="1" applyAlignment="1" applyProtection="1">
      <alignment horizontal="center"/>
    </xf>
    <xf numFmtId="165" fontId="19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5" fontId="46" fillId="41" borderId="80" xfId="5" applyNumberFormat="1" applyFont="1" applyFill="1" applyBorder="1" applyAlignment="1" applyProtection="1"/>
    <xf numFmtId="165" fontId="46" fillId="41" borderId="0" xfId="5" applyNumberFormat="1" applyFont="1" applyFill="1" applyBorder="1" applyAlignment="1" applyProtection="1"/>
    <xf numFmtId="165" fontId="19" fillId="41" borderId="0" xfId="0" applyNumberFormat="1" applyFont="1" applyFill="1"/>
    <xf numFmtId="165" fontId="19" fillId="7" borderId="2" xfId="5" applyNumberFormat="1" applyFont="1" applyBorder="1" applyAlignment="1">
      <alignment horizontal="center" vertical="center"/>
    </xf>
    <xf numFmtId="165" fontId="19" fillId="23" borderId="84" xfId="5" quotePrefix="1" applyNumberFormat="1" applyFont="1" applyFill="1" applyBorder="1" applyAlignment="1" applyProtection="1"/>
    <xf numFmtId="165" fontId="19" fillId="23" borderId="85" xfId="5" quotePrefix="1" applyNumberFormat="1" applyFont="1" applyFill="1" applyBorder="1" applyAlignment="1" applyProtection="1"/>
    <xf numFmtId="165" fontId="19" fillId="23" borderId="86" xfId="5" quotePrefix="1" applyNumberFormat="1" applyFont="1" applyFill="1" applyBorder="1" applyAlignment="1" applyProtection="1"/>
    <xf numFmtId="165" fontId="19" fillId="23" borderId="111" xfId="5" applyNumberFormat="1" applyFont="1" applyFill="1" applyBorder="1" applyAlignment="1" applyProtection="1"/>
    <xf numFmtId="165" fontId="19" fillId="23" borderId="82" xfId="5" applyNumberFormat="1" applyFont="1" applyFill="1" applyBorder="1" applyAlignment="1" applyProtection="1"/>
    <xf numFmtId="165" fontId="19" fillId="23" borderId="89" xfId="5" applyNumberFormat="1" applyFont="1" applyFill="1" applyBorder="1" applyAlignment="1" applyProtection="1"/>
    <xf numFmtId="165" fontId="19" fillId="23" borderId="31" xfId="5" applyNumberFormat="1" applyFont="1" applyFill="1" applyBorder="1" applyAlignment="1" applyProtection="1"/>
    <xf numFmtId="165" fontId="19" fillId="23" borderId="87" xfId="5" applyNumberFormat="1" applyFont="1" applyFill="1" applyBorder="1" applyAlignment="1" applyProtection="1"/>
    <xf numFmtId="165" fontId="85" fillId="23" borderId="25" xfId="5" applyNumberFormat="1" applyFont="1" applyFill="1" applyAlignment="1" applyProtection="1">
      <alignment horizontal="center" vertical="center"/>
    </xf>
    <xf numFmtId="0" fontId="0" fillId="23" borderId="2" xfId="5" applyFont="1" applyFill="1" applyBorder="1" applyAlignment="1">
      <alignment horizontal="center" vertical="center"/>
    </xf>
    <xf numFmtId="165" fontId="86" fillId="3" borderId="31" xfId="7" applyNumberFormat="1" applyFont="1" applyFill="1" applyBorder="1" applyAlignment="1">
      <alignment horizontal="center" vertical="center"/>
    </xf>
    <xf numFmtId="165" fontId="87" fillId="31" borderId="31" xfId="7" applyNumberFormat="1" applyFont="1" applyFill="1" applyBorder="1" applyAlignment="1">
      <alignment horizontal="center" vertical="center"/>
    </xf>
    <xf numFmtId="165" fontId="78" fillId="31" borderId="30" xfId="0" applyNumberFormat="1" applyFont="1" applyFill="1" applyBorder="1" applyAlignment="1">
      <alignment horizontal="center" vertical="center"/>
    </xf>
    <xf numFmtId="165" fontId="78" fillId="31" borderId="31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9" fillId="7" borderId="2" xfId="5" applyNumberFormat="1" applyFont="1" applyBorder="1" applyAlignment="1">
      <alignment horizontal="center" vertical="center"/>
    </xf>
    <xf numFmtId="2" fontId="19" fillId="7" borderId="31" xfId="5" applyNumberFormat="1" applyFont="1" applyBorder="1" applyAlignment="1">
      <alignment horizontal="center" vertical="center"/>
    </xf>
    <xf numFmtId="165" fontId="14" fillId="3" borderId="31" xfId="7" applyNumberFormat="1" applyFill="1" applyBorder="1" applyAlignment="1">
      <alignment horizontal="center" vertical="center"/>
    </xf>
    <xf numFmtId="2" fontId="14" fillId="3" borderId="31" xfId="7" applyNumberFormat="1" applyFill="1" applyBorder="1" applyAlignment="1">
      <alignment horizontal="center" vertical="center"/>
    </xf>
    <xf numFmtId="173" fontId="84" fillId="0" borderId="31" xfId="0" applyNumberFormat="1" applyFont="1" applyBorder="1" applyAlignment="1">
      <alignment horizontal="center" vertical="center"/>
    </xf>
    <xf numFmtId="168" fontId="14" fillId="2" borderId="40" xfId="7" applyNumberFormat="1" applyAlignment="1">
      <alignment horizontal="center" vertical="center"/>
    </xf>
    <xf numFmtId="167" fontId="14" fillId="2" borderId="40" xfId="7" applyNumberFormat="1" applyAlignment="1">
      <alignment horizontal="center" vertical="center"/>
    </xf>
    <xf numFmtId="173" fontId="3" fillId="13" borderId="1" xfId="2" applyNumberFormat="1" applyAlignment="1">
      <alignment horizontal="center" vertical="center"/>
    </xf>
    <xf numFmtId="2" fontId="6" fillId="4" borderId="0" xfId="3" applyNumberFormat="1" applyFill="1" applyProtection="1"/>
    <xf numFmtId="2" fontId="6" fillId="4" borderId="15" xfId="3" applyNumberFormat="1" applyFill="1" applyBorder="1" applyAlignment="1" applyProtection="1"/>
    <xf numFmtId="2" fontId="6" fillId="4" borderId="16" xfId="3" applyNumberFormat="1" applyFill="1" applyBorder="1" applyAlignment="1" applyProtection="1"/>
    <xf numFmtId="2" fontId="0" fillId="4" borderId="0" xfId="0" applyNumberFormat="1" applyFill="1"/>
    <xf numFmtId="1" fontId="19" fillId="0" borderId="2" xfId="0" applyNumberFormat="1" applyFont="1" applyBorder="1" applyAlignment="1">
      <alignment horizontal="center"/>
    </xf>
    <xf numFmtId="1" fontId="19" fillId="0" borderId="30" xfId="0" applyNumberFormat="1" applyFont="1" applyBorder="1" applyAlignment="1">
      <alignment horizontal="center"/>
    </xf>
    <xf numFmtId="165" fontId="19" fillId="42" borderId="2" xfId="0" applyNumberFormat="1" applyFont="1" applyFill="1" applyBorder="1"/>
    <xf numFmtId="165" fontId="19" fillId="42" borderId="2" xfId="0" quotePrefix="1" applyNumberFormat="1" applyFont="1" applyFill="1" applyBorder="1"/>
    <xf numFmtId="165" fontId="19" fillId="43" borderId="2" xfId="0" applyNumberFormat="1" applyFont="1" applyFill="1" applyBorder="1"/>
    <xf numFmtId="165" fontId="19" fillId="43" borderId="2" xfId="0" quotePrefix="1" applyNumberFormat="1" applyFont="1" applyFill="1" applyBorder="1"/>
    <xf numFmtId="1" fontId="19" fillId="9" borderId="16" xfId="0" applyNumberFormat="1" applyFont="1" applyFill="1" applyBorder="1"/>
    <xf numFmtId="165" fontId="0" fillId="43" borderId="2" xfId="0" applyNumberFormat="1" applyFill="1" applyBorder="1"/>
    <xf numFmtId="2" fontId="19" fillId="43" borderId="2" xfId="0" applyNumberFormat="1" applyFont="1" applyFill="1" applyBorder="1"/>
    <xf numFmtId="2" fontId="19" fillId="43" borderId="2" xfId="0" quotePrefix="1" applyNumberFormat="1" applyFont="1" applyFill="1" applyBorder="1"/>
    <xf numFmtId="165" fontId="19" fillId="43" borderId="5" xfId="0" applyNumberFormat="1" applyFont="1" applyFill="1" applyBorder="1"/>
    <xf numFmtId="2" fontId="0" fillId="42" borderId="2" xfId="0" applyNumberFormat="1" applyFill="1" applyBorder="1"/>
    <xf numFmtId="2" fontId="19" fillId="42" borderId="2" xfId="0" quotePrefix="1" applyNumberFormat="1" applyFont="1" applyFill="1" applyBorder="1"/>
    <xf numFmtId="165" fontId="19" fillId="42" borderId="5" xfId="0" applyNumberFormat="1" applyFont="1" applyFill="1" applyBorder="1"/>
    <xf numFmtId="165" fontId="0" fillId="0" borderId="2" xfId="0" applyNumberFormat="1" applyBorder="1" applyAlignment="1">
      <alignment horizontal="center" vertical="center"/>
    </xf>
    <xf numFmtId="165" fontId="78" fillId="44" borderId="30" xfId="0" applyNumberFormat="1" applyFont="1" applyFill="1" applyBorder="1" applyAlignment="1">
      <alignment horizontal="center" vertical="center"/>
    </xf>
    <xf numFmtId="165" fontId="78" fillId="44" borderId="31" xfId="0" quotePrefix="1" applyNumberFormat="1" applyFont="1" applyFill="1" applyBorder="1" applyAlignment="1">
      <alignment horizontal="center" vertical="center"/>
    </xf>
    <xf numFmtId="165" fontId="78" fillId="44" borderId="2" xfId="0" applyNumberFormat="1" applyFont="1" applyFill="1" applyBorder="1" applyAlignment="1">
      <alignment horizontal="center"/>
    </xf>
    <xf numFmtId="2" fontId="19" fillId="42" borderId="2" xfId="0" applyNumberFormat="1" applyFont="1" applyFill="1" applyBorder="1"/>
    <xf numFmtId="165" fontId="78" fillId="44" borderId="31" xfId="0" applyNumberFormat="1" applyFont="1" applyFill="1" applyBorder="1" applyAlignment="1">
      <alignment horizontal="center" vertical="center"/>
    </xf>
    <xf numFmtId="165" fontId="78" fillId="44" borderId="2" xfId="0" applyNumberFormat="1" applyFont="1" applyFill="1" applyBorder="1" applyAlignment="1">
      <alignment horizontal="center" vertical="center"/>
    </xf>
    <xf numFmtId="2" fontId="14" fillId="2" borderId="155" xfId="7" applyNumberFormat="1" applyBorder="1" applyAlignment="1">
      <alignment horizontal="center" vertical="center"/>
    </xf>
    <xf numFmtId="165" fontId="78" fillId="7" borderId="2" xfId="5" applyNumberFormat="1" applyFont="1" applyBorder="1"/>
    <xf numFmtId="0" fontId="31" fillId="2" borderId="1" xfId="1" quotePrefix="1" applyFont="1" applyAlignment="1" applyProtection="1"/>
    <xf numFmtId="165" fontId="19" fillId="9" borderId="0" xfId="0" applyNumberFormat="1" applyFont="1" applyFill="1" applyAlignment="1">
      <alignment horizontal="center"/>
    </xf>
    <xf numFmtId="0" fontId="24" fillId="7" borderId="2" xfId="5" applyFont="1" applyBorder="1" applyAlignment="1">
      <alignment horizontal="center" vertical="center"/>
    </xf>
    <xf numFmtId="165" fontId="8" fillId="6" borderId="24" xfId="4" applyNumberFormat="1" applyAlignment="1" applyProtection="1">
      <alignment horizontal="center"/>
    </xf>
    <xf numFmtId="0" fontId="0" fillId="30" borderId="0" xfId="0" applyFill="1" applyAlignment="1">
      <alignment horizontal="center" vertical="center"/>
    </xf>
    <xf numFmtId="165" fontId="28" fillId="3" borderId="5" xfId="0" applyNumberFormat="1" applyFont="1" applyFill="1" applyBorder="1" applyAlignment="1">
      <alignment horizontal="center"/>
    </xf>
    <xf numFmtId="165" fontId="28" fillId="3" borderId="23" xfId="0" applyNumberFormat="1" applyFont="1" applyFill="1" applyBorder="1" applyAlignment="1">
      <alignment horizontal="center"/>
    </xf>
    <xf numFmtId="165" fontId="1" fillId="2" borderId="1" xfId="1" applyNumberFormat="1" applyAlignment="1" applyProtection="1">
      <alignment horizontal="center"/>
    </xf>
    <xf numFmtId="165" fontId="28" fillId="32" borderId="2" xfId="0" applyNumberFormat="1" applyFont="1" applyFill="1" applyBorder="1" applyAlignment="1">
      <alignment horizontal="left" vertical="center"/>
    </xf>
    <xf numFmtId="165" fontId="38" fillId="6" borderId="98" xfId="4" applyNumberFormat="1" applyFont="1" applyBorder="1" applyAlignment="1" applyProtection="1">
      <alignment horizontal="center"/>
    </xf>
    <xf numFmtId="165" fontId="38" fillId="6" borderId="41" xfId="4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5" fontId="31" fillId="2" borderId="117" xfId="1" applyNumberFormat="1" applyFont="1" applyBorder="1" applyAlignment="1" applyProtection="1">
      <alignment horizontal="center"/>
    </xf>
    <xf numFmtId="165" fontId="31" fillId="2" borderId="115" xfId="1" applyNumberFormat="1" applyFont="1" applyBorder="1" applyAlignment="1" applyProtection="1">
      <alignment horizontal="center"/>
    </xf>
    <xf numFmtId="165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165" fontId="19" fillId="32" borderId="2" xfId="0" applyNumberFormat="1" applyFont="1" applyFill="1" applyBorder="1" applyAlignment="1">
      <alignment horizontal="center" vertical="center"/>
    </xf>
    <xf numFmtId="165" fontId="28" fillId="32" borderId="2" xfId="0" applyNumberFormat="1" applyFont="1" applyFill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/>
    </xf>
    <xf numFmtId="165" fontId="36" fillId="11" borderId="2" xfId="6" applyNumberFormat="1" applyFont="1" applyBorder="1" applyAlignment="1" applyProtection="1">
      <alignment horizontal="center"/>
    </xf>
    <xf numFmtId="165" fontId="31" fillId="2" borderId="1" xfId="1" applyNumberFormat="1" applyFont="1" applyAlignment="1" applyProtection="1">
      <alignment horizontal="center"/>
    </xf>
    <xf numFmtId="165" fontId="19" fillId="7" borderId="84" xfId="5" quotePrefix="1" applyNumberFormat="1" applyFont="1" applyBorder="1" applyAlignment="1" applyProtection="1">
      <alignment horizontal="left"/>
    </xf>
    <xf numFmtId="165" fontId="19" fillId="7" borderId="85" xfId="5" quotePrefix="1" applyNumberFormat="1" applyFont="1" applyBorder="1" applyAlignment="1" applyProtection="1">
      <alignment horizontal="left"/>
    </xf>
    <xf numFmtId="165" fontId="19" fillId="7" borderId="86" xfId="5" quotePrefix="1" applyNumberFormat="1" applyFont="1" applyBorder="1" applyAlignment="1" applyProtection="1">
      <alignment horizontal="left"/>
    </xf>
    <xf numFmtId="165" fontId="31" fillId="2" borderId="8" xfId="1" applyNumberFormat="1" applyFont="1" applyBorder="1" applyAlignment="1" applyProtection="1">
      <alignment horizontal="center" vertical="center"/>
    </xf>
    <xf numFmtId="165" fontId="31" fillId="2" borderId="9" xfId="1" applyNumberFormat="1" applyFont="1" applyBorder="1" applyAlignment="1" applyProtection="1">
      <alignment horizontal="center" vertical="center"/>
    </xf>
    <xf numFmtId="165" fontId="31" fillId="2" borderId="11" xfId="1" applyNumberFormat="1" applyFont="1" applyBorder="1" applyAlignment="1" applyProtection="1">
      <alignment horizontal="center" vertical="center"/>
    </xf>
    <xf numFmtId="165" fontId="31" fillId="2" borderId="12" xfId="1" applyNumberFormat="1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 vertical="center"/>
    </xf>
    <xf numFmtId="165" fontId="38" fillId="6" borderId="24" xfId="4" applyNumberFormat="1" applyFont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 vertical="center"/>
    </xf>
    <xf numFmtId="165" fontId="38" fillId="6" borderId="24" xfId="4" applyNumberFormat="1" applyFont="1" applyAlignment="1" applyProtection="1">
      <alignment horizontal="center"/>
    </xf>
    <xf numFmtId="169" fontId="31" fillId="2" borderId="5" xfId="1" applyNumberFormat="1" applyFont="1" applyBorder="1" applyAlignment="1" applyProtection="1">
      <alignment horizontal="center"/>
    </xf>
    <xf numFmtId="169" fontId="31" fillId="2" borderId="23" xfId="1" applyNumberFormat="1" applyFont="1" applyBorder="1" applyAlignment="1" applyProtection="1">
      <alignment horizontal="center"/>
    </xf>
    <xf numFmtId="1" fontId="19" fillId="9" borderId="15" xfId="0" applyNumberFormat="1" applyFont="1" applyFill="1" applyBorder="1" applyAlignment="1">
      <alignment horizontal="center"/>
    </xf>
    <xf numFmtId="165" fontId="37" fillId="5" borderId="2" xfId="3" applyNumberFormat="1" applyFont="1" applyBorder="1" applyAlignment="1" applyProtection="1">
      <alignment horizontal="right"/>
    </xf>
    <xf numFmtId="0" fontId="37" fillId="5" borderId="31" xfId="3" applyFont="1" applyBorder="1" applyAlignment="1" applyProtection="1">
      <alignment horizontal="center"/>
    </xf>
    <xf numFmtId="167" fontId="31" fillId="2" borderId="5" xfId="1" applyNumberFormat="1" applyFont="1" applyBorder="1" applyAlignment="1" applyProtection="1">
      <alignment horizontal="center" vertical="center"/>
    </xf>
    <xf numFmtId="167" fontId="31" fillId="2" borderId="23" xfId="1" applyNumberFormat="1" applyFont="1" applyBorder="1" applyAlignment="1" applyProtection="1">
      <alignment horizontal="center" vertical="center"/>
    </xf>
    <xf numFmtId="167" fontId="31" fillId="2" borderId="6" xfId="1" applyNumberFormat="1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19" fillId="7" borderId="25" xfId="5" applyNumberFormat="1" applyFont="1" applyAlignment="1" applyProtection="1">
      <alignment horizontal="left" vertical="center"/>
    </xf>
    <xf numFmtId="165" fontId="19" fillId="7" borderId="2" xfId="5" quotePrefix="1" applyNumberFormat="1" applyFont="1" applyBorder="1" applyAlignment="1" applyProtection="1">
      <alignment horizontal="left"/>
    </xf>
    <xf numFmtId="165" fontId="36" fillId="11" borderId="5" xfId="6" applyNumberFormat="1" applyFont="1" applyBorder="1" applyAlignment="1" applyProtection="1">
      <alignment horizontal="center"/>
    </xf>
    <xf numFmtId="165" fontId="36" fillId="11" borderId="23" xfId="6" applyNumberFormat="1" applyFont="1" applyBorder="1" applyAlignment="1" applyProtection="1">
      <alignment horizontal="center"/>
    </xf>
    <xf numFmtId="165" fontId="36" fillId="11" borderId="94" xfId="6" applyNumberFormat="1" applyFont="1" applyBorder="1" applyAlignment="1" applyProtection="1">
      <alignment horizontal="center"/>
    </xf>
    <xf numFmtId="165" fontId="19" fillId="7" borderId="2" xfId="5" applyNumberFormat="1" applyFont="1" applyBorder="1" applyAlignment="1" applyProtection="1">
      <alignment horizontal="left"/>
    </xf>
    <xf numFmtId="165" fontId="19" fillId="7" borderId="2" xfId="5" applyNumberFormat="1" applyFont="1" applyBorder="1" applyAlignment="1" applyProtection="1">
      <alignment horizontal="center"/>
    </xf>
    <xf numFmtId="165" fontId="36" fillId="11" borderId="2" xfId="6" quotePrefix="1" applyNumberFormat="1" applyFont="1" applyBorder="1" applyAlignment="1" applyProtection="1">
      <alignment horizontal="center" vertical="center"/>
    </xf>
    <xf numFmtId="165" fontId="36" fillId="11" borderId="2" xfId="6" applyNumberFormat="1" applyFont="1" applyBorder="1" applyAlignment="1" applyProtection="1">
      <alignment horizontal="center" vertical="center"/>
    </xf>
    <xf numFmtId="165" fontId="19" fillId="16" borderId="7" xfId="8" applyNumberFormat="1" applyFont="1" applyBorder="1" applyAlignment="1" applyProtection="1">
      <alignment horizontal="center" wrapText="1"/>
    </xf>
    <xf numFmtId="165" fontId="19" fillId="16" borderId="8" xfId="8" applyNumberFormat="1" applyFont="1" applyBorder="1" applyAlignment="1" applyProtection="1">
      <alignment horizontal="center" wrapText="1"/>
    </xf>
    <xf numFmtId="165" fontId="19" fillId="16" borderId="9" xfId="8" applyNumberFormat="1" applyFont="1" applyBorder="1" applyAlignment="1" applyProtection="1">
      <alignment horizontal="center" wrapText="1"/>
    </xf>
    <xf numFmtId="165" fontId="19" fillId="16" borderId="47" xfId="8" applyNumberFormat="1" applyFont="1" applyBorder="1" applyAlignment="1" applyProtection="1">
      <alignment horizontal="center" wrapText="1"/>
    </xf>
    <xf numFmtId="165" fontId="19" fillId="16" borderId="11" xfId="8" applyNumberFormat="1" applyFont="1" applyBorder="1" applyAlignment="1" applyProtection="1">
      <alignment horizontal="center" wrapText="1"/>
    </xf>
    <xf numFmtId="165" fontId="19" fillId="16" borderId="12" xfId="8" applyNumberFormat="1" applyFont="1" applyBorder="1" applyAlignment="1" applyProtection="1">
      <alignment horizontal="center" wrapText="1"/>
    </xf>
    <xf numFmtId="165" fontId="19" fillId="16" borderId="0" xfId="8" applyNumberFormat="1" applyFont="1" applyBorder="1" applyAlignment="1" applyProtection="1">
      <alignment horizontal="center" wrapText="1"/>
    </xf>
    <xf numFmtId="165" fontId="19" fillId="16" borderId="4" xfId="8" applyNumberFormat="1" applyFont="1" applyBorder="1" applyAlignment="1" applyProtection="1">
      <alignment horizontal="center" wrapText="1"/>
    </xf>
    <xf numFmtId="165" fontId="19" fillId="16" borderId="7" xfId="8" applyNumberFormat="1" applyFont="1" applyBorder="1" applyAlignment="1" applyProtection="1">
      <alignment horizontal="center" vertical="center"/>
    </xf>
    <xf numFmtId="165" fontId="19" fillId="16" borderId="8" xfId="8" applyNumberFormat="1" applyFont="1" applyBorder="1" applyAlignment="1" applyProtection="1">
      <alignment horizontal="center" vertical="center"/>
    </xf>
    <xf numFmtId="165" fontId="19" fillId="16" borderId="9" xfId="8" applyNumberFormat="1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vertical="center"/>
    </xf>
    <xf numFmtId="165" fontId="19" fillId="16" borderId="11" xfId="8" applyNumberFormat="1" applyFont="1" applyBorder="1" applyAlignment="1" applyProtection="1">
      <alignment horizontal="center" vertical="center"/>
    </xf>
    <xf numFmtId="165" fontId="19" fillId="16" borderId="12" xfId="8" applyNumberFormat="1" applyFont="1" applyBorder="1" applyAlignment="1" applyProtection="1">
      <alignment horizontal="center" vertical="center"/>
    </xf>
    <xf numFmtId="165" fontId="19" fillId="16" borderId="7" xfId="8" applyNumberFormat="1" applyFont="1" applyBorder="1" applyAlignment="1" applyProtection="1">
      <alignment horizontal="center" vertical="center" wrapText="1"/>
    </xf>
    <xf numFmtId="165" fontId="19" fillId="16" borderId="8" xfId="8" applyNumberFormat="1" applyFont="1" applyBorder="1" applyAlignment="1" applyProtection="1">
      <alignment horizontal="center" vertical="center" wrapText="1"/>
    </xf>
    <xf numFmtId="165" fontId="19" fillId="16" borderId="9" xfId="8" applyNumberFormat="1" applyFont="1" applyBorder="1" applyAlignment="1" applyProtection="1">
      <alignment horizontal="center" vertical="center" wrapText="1"/>
    </xf>
    <xf numFmtId="165" fontId="19" fillId="16" borderId="10" xfId="8" applyNumberFormat="1" applyFont="1" applyBorder="1" applyAlignment="1" applyProtection="1">
      <alignment horizontal="center" vertical="center" wrapText="1"/>
    </xf>
    <xf numFmtId="165" fontId="19" fillId="16" borderId="11" xfId="8" applyNumberFormat="1" applyFont="1" applyBorder="1" applyAlignment="1" applyProtection="1">
      <alignment horizontal="center" vertical="center" wrapText="1"/>
    </xf>
    <xf numFmtId="165" fontId="19" fillId="16" borderId="12" xfId="8" applyNumberFormat="1" applyFont="1" applyBorder="1" applyAlignment="1" applyProtection="1">
      <alignment horizontal="center" vertical="center" wrapText="1"/>
    </xf>
    <xf numFmtId="165" fontId="19" fillId="7" borderId="83" xfId="5" applyNumberFormat="1" applyFont="1" applyBorder="1" applyAlignment="1" applyProtection="1">
      <alignment horizontal="left"/>
    </xf>
    <xf numFmtId="165" fontId="19" fillId="7" borderId="91" xfId="5" applyNumberFormat="1" applyFont="1" applyBorder="1" applyAlignment="1" applyProtection="1">
      <alignment horizontal="left"/>
    </xf>
    <xf numFmtId="165" fontId="19" fillId="7" borderId="92" xfId="5" applyNumberFormat="1" applyFont="1" applyBorder="1" applyAlignment="1" applyProtection="1">
      <alignment horizontal="left"/>
    </xf>
    <xf numFmtId="165" fontId="19" fillId="7" borderId="89" xfId="5" applyNumberFormat="1" applyFont="1" applyBorder="1" applyAlignment="1" applyProtection="1">
      <alignment horizontal="center"/>
    </xf>
    <xf numFmtId="165" fontId="19" fillId="7" borderId="90" xfId="5" applyNumberFormat="1" applyFont="1" applyBorder="1" applyAlignment="1" applyProtection="1">
      <alignment horizontal="center"/>
    </xf>
    <xf numFmtId="165" fontId="19" fillId="7" borderId="87" xfId="5" applyNumberFormat="1" applyFont="1" applyBorder="1" applyAlignment="1" applyProtection="1">
      <alignment horizontal="center"/>
    </xf>
    <xf numFmtId="165" fontId="19" fillId="7" borderId="88" xfId="5" applyNumberFormat="1" applyFont="1" applyBorder="1" applyAlignment="1" applyProtection="1">
      <alignment horizontal="center"/>
    </xf>
    <xf numFmtId="0" fontId="34" fillId="0" borderId="0" xfId="0" applyFont="1"/>
    <xf numFmtId="165" fontId="43" fillId="19" borderId="0" xfId="0" applyNumberFormat="1" applyFont="1" applyFill="1" applyAlignment="1">
      <alignment horizontal="center" vertical="center"/>
    </xf>
    <xf numFmtId="165" fontId="19" fillId="16" borderId="10" xfId="8" applyNumberFormat="1" applyFont="1" applyBorder="1" applyAlignment="1" applyProtection="1">
      <alignment horizontal="center"/>
    </xf>
    <xf numFmtId="165" fontId="19" fillId="16" borderId="12" xfId="8" applyNumberFormat="1" applyFont="1" applyBorder="1" applyAlignment="1" applyProtection="1">
      <alignment horizontal="center"/>
    </xf>
    <xf numFmtId="165" fontId="19" fillId="16" borderId="47" xfId="8" applyNumberFormat="1" applyFont="1" applyBorder="1" applyAlignment="1" applyProtection="1">
      <alignment horizontal="center" vertical="center"/>
    </xf>
    <xf numFmtId="165" fontId="19" fillId="16" borderId="4" xfId="8" applyNumberFormat="1" applyFont="1" applyBorder="1" applyAlignment="1" applyProtection="1">
      <alignment horizontal="center" vertical="center"/>
    </xf>
    <xf numFmtId="165" fontId="31" fillId="2" borderId="20" xfId="1" applyNumberFormat="1" applyFont="1" applyBorder="1" applyAlignment="1" applyProtection="1">
      <alignment horizontal="center" vertical="center"/>
    </xf>
    <xf numFmtId="165" fontId="31" fillId="2" borderId="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165" fontId="42" fillId="19" borderId="0" xfId="0" applyNumberFormat="1" applyFont="1" applyFill="1" applyAlignment="1">
      <alignment horizontal="center" vertical="center"/>
    </xf>
    <xf numFmtId="165" fontId="46" fillId="9" borderId="15" xfId="0" applyNumberFormat="1" applyFont="1" applyFill="1" applyBorder="1" applyAlignment="1">
      <alignment horizontal="center"/>
    </xf>
    <xf numFmtId="0" fontId="19" fillId="16" borderId="0" xfId="8" applyFont="1" applyBorder="1" applyAlignment="1" applyProtection="1">
      <alignment horizontal="right" vertical="center"/>
    </xf>
    <xf numFmtId="0" fontId="19" fillId="16" borderId="39" xfId="8" applyFont="1" applyBorder="1" applyAlignment="1" applyProtection="1">
      <alignment horizontal="right" vertical="center"/>
    </xf>
    <xf numFmtId="165" fontId="31" fillId="2" borderId="122" xfId="1" applyNumberFormat="1" applyFont="1" applyBorder="1" applyAlignment="1" applyProtection="1">
      <alignment horizontal="center"/>
    </xf>
    <xf numFmtId="165" fontId="19" fillId="16" borderId="2" xfId="8" applyNumberFormat="1" applyFont="1" applyBorder="1" applyAlignment="1" applyProtection="1">
      <alignment horizontal="center" vertical="center" wrapText="1"/>
    </xf>
    <xf numFmtId="0" fontId="35" fillId="13" borderId="13" xfId="2" applyFont="1" applyBorder="1" applyAlignment="1" applyProtection="1">
      <alignment horizontal="center" vertical="center"/>
      <protection locked="0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5" fontId="35" fillId="13" borderId="13" xfId="2" applyNumberFormat="1" applyFont="1" applyBorder="1" applyAlignment="1" applyProtection="1">
      <alignment horizontal="center" vertical="center"/>
      <protection locked="0"/>
    </xf>
    <xf numFmtId="165" fontId="35" fillId="13" borderId="1" xfId="2" applyNumberFormat="1" applyFont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vertical="center"/>
    </xf>
    <xf numFmtId="165" fontId="35" fillId="13" borderId="1" xfId="2" quotePrefix="1" applyNumberFormat="1" applyFont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wrapText="1"/>
    </xf>
    <xf numFmtId="165" fontId="45" fillId="14" borderId="41" xfId="4" applyNumberFormat="1" applyFont="1" applyFill="1" applyBorder="1" applyAlignment="1" applyProtection="1">
      <alignment horizontal="center"/>
    </xf>
    <xf numFmtId="165" fontId="45" fillId="14" borderId="42" xfId="4" applyNumberFormat="1" applyFont="1" applyFill="1" applyBorder="1" applyAlignment="1" applyProtection="1">
      <alignment horizontal="center"/>
    </xf>
    <xf numFmtId="165" fontId="19" fillId="0" borderId="0" xfId="0" applyNumberFormat="1" applyFont="1" applyAlignment="1">
      <alignment horizontal="center"/>
    </xf>
    <xf numFmtId="165" fontId="36" fillId="11" borderId="6" xfId="6" applyNumberFormat="1" applyFont="1" applyBorder="1" applyAlignment="1" applyProtection="1">
      <alignment horizontal="center"/>
    </xf>
    <xf numFmtId="165" fontId="28" fillId="3" borderId="6" xfId="0" applyNumberFormat="1" applyFont="1" applyFill="1" applyBorder="1" applyAlignment="1">
      <alignment horizontal="center"/>
    </xf>
    <xf numFmtId="165" fontId="36" fillId="11" borderId="47" xfId="6" applyNumberFormat="1" applyFont="1" applyBorder="1" applyAlignment="1" applyProtection="1">
      <alignment horizontal="center" vertical="center"/>
    </xf>
    <xf numFmtId="0" fontId="31" fillId="2" borderId="1" xfId="1" applyFont="1" applyAlignment="1" applyProtection="1">
      <alignment horizontal="center"/>
    </xf>
    <xf numFmtId="165" fontId="19" fillId="7" borderId="82" xfId="5" applyNumberFormat="1" applyFont="1" applyBorder="1" applyAlignment="1" applyProtection="1">
      <alignment horizontal="left"/>
    </xf>
    <xf numFmtId="165" fontId="19" fillId="7" borderId="93" xfId="5" applyNumberFormat="1" applyFont="1" applyBorder="1" applyAlignment="1" applyProtection="1">
      <alignment horizontal="left"/>
    </xf>
    <xf numFmtId="165" fontId="19" fillId="7" borderId="81" xfId="5" applyNumberFormat="1" applyFont="1" applyBorder="1" applyAlignment="1" applyProtection="1">
      <alignment horizontal="left"/>
    </xf>
    <xf numFmtId="165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39" xfId="5" quotePrefix="1" applyFont="1" applyBorder="1" applyAlignment="1" applyProtection="1">
      <alignment horizontal="center"/>
    </xf>
    <xf numFmtId="165" fontId="35" fillId="13" borderId="37" xfId="2" quotePrefix="1" applyNumberFormat="1" applyFont="1" applyBorder="1" applyAlignment="1" applyProtection="1">
      <alignment horizontal="center"/>
      <protection locked="0"/>
    </xf>
    <xf numFmtId="165" fontId="35" fillId="13" borderId="3" xfId="2" quotePrefix="1" applyNumberFormat="1" applyFont="1" applyBorder="1" applyAlignment="1" applyProtection="1">
      <alignment horizontal="center"/>
      <protection locked="0"/>
    </xf>
    <xf numFmtId="165" fontId="40" fillId="5" borderId="7" xfId="3" applyNumberFormat="1" applyFont="1" applyBorder="1" applyAlignment="1" applyProtection="1">
      <alignment horizontal="center" vertical="center"/>
    </xf>
    <xf numFmtId="165" fontId="40" fillId="5" borderId="8" xfId="3" applyNumberFormat="1" applyFont="1" applyBorder="1" applyAlignment="1" applyProtection="1">
      <alignment horizontal="center" vertical="center"/>
    </xf>
    <xf numFmtId="165" fontId="40" fillId="5" borderId="9" xfId="3" applyNumberFormat="1" applyFont="1" applyBorder="1" applyAlignment="1" applyProtection="1">
      <alignment horizontal="center" vertical="center"/>
    </xf>
    <xf numFmtId="165" fontId="40" fillId="5" borderId="47" xfId="3" applyNumberFormat="1" applyFont="1" applyBorder="1" applyAlignment="1" applyProtection="1">
      <alignment horizontal="center" vertical="center"/>
    </xf>
    <xf numFmtId="165" fontId="40" fillId="5" borderId="0" xfId="3" applyNumberFormat="1" applyFont="1" applyBorder="1" applyAlignment="1" applyProtection="1">
      <alignment horizontal="center" vertical="center"/>
    </xf>
    <xf numFmtId="165" fontId="40" fillId="5" borderId="4" xfId="3" applyNumberFormat="1" applyFont="1" applyBorder="1" applyAlignment="1" applyProtection="1">
      <alignment horizontal="center" vertical="center"/>
    </xf>
    <xf numFmtId="165" fontId="40" fillId="5" borderId="10" xfId="3" applyNumberFormat="1" applyFont="1" applyBorder="1" applyAlignment="1" applyProtection="1">
      <alignment horizontal="center" vertical="center"/>
    </xf>
    <xf numFmtId="165" fontId="40" fillId="5" borderId="11" xfId="3" applyNumberFormat="1" applyFont="1" applyBorder="1" applyAlignment="1" applyProtection="1">
      <alignment horizontal="center" vertical="center"/>
    </xf>
    <xf numFmtId="165" fontId="40" fillId="5" borderId="12" xfId="3" applyNumberFormat="1" applyFont="1" applyBorder="1" applyAlignment="1" applyProtection="1">
      <alignment horizontal="center" vertical="center"/>
    </xf>
    <xf numFmtId="165" fontId="46" fillId="7" borderId="22" xfId="5" applyNumberFormat="1" applyFont="1" applyBorder="1" applyAlignment="1" applyProtection="1">
      <alignment horizontal="center"/>
    </xf>
    <xf numFmtId="165" fontId="46" fillId="7" borderId="80" xfId="5" applyNumberFormat="1" applyFont="1" applyBorder="1" applyAlignment="1" applyProtection="1">
      <alignment horizontal="center"/>
    </xf>
    <xf numFmtId="165" fontId="46" fillId="7" borderId="0" xfId="5" applyNumberFormat="1" applyFont="1" applyBorder="1" applyAlignment="1" applyProtection="1">
      <alignment horizontal="center"/>
    </xf>
    <xf numFmtId="165" fontId="19" fillId="9" borderId="2" xfId="0" applyNumberFormat="1" applyFont="1" applyFill="1" applyBorder="1" applyAlignment="1">
      <alignment horizontal="left"/>
    </xf>
    <xf numFmtId="165" fontId="19" fillId="0" borderId="2" xfId="0" applyNumberFormat="1" applyFont="1" applyBorder="1" applyAlignment="1">
      <alignment horizontal="left"/>
    </xf>
    <xf numFmtId="165" fontId="19" fillId="0" borderId="0" xfId="0" quotePrefix="1" applyNumberFormat="1" applyFont="1" applyAlignment="1">
      <alignment horizontal="center" vertical="center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5" fontId="36" fillId="11" borderId="2" xfId="6" quotePrefix="1" applyNumberFormat="1" applyFont="1" applyBorder="1" applyAlignment="1" applyProtection="1">
      <alignment horizontal="center"/>
    </xf>
    <xf numFmtId="165" fontId="37" fillId="5" borderId="2" xfId="3" applyNumberFormat="1" applyFont="1" applyBorder="1" applyAlignment="1" applyProtection="1">
      <alignment horizontal="center"/>
    </xf>
    <xf numFmtId="165" fontId="31" fillId="2" borderId="7" xfId="1" applyNumberFormat="1" applyFont="1" applyBorder="1" applyAlignment="1" applyProtection="1">
      <alignment horizontal="right" vertical="center"/>
    </xf>
    <xf numFmtId="165" fontId="31" fillId="2" borderId="8" xfId="1" applyNumberFormat="1" applyFont="1" applyBorder="1" applyAlignment="1" applyProtection="1">
      <alignment horizontal="right" vertical="center"/>
    </xf>
    <xf numFmtId="165" fontId="31" fillId="2" borderId="10" xfId="1" applyNumberFormat="1" applyFont="1" applyBorder="1" applyAlignment="1" applyProtection="1">
      <alignment horizontal="right" vertical="center"/>
    </xf>
    <xf numFmtId="165" fontId="31" fillId="2" borderId="11" xfId="1" applyNumberFormat="1" applyFont="1" applyBorder="1" applyAlignment="1" applyProtection="1">
      <alignment horizontal="right" vertical="center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5" fontId="37" fillId="5" borderId="43" xfId="3" applyNumberFormat="1" applyFont="1" applyBorder="1" applyAlignment="1" applyProtection="1">
      <alignment horizontal="right"/>
    </xf>
    <xf numFmtId="165" fontId="37" fillId="5" borderId="23" xfId="3" applyNumberFormat="1" applyFont="1" applyBorder="1" applyAlignment="1" applyProtection="1">
      <alignment horizontal="right"/>
    </xf>
    <xf numFmtId="165" fontId="37" fillId="5" borderId="6" xfId="3" applyNumberFormat="1" applyFont="1" applyBorder="1" applyAlignment="1" applyProtection="1">
      <alignment horizontal="right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5" fontId="37" fillId="5" borderId="78" xfId="3" applyNumberFormat="1" applyFont="1" applyBorder="1" applyAlignment="1" applyProtection="1">
      <alignment horizontal="right"/>
    </xf>
    <xf numFmtId="165" fontId="37" fillId="5" borderId="11" xfId="3" applyNumberFormat="1" applyFont="1" applyBorder="1" applyAlignment="1" applyProtection="1">
      <alignment horizontal="right"/>
    </xf>
    <xf numFmtId="165" fontId="37" fillId="5" borderId="12" xfId="3" applyNumberFormat="1" applyFont="1" applyBorder="1" applyAlignment="1" applyProtection="1">
      <alignment horizontal="right"/>
    </xf>
    <xf numFmtId="165" fontId="31" fillId="2" borderId="13" xfId="1" applyNumberFormat="1" applyFont="1" applyBorder="1" applyAlignment="1" applyProtection="1">
      <alignment horizontal="center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165" fontId="31" fillId="2" borderId="3" xfId="1" applyNumberFormat="1" applyFont="1" applyBorder="1" applyAlignment="1" applyProtection="1">
      <alignment horizontal="center"/>
    </xf>
    <xf numFmtId="0" fontId="34" fillId="12" borderId="2" xfId="0" applyFont="1" applyFill="1" applyBorder="1" applyAlignment="1">
      <alignment horizontal="left" vertical="center"/>
    </xf>
    <xf numFmtId="164" fontId="19" fillId="16" borderId="2" xfId="8" applyNumberFormat="1" applyFont="1" applyBorder="1" applyAlignment="1" applyProtection="1">
      <alignment horizontal="center" vertical="center" wrapText="1"/>
    </xf>
    <xf numFmtId="0" fontId="28" fillId="18" borderId="30" xfId="8" applyFont="1" applyFill="1" applyBorder="1" applyAlignment="1" applyProtection="1">
      <alignment horizontal="right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165" fontId="37" fillId="5" borderId="31" xfId="3" applyNumberFormat="1" applyFont="1" applyBorder="1" applyAlignment="1" applyProtection="1">
      <alignment horizontal="center"/>
    </xf>
    <xf numFmtId="165" fontId="36" fillId="11" borderId="7" xfId="6" applyNumberFormat="1" applyFont="1" applyBorder="1" applyAlignment="1" applyProtection="1">
      <alignment horizontal="center" vertical="center"/>
    </xf>
    <xf numFmtId="165" fontId="36" fillId="11" borderId="8" xfId="6" applyNumberFormat="1" applyFont="1" applyBorder="1" applyAlignment="1" applyProtection="1">
      <alignment horizontal="center" vertical="center"/>
    </xf>
    <xf numFmtId="165" fontId="36" fillId="11" borderId="9" xfId="6" applyNumberFormat="1" applyFont="1" applyBorder="1" applyAlignment="1" applyProtection="1">
      <alignment horizontal="center" vertical="center"/>
    </xf>
    <xf numFmtId="165" fontId="36" fillId="11" borderId="0" xfId="6" applyNumberFormat="1" applyFont="1" applyBorder="1" applyAlignment="1" applyProtection="1">
      <alignment horizontal="center" vertical="center"/>
    </xf>
    <xf numFmtId="165" fontId="36" fillId="11" borderId="4" xfId="6" applyNumberFormat="1" applyFont="1" applyBorder="1" applyAlignment="1" applyProtection="1">
      <alignment horizontal="center" vertical="center"/>
    </xf>
    <xf numFmtId="165" fontId="35" fillId="13" borderId="99" xfId="2" applyNumberFormat="1" applyFont="1" applyBorder="1" applyAlignment="1" applyProtection="1">
      <alignment horizontal="center" vertical="center"/>
      <protection locked="0"/>
    </xf>
    <xf numFmtId="165" fontId="35" fillId="13" borderId="8" xfId="2" applyNumberFormat="1" applyFont="1" applyBorder="1" applyAlignment="1" applyProtection="1">
      <alignment horizontal="center" vertical="center"/>
      <protection locked="0"/>
    </xf>
    <xf numFmtId="165" fontId="35" fillId="13" borderId="17" xfId="2" applyNumberFormat="1" applyFont="1" applyBorder="1" applyAlignment="1" applyProtection="1">
      <alignment horizontal="center" vertical="center"/>
      <protection locked="0"/>
    </xf>
    <xf numFmtId="165" fontId="35" fillId="13" borderId="45" xfId="2" applyNumberFormat="1" applyFont="1" applyBorder="1" applyAlignment="1" applyProtection="1">
      <alignment horizontal="center" vertical="center"/>
      <protection locked="0"/>
    </xf>
    <xf numFmtId="165" fontId="31" fillId="2" borderId="13" xfId="1" applyNumberFormat="1" applyFont="1" applyBorder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 vertical="center"/>
    </xf>
    <xf numFmtId="165" fontId="31" fillId="2" borderId="44" xfId="1" applyNumberFormat="1" applyFont="1" applyBorder="1" applyAlignment="1" applyProtection="1">
      <alignment horizontal="center"/>
    </xf>
    <xf numFmtId="165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5" fontId="36" fillId="11" borderId="1" xfId="6" quotePrefix="1" applyNumberFormat="1" applyFont="1" applyBorder="1" applyAlignment="1" applyProtection="1">
      <alignment horizontal="center"/>
    </xf>
    <xf numFmtId="165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165" fontId="31" fillId="2" borderId="38" xfId="1" applyNumberFormat="1" applyFont="1" applyBorder="1" applyAlignment="1" applyProtection="1">
      <alignment horizontal="center"/>
    </xf>
    <xf numFmtId="164" fontId="19" fillId="16" borderId="95" xfId="8" applyNumberFormat="1" applyFont="1" applyBorder="1" applyAlignment="1" applyProtection="1">
      <alignment horizontal="center" vertical="center" wrapText="1"/>
    </xf>
    <xf numFmtId="164" fontId="19" fillId="16" borderId="96" xfId="8" applyNumberFormat="1" applyFont="1" applyBorder="1" applyAlignment="1" applyProtection="1">
      <alignment horizontal="center" vertical="center" wrapText="1"/>
    </xf>
    <xf numFmtId="164" fontId="19" fillId="16" borderId="97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0" fontId="38" fillId="6" borderId="24" xfId="4" applyFont="1" applyAlignment="1" applyProtection="1">
      <alignment horizontal="center" vertical="center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165" fontId="38" fillId="6" borderId="49" xfId="4" applyNumberFormat="1" applyFont="1" applyBorder="1" applyAlignment="1" applyProtection="1">
      <alignment horizont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0" fontId="37" fillId="5" borderId="2" xfId="3" applyFont="1" applyBorder="1" applyAlignment="1" applyProtection="1">
      <alignment horizontal="center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165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8" fillId="6" borderId="24" xfId="4" applyFont="1" applyAlignment="1" applyProtection="1">
      <alignment horizontal="center"/>
    </xf>
    <xf numFmtId="0" fontId="34" fillId="12" borderId="30" xfId="0" applyFont="1" applyFill="1" applyBorder="1" applyAlignment="1">
      <alignment horizontal="left" vertical="center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5" fontId="31" fillId="2" borderId="7" xfId="1" applyNumberFormat="1" applyFont="1" applyBorder="1" applyAlignment="1" applyProtection="1">
      <alignment horizontal="center" vertical="center"/>
    </xf>
    <xf numFmtId="165" fontId="31" fillId="2" borderId="47" xfId="1" applyNumberFormat="1" applyFont="1" applyBorder="1" applyAlignment="1" applyProtection="1">
      <alignment horizontal="center" vertical="center"/>
    </xf>
    <xf numFmtId="165" fontId="31" fillId="2" borderId="4" xfId="1" applyNumberFormat="1" applyFont="1" applyBorder="1" applyAlignment="1" applyProtection="1">
      <alignment horizontal="center" vertical="center"/>
    </xf>
    <xf numFmtId="165" fontId="31" fillId="2" borderId="46" xfId="1" applyNumberFormat="1" applyFont="1" applyBorder="1" applyAlignment="1" applyProtection="1">
      <alignment horizontal="center" vertical="center"/>
    </xf>
    <xf numFmtId="165" fontId="31" fillId="2" borderId="45" xfId="1" applyNumberFormat="1" applyFont="1" applyBorder="1" applyAlignment="1" applyProtection="1">
      <alignment horizontal="center" vertical="center"/>
    </xf>
    <xf numFmtId="165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165" fontId="35" fillId="13" borderId="19" xfId="2" applyNumberFormat="1" applyFont="1" applyBorder="1" applyAlignment="1" applyProtection="1">
      <alignment horizontal="center" vertical="center"/>
      <protection locked="0"/>
    </xf>
    <xf numFmtId="165" fontId="35" fillId="13" borderId="20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19" fillId="9" borderId="15" xfId="0" applyNumberFormat="1" applyFont="1" applyFill="1" applyBorder="1" applyAlignment="1">
      <alignment horizontal="center"/>
    </xf>
    <xf numFmtId="0" fontId="0" fillId="7" borderId="140" xfId="5" quotePrefix="1" applyFont="1" applyBorder="1" applyAlignment="1" applyProtection="1">
      <alignment horizontal="center"/>
    </xf>
    <xf numFmtId="0" fontId="0" fillId="7" borderId="141" xfId="5" quotePrefix="1" applyFont="1" applyBorder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9" fillId="9" borderId="108" xfId="0" applyNumberFormat="1" applyFont="1" applyFill="1" applyBorder="1" applyAlignment="1">
      <alignment horizontal="center"/>
    </xf>
    <xf numFmtId="165" fontId="19" fillId="7" borderId="111" xfId="5" applyNumberFormat="1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0" fontId="39" fillId="7" borderId="77" xfId="5" applyFont="1" applyBorder="1" applyAlignment="1" applyProtection="1">
      <alignment horizontal="center"/>
    </xf>
    <xf numFmtId="165" fontId="36" fillId="11" borderId="10" xfId="6" applyNumberFormat="1" applyFont="1" applyBorder="1" applyAlignment="1" applyProtection="1">
      <alignment horizontal="center" vertical="center"/>
    </xf>
    <xf numFmtId="165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0" fontId="19" fillId="29" borderId="2" xfId="8" applyFont="1" applyFill="1" applyBorder="1" applyAlignment="1" applyProtection="1">
      <alignment horizontal="right"/>
    </xf>
    <xf numFmtId="165" fontId="38" fillId="6" borderId="61" xfId="4" applyNumberFormat="1" applyFont="1" applyBorder="1" applyAlignment="1" applyProtection="1">
      <alignment horizontal="center"/>
    </xf>
    <xf numFmtId="165" fontId="38" fillId="6" borderId="62" xfId="4" applyNumberFormat="1" applyFont="1" applyBorder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165" fontId="35" fillId="13" borderId="18" xfId="2" applyNumberFormat="1" applyFont="1" applyBorder="1" applyAlignment="1" applyProtection="1">
      <alignment horizontal="center" vertical="center"/>
      <protection locked="0"/>
    </xf>
    <xf numFmtId="165" fontId="35" fillId="13" borderId="3" xfId="2" applyNumberFormat="1" applyFont="1" applyBorder="1" applyAlignment="1" applyProtection="1">
      <alignment horizontal="center" vertical="center"/>
      <protection locked="0"/>
    </xf>
    <xf numFmtId="165" fontId="31" fillId="2" borderId="17" xfId="1" applyNumberFormat="1" applyFont="1" applyBorder="1" applyAlignment="1" applyProtection="1">
      <alignment horizontal="center"/>
    </xf>
    <xf numFmtId="165" fontId="31" fillId="2" borderId="45" xfId="1" applyNumberFormat="1" applyFont="1" applyBorder="1" applyAlignment="1" applyProtection="1">
      <alignment horizontal="center"/>
    </xf>
    <xf numFmtId="165" fontId="31" fillId="2" borderId="18" xfId="1" applyNumberFormat="1" applyFont="1" applyBorder="1" applyAlignment="1" applyProtection="1">
      <alignment horizontal="center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9" fillId="16" borderId="0" xfId="8" applyNumberFormat="1" applyFont="1" applyAlignment="1" applyProtection="1">
      <alignment horizontal="center"/>
    </xf>
    <xf numFmtId="165" fontId="19" fillId="16" borderId="39" xfId="8" applyNumberFormat="1" applyFont="1" applyBorder="1" applyAlignment="1" applyProtection="1">
      <alignment horizontal="center"/>
    </xf>
    <xf numFmtId="165" fontId="35" fillId="13" borderId="8" xfId="2" quotePrefix="1" applyNumberFormat="1" applyFont="1" applyBorder="1" applyAlignment="1" applyProtection="1">
      <alignment horizontal="center" vertical="center"/>
      <protection locked="0"/>
    </xf>
    <xf numFmtId="165" fontId="35" fillId="13" borderId="61" xfId="2" quotePrefix="1" applyNumberFormat="1" applyFont="1" applyBorder="1" applyAlignment="1" applyProtection="1">
      <alignment horizontal="center" vertical="center"/>
      <protection locked="0"/>
    </xf>
    <xf numFmtId="165" fontId="35" fillId="13" borderId="13" xfId="2" quotePrefix="1" applyNumberFormat="1" applyFont="1" applyBorder="1" applyAlignment="1" applyProtection="1">
      <alignment horizontal="center" vertical="center"/>
      <protection locked="0"/>
    </xf>
    <xf numFmtId="0" fontId="38" fillId="6" borderId="49" xfId="4" applyFont="1" applyBorder="1" applyAlignment="1" applyProtection="1">
      <alignment horizontal="center"/>
    </xf>
    <xf numFmtId="165" fontId="31" fillId="2" borderId="29" xfId="1" applyNumberFormat="1" applyFont="1" applyBorder="1" applyAlignment="1" applyProtection="1">
      <alignment horizontal="center"/>
    </xf>
    <xf numFmtId="165" fontId="31" fillId="2" borderId="124" xfId="1" applyNumberFormat="1" applyFont="1" applyBorder="1" applyAlignment="1" applyProtection="1">
      <alignment horizontal="center"/>
    </xf>
    <xf numFmtId="165" fontId="31" fillId="2" borderId="15" xfId="1" applyNumberFormat="1" applyFont="1" applyBorder="1" applyAlignment="1" applyProtection="1">
      <alignment horizontal="center"/>
    </xf>
    <xf numFmtId="165" fontId="31" fillId="2" borderId="108" xfId="1" applyNumberFormat="1" applyFont="1" applyBorder="1" applyAlignment="1" applyProtection="1">
      <alignment horizontal="center"/>
    </xf>
    <xf numFmtId="165" fontId="38" fillId="6" borderId="125" xfId="4" applyNumberFormat="1" applyFont="1" applyBorder="1" applyAlignment="1" applyProtection="1">
      <alignment horizontal="left"/>
    </xf>
    <xf numFmtId="0" fontId="19" fillId="29" borderId="10" xfId="8" applyFont="1" applyFill="1" applyBorder="1" applyAlignment="1" applyProtection="1">
      <alignment horizontal="right"/>
    </xf>
    <xf numFmtId="0" fontId="19" fillId="29" borderId="11" xfId="8" applyFont="1" applyFill="1" applyBorder="1" applyAlignment="1" applyProtection="1">
      <alignment horizontal="right"/>
    </xf>
    <xf numFmtId="0" fontId="19" fillId="29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5" fontId="31" fillId="2" borderId="5" xfId="1" applyNumberFormat="1" applyFont="1" applyBorder="1" applyAlignment="1" applyProtection="1">
      <alignment horizontal="center"/>
    </xf>
    <xf numFmtId="165" fontId="31" fillId="2" borderId="23" xfId="1" applyNumberFormat="1" applyFont="1" applyBorder="1" applyAlignment="1" applyProtection="1">
      <alignment horizontal="center"/>
    </xf>
    <xf numFmtId="165" fontId="31" fillId="2" borderId="6" xfId="1" applyNumberFormat="1" applyFont="1" applyBorder="1" applyAlignment="1" applyProtection="1">
      <alignment horizontal="center"/>
    </xf>
    <xf numFmtId="165" fontId="40" fillId="5" borderId="14" xfId="3" applyNumberFormat="1" applyFont="1" applyBorder="1" applyAlignment="1" applyProtection="1">
      <alignment horizontal="center" vertical="center"/>
    </xf>
    <xf numFmtId="165" fontId="40" fillId="5" borderId="15" xfId="3" applyNumberFormat="1" applyFont="1" applyBorder="1" applyAlignment="1" applyProtection="1">
      <alignment horizontal="center" vertical="center"/>
    </xf>
    <xf numFmtId="165" fontId="40" fillId="5" borderId="16" xfId="3" applyNumberFormat="1" applyFont="1" applyBorder="1" applyAlignment="1" applyProtection="1">
      <alignment horizontal="center" vertic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165" fontId="19" fillId="16" borderId="1" xfId="8" applyNumberFormat="1" applyFont="1" applyBorder="1" applyAlignment="1" applyProtection="1">
      <alignment horizontal="center" vertical="center"/>
    </xf>
    <xf numFmtId="168" fontId="31" fillId="2" borderId="5" xfId="1" applyNumberFormat="1" applyFont="1" applyBorder="1" applyAlignment="1" applyProtection="1">
      <alignment horizontal="center"/>
    </xf>
    <xf numFmtId="168" fontId="31" fillId="2" borderId="23" xfId="1" applyNumberFormat="1" applyFont="1" applyBorder="1" applyAlignment="1" applyProtection="1">
      <alignment horizontal="center"/>
    </xf>
    <xf numFmtId="0" fontId="37" fillId="5" borderId="5" xfId="3" applyFont="1" applyBorder="1" applyAlignment="1" applyProtection="1">
      <alignment horizontal="center"/>
    </xf>
    <xf numFmtId="0" fontId="37" fillId="5" borderId="23" xfId="3" applyFont="1" applyBorder="1" applyAlignment="1" applyProtection="1">
      <alignment horizontal="center"/>
    </xf>
    <xf numFmtId="0" fontId="37" fillId="5" borderId="6" xfId="3" applyFont="1" applyBorder="1" applyAlignment="1" applyProtection="1">
      <alignment horizontal="center"/>
    </xf>
    <xf numFmtId="165" fontId="8" fillId="6" borderId="98" xfId="4" applyNumberFormat="1" applyBorder="1" applyAlignment="1" applyProtection="1">
      <alignment horizontal="center"/>
    </xf>
    <xf numFmtId="165" fontId="8" fillId="6" borderId="41" xfId="4" applyNumberFormat="1" applyBorder="1" applyAlignment="1" applyProtection="1">
      <alignment horizontal="center"/>
    </xf>
    <xf numFmtId="165" fontId="8" fillId="6" borderId="42" xfId="4" applyNumberFormat="1" applyBorder="1" applyAlignment="1" applyProtection="1">
      <alignment horizontal="center"/>
    </xf>
    <xf numFmtId="165" fontId="36" fillId="11" borderId="31" xfId="6" applyNumberFormat="1" applyFont="1" applyBorder="1" applyAlignment="1" applyProtection="1">
      <alignment horizontal="center"/>
    </xf>
    <xf numFmtId="165" fontId="36" fillId="11" borderId="10" xfId="6" applyNumberFormat="1" applyFont="1" applyBorder="1" applyAlignment="1" applyProtection="1">
      <alignment horizontal="center"/>
    </xf>
    <xf numFmtId="168" fontId="36" fillId="11" borderId="2" xfId="6" applyNumberFormat="1" applyFont="1" applyBorder="1" applyAlignment="1" applyProtection="1">
      <alignment horizontal="center"/>
    </xf>
    <xf numFmtId="165" fontId="28" fillId="7" borderId="2" xfId="5" quotePrefix="1" applyNumberFormat="1" applyFont="1" applyBorder="1" applyAlignment="1" applyProtection="1">
      <alignment horizontal="left"/>
    </xf>
    <xf numFmtId="165" fontId="19" fillId="7" borderId="5" xfId="5" applyNumberFormat="1" applyFont="1" applyBorder="1" applyAlignment="1" applyProtection="1">
      <alignment horizontal="center"/>
    </xf>
    <xf numFmtId="165" fontId="19" fillId="7" borderId="23" xfId="5" applyNumberFormat="1" applyFont="1" applyBorder="1" applyAlignment="1" applyProtection="1">
      <alignment horizontal="center"/>
    </xf>
    <xf numFmtId="165" fontId="19" fillId="7" borderId="6" xfId="5" applyNumberFormat="1" applyFont="1" applyBorder="1" applyAlignment="1" applyProtection="1">
      <alignment horizontal="center"/>
    </xf>
    <xf numFmtId="165" fontId="46" fillId="7" borderId="5" xfId="5" applyNumberFormat="1" applyFont="1" applyBorder="1" applyAlignment="1" applyProtection="1">
      <alignment horizontal="center"/>
    </xf>
    <xf numFmtId="165" fontId="46" fillId="7" borderId="23" xfId="5" applyNumberFormat="1" applyFont="1" applyBorder="1" applyAlignment="1" applyProtection="1">
      <alignment horizontal="center"/>
    </xf>
    <xf numFmtId="165" fontId="46" fillId="7" borderId="8" xfId="5" applyNumberFormat="1" applyFont="1" applyBorder="1" applyAlignment="1" applyProtection="1">
      <alignment horizontal="center"/>
    </xf>
    <xf numFmtId="165" fontId="46" fillId="7" borderId="9" xfId="5" applyNumberFormat="1" applyFont="1" applyBorder="1" applyAlignment="1" applyProtection="1">
      <alignment horizontal="center"/>
    </xf>
    <xf numFmtId="165" fontId="31" fillId="2" borderId="148" xfId="1" applyNumberFormat="1" applyFont="1" applyBorder="1" applyAlignment="1" applyProtection="1">
      <alignment horizontal="center" vertical="center"/>
    </xf>
    <xf numFmtId="165" fontId="31" fillId="2" borderId="61" xfId="1" applyNumberFormat="1" applyFont="1" applyBorder="1" applyAlignment="1" applyProtection="1">
      <alignment horizontal="center" vertical="center"/>
    </xf>
    <xf numFmtId="165" fontId="31" fillId="2" borderId="149" xfId="1" applyNumberFormat="1" applyFont="1" applyBorder="1" applyAlignment="1" applyProtection="1">
      <alignment horizontal="center" vertical="center"/>
    </xf>
    <xf numFmtId="165" fontId="19" fillId="9" borderId="14" xfId="0" applyNumberFormat="1" applyFont="1" applyFill="1" applyBorder="1" applyAlignment="1">
      <alignment horizontal="left"/>
    </xf>
    <xf numFmtId="165" fontId="19" fillId="9" borderId="15" xfId="0" applyNumberFormat="1" applyFont="1" applyFill="1" applyBorder="1" applyAlignment="1">
      <alignment horizontal="left"/>
    </xf>
    <xf numFmtId="165" fontId="28" fillId="7" borderId="5" xfId="5" quotePrefix="1" applyNumberFormat="1" applyFont="1" applyBorder="1" applyAlignment="1" applyProtection="1">
      <alignment horizontal="left"/>
    </xf>
    <xf numFmtId="165" fontId="28" fillId="7" borderId="23" xfId="5" quotePrefix="1" applyNumberFormat="1" applyFont="1" applyBorder="1" applyAlignment="1" applyProtection="1">
      <alignment horizontal="left"/>
    </xf>
    <xf numFmtId="165" fontId="28" fillId="7" borderId="6" xfId="5" quotePrefix="1" applyNumberFormat="1" applyFont="1" applyBorder="1" applyAlignment="1" applyProtection="1">
      <alignment horizontal="left"/>
    </xf>
    <xf numFmtId="165" fontId="37" fillId="5" borderId="5" xfId="3" applyNumberFormat="1" applyFont="1" applyBorder="1" applyAlignment="1" applyProtection="1">
      <alignment horizontal="center"/>
    </xf>
    <xf numFmtId="165" fontId="37" fillId="5" borderId="23" xfId="3" applyNumberFormat="1" applyFont="1" applyBorder="1" applyAlignment="1" applyProtection="1">
      <alignment horizontal="center"/>
    </xf>
    <xf numFmtId="165" fontId="37" fillId="5" borderId="6" xfId="3" applyNumberFormat="1" applyFont="1" applyBorder="1" applyAlignment="1" applyProtection="1">
      <alignment horizontal="center"/>
    </xf>
    <xf numFmtId="165" fontId="37" fillId="5" borderId="5" xfId="3" applyNumberFormat="1" applyFont="1" applyBorder="1" applyAlignment="1" applyProtection="1">
      <alignment horizontal="right"/>
    </xf>
    <xf numFmtId="165" fontId="36" fillId="11" borderId="11" xfId="6" applyNumberFormat="1" applyFont="1" applyBorder="1" applyAlignment="1" applyProtection="1">
      <alignment horizontal="center" vertical="center"/>
    </xf>
    <xf numFmtId="165" fontId="31" fillId="2" borderId="150" xfId="1" applyNumberFormat="1" applyFont="1" applyBorder="1" applyAlignment="1" applyProtection="1">
      <alignment horizontal="center"/>
    </xf>
    <xf numFmtId="165" fontId="31" fillId="2" borderId="151" xfId="1" applyNumberFormat="1" applyFont="1" applyBorder="1" applyAlignment="1" applyProtection="1">
      <alignment horizontal="center"/>
    </xf>
    <xf numFmtId="165" fontId="31" fillId="2" borderId="152" xfId="1" applyNumberFormat="1" applyFont="1" applyBorder="1" applyAlignment="1" applyProtection="1">
      <alignment horizontal="center"/>
    </xf>
    <xf numFmtId="165" fontId="38" fillId="6" borderId="128" xfId="4" applyNumberFormat="1" applyFont="1" applyBorder="1" applyAlignment="1" applyProtection="1">
      <alignment horizontal="left"/>
    </xf>
    <xf numFmtId="165" fontId="38" fillId="6" borderId="15" xfId="4" applyNumberFormat="1" applyFont="1" applyBorder="1" applyAlignment="1" applyProtection="1">
      <alignment horizontal="left"/>
    </xf>
    <xf numFmtId="165" fontId="38" fillId="6" borderId="129" xfId="4" applyNumberFormat="1" applyFont="1" applyBorder="1" applyAlignment="1" applyProtection="1">
      <alignment horizontal="left"/>
    </xf>
    <xf numFmtId="165" fontId="31" fillId="7" borderId="25" xfId="5" applyNumberFormat="1" applyFont="1" applyAlignment="1" applyProtection="1">
      <alignment horizontal="center" vertical="center"/>
    </xf>
    <xf numFmtId="0" fontId="31" fillId="7" borderId="25" xfId="5" applyFont="1" applyAlignment="1" applyProtection="1">
      <alignment horizontal="center" vertical="center"/>
    </xf>
    <xf numFmtId="165" fontId="31" fillId="2" borderId="10" xfId="1" applyNumberFormat="1" applyFont="1" applyBorder="1" applyAlignment="1" applyProtection="1">
      <alignment horizontal="center" vertical="center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7" fontId="31" fillId="7" borderId="25" xfId="5" applyNumberFormat="1" applyFont="1" applyAlignment="1" applyProtection="1">
      <alignment horizontal="center" vertical="center"/>
    </xf>
    <xf numFmtId="0" fontId="3" fillId="13" borderId="153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108" xfId="2" applyBorder="1" applyAlignment="1" applyProtection="1">
      <alignment horizontal="center"/>
      <protection locked="0"/>
    </xf>
    <xf numFmtId="49" fontId="35" fillId="7" borderId="25" xfId="5" quotePrefix="1" applyNumberFormat="1" applyFont="1" applyAlignment="1" applyProtection="1">
      <alignment horizontal="center"/>
    </xf>
    <xf numFmtId="49" fontId="35" fillId="7" borderId="25" xfId="5" applyNumberFormat="1" applyFont="1" applyAlignment="1" applyProtection="1">
      <alignment horizontal="center"/>
    </xf>
    <xf numFmtId="165" fontId="73" fillId="3" borderId="29" xfId="1" applyNumberFormat="1" applyFont="1" applyFill="1" applyBorder="1" applyAlignment="1" applyProtection="1">
      <alignment horizontal="center" vertical="center"/>
    </xf>
    <xf numFmtId="165" fontId="73" fillId="3" borderId="13" xfId="1" applyNumberFormat="1" applyFont="1" applyFill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9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73" fillId="3" borderId="2" xfId="1" applyFont="1" applyFill="1" applyBorder="1" applyAlignment="1" applyProtection="1">
      <alignment horizontal="center" vertical="center"/>
    </xf>
    <xf numFmtId="165" fontId="38" fillId="6" borderId="144" xfId="4" applyNumberFormat="1" applyFont="1" applyBorder="1" applyAlignment="1" applyProtection="1">
      <alignment horizontal="center" vertical="center"/>
    </xf>
    <xf numFmtId="165" fontId="38" fillId="6" borderId="0" xfId="4" applyNumberFormat="1" applyFont="1" applyBorder="1" applyAlignment="1" applyProtection="1">
      <alignment horizontal="center" vertical="center"/>
    </xf>
    <xf numFmtId="165" fontId="73" fillId="3" borderId="1" xfId="1" applyNumberFormat="1" applyFont="1" applyFill="1" applyAlignment="1" applyProtection="1">
      <alignment horizontal="center" vertical="center"/>
    </xf>
    <xf numFmtId="0" fontId="73" fillId="3" borderId="1" xfId="1" applyFont="1" applyFill="1" applyAlignment="1" applyProtection="1">
      <alignment horizontal="center" vertical="center"/>
    </xf>
    <xf numFmtId="165" fontId="46" fillId="7" borderId="2" xfId="5" applyNumberFormat="1" applyFont="1" applyBorder="1" applyAlignment="1" applyProtection="1">
      <alignment horizontal="center" vertical="center" wrapText="1"/>
    </xf>
    <xf numFmtId="165" fontId="70" fillId="7" borderId="143" xfId="12" applyNumberFormat="1" applyFill="1" applyAlignment="1" applyProtection="1">
      <alignment horizontal="center" vertical="center"/>
    </xf>
    <xf numFmtId="0" fontId="13" fillId="11" borderId="13" xfId="6" applyBorder="1" applyAlignment="1" applyProtection="1">
      <alignment horizontal="center" vertical="center"/>
    </xf>
    <xf numFmtId="0" fontId="13" fillId="11" borderId="1" xfId="6" applyBorder="1" applyAlignment="1" applyProtection="1">
      <alignment horizontal="center" vertical="center"/>
    </xf>
    <xf numFmtId="165" fontId="28" fillId="31" borderId="14" xfId="0" applyNumberFormat="1" applyFont="1" applyFill="1" applyBorder="1" applyAlignment="1">
      <alignment horizontal="left"/>
    </xf>
    <xf numFmtId="165" fontId="28" fillId="31" borderId="15" xfId="0" applyNumberFormat="1" applyFont="1" applyFill="1" applyBorder="1" applyAlignment="1">
      <alignment horizontal="left"/>
    </xf>
    <xf numFmtId="165" fontId="65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65" fontId="46" fillId="34" borderId="7" xfId="8" applyNumberFormat="1" applyFont="1" applyFill="1" applyBorder="1" applyAlignment="1" applyProtection="1">
      <alignment horizontal="center" vertical="center" wrapText="1"/>
    </xf>
    <xf numFmtId="165" fontId="46" fillId="34" borderId="8" xfId="8" applyNumberFormat="1" applyFont="1" applyFill="1" applyBorder="1" applyAlignment="1" applyProtection="1">
      <alignment horizontal="center" vertical="center" wrapText="1"/>
    </xf>
    <xf numFmtId="165" fontId="46" fillId="34" borderId="9" xfId="8" applyNumberFormat="1" applyFont="1" applyFill="1" applyBorder="1" applyAlignment="1" applyProtection="1">
      <alignment horizontal="center" vertical="center" wrapText="1"/>
    </xf>
    <xf numFmtId="165" fontId="46" fillId="34" borderId="10" xfId="8" applyNumberFormat="1" applyFont="1" applyFill="1" applyBorder="1" applyAlignment="1" applyProtection="1">
      <alignment horizontal="center" vertical="center" wrapText="1"/>
    </xf>
    <xf numFmtId="165" fontId="46" fillId="34" borderId="11" xfId="8" applyNumberFormat="1" applyFont="1" applyFill="1" applyBorder="1" applyAlignment="1" applyProtection="1">
      <alignment horizontal="center" vertical="center" wrapText="1"/>
    </xf>
    <xf numFmtId="165" fontId="46" fillId="34" borderId="12" xfId="8" applyNumberFormat="1" applyFont="1" applyFill="1" applyBorder="1" applyAlignment="1" applyProtection="1">
      <alignment horizontal="center" vertical="center" wrapText="1"/>
    </xf>
    <xf numFmtId="165" fontId="19" fillId="16" borderId="7" xfId="8" applyNumberFormat="1" applyFont="1" applyBorder="1" applyAlignment="1" applyProtection="1">
      <alignment horizontal="left" vertical="center"/>
    </xf>
    <xf numFmtId="165" fontId="19" fillId="16" borderId="8" xfId="8" applyNumberFormat="1" applyFont="1" applyBorder="1" applyAlignment="1" applyProtection="1">
      <alignment horizontal="left" vertical="center"/>
    </xf>
    <xf numFmtId="165" fontId="19" fillId="16" borderId="9" xfId="8" applyNumberFormat="1" applyFont="1" applyBorder="1" applyAlignment="1" applyProtection="1">
      <alignment horizontal="left" vertical="center"/>
    </xf>
    <xf numFmtId="165" fontId="19" fillId="16" borderId="10" xfId="8" applyNumberFormat="1" applyFont="1" applyBorder="1" applyAlignment="1" applyProtection="1">
      <alignment horizontal="left" vertical="center"/>
    </xf>
    <xf numFmtId="165" fontId="19" fillId="16" borderId="11" xfId="8" applyNumberFormat="1" applyFont="1" applyBorder="1" applyAlignment="1" applyProtection="1">
      <alignment horizontal="left" vertical="center"/>
    </xf>
    <xf numFmtId="165" fontId="19" fillId="16" borderId="12" xfId="8" applyNumberFormat="1" applyFont="1" applyBorder="1" applyAlignment="1" applyProtection="1">
      <alignment horizontal="left" vertical="center"/>
    </xf>
    <xf numFmtId="165" fontId="65" fillId="7" borderId="5" xfId="5" applyNumberFormat="1" applyFont="1" applyBorder="1" applyAlignment="1" applyProtection="1">
      <alignment horizontal="left" vertical="center"/>
    </xf>
    <xf numFmtId="165" fontId="65" fillId="7" borderId="23" xfId="5" applyNumberFormat="1" applyFont="1" applyBorder="1" applyAlignment="1" applyProtection="1">
      <alignment horizontal="left" vertical="center"/>
    </xf>
    <xf numFmtId="165" fontId="65" fillId="7" borderId="6" xfId="5" applyNumberFormat="1" applyFont="1" applyBorder="1" applyAlignment="1" applyProtection="1">
      <alignment horizontal="left" vertical="center"/>
    </xf>
    <xf numFmtId="0" fontId="31" fillId="2" borderId="13" xfId="1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5" fontId="35" fillId="13" borderId="105" xfId="2" quotePrefix="1" applyNumberFormat="1" applyFont="1" applyBorder="1" applyAlignment="1" applyProtection="1">
      <alignment horizontal="center" vertical="center"/>
      <protection locked="0"/>
    </xf>
    <xf numFmtId="165" fontId="35" fillId="13" borderId="0" xfId="2" applyNumberFormat="1" applyFont="1" applyBorder="1" applyAlignment="1" applyProtection="1">
      <alignment horizontal="center" vertical="center"/>
      <protection locked="0"/>
    </xf>
    <xf numFmtId="165" fontId="35" fillId="13" borderId="106" xfId="2" applyNumberFormat="1" applyFont="1" applyBorder="1" applyAlignment="1" applyProtection="1">
      <alignment horizontal="center" vertical="center"/>
      <protection locked="0"/>
    </xf>
    <xf numFmtId="165" fontId="35" fillId="13" borderId="105" xfId="2" applyNumberFormat="1" applyFont="1" applyBorder="1" applyAlignment="1" applyProtection="1">
      <alignment horizontal="center" vertical="center"/>
      <protection locked="0"/>
    </xf>
    <xf numFmtId="165" fontId="35" fillId="13" borderId="107" xfId="2" applyNumberFormat="1" applyFont="1" applyBorder="1" applyAlignment="1" applyProtection="1">
      <alignment horizontal="center" vertical="center"/>
      <protection locked="0"/>
    </xf>
    <xf numFmtId="0" fontId="0" fillId="31" borderId="31" xfId="0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/>
    </xf>
    <xf numFmtId="0" fontId="1" fillId="2" borderId="145" xfId="1" applyBorder="1" applyAlignment="1" applyProtection="1">
      <alignment horizontal="center" vertical="center"/>
    </xf>
    <xf numFmtId="0" fontId="1" fillId="2" borderId="146" xfId="1" applyBorder="1" applyAlignment="1" applyProtection="1">
      <alignment horizontal="center" vertical="center"/>
    </xf>
    <xf numFmtId="0" fontId="1" fillId="2" borderId="44" xfId="1" applyBorder="1" applyAlignment="1" applyProtection="1">
      <alignment horizontal="center" vertical="center"/>
    </xf>
    <xf numFmtId="0" fontId="1" fillId="2" borderId="38" xfId="1" applyBorder="1" applyAlignment="1" applyProtection="1">
      <alignment horizontal="center" vertical="center"/>
    </xf>
    <xf numFmtId="165" fontId="1" fillId="2" borderId="147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13" fillId="11" borderId="31" xfId="6" applyBorder="1" applyAlignment="1" applyProtection="1">
      <alignment horizontal="center" vertical="center"/>
    </xf>
    <xf numFmtId="0" fontId="13" fillId="11" borderId="2" xfId="6" applyBorder="1" applyAlignment="1" applyProtection="1">
      <alignment horizontal="center" vertical="center"/>
    </xf>
    <xf numFmtId="165" fontId="35" fillId="13" borderId="19" xfId="2" quotePrefix="1" applyNumberFormat="1" applyFont="1" applyBorder="1" applyAlignment="1" applyProtection="1">
      <alignment horizontal="center" vertical="center"/>
      <protection locked="0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165" fontId="68" fillId="13" borderId="13" xfId="2" applyNumberFormat="1" applyFont="1" applyBorder="1" applyAlignment="1" applyProtection="1">
      <alignment horizontal="center" vertical="center"/>
      <protection locked="0"/>
    </xf>
    <xf numFmtId="165" fontId="68" fillId="13" borderId="1" xfId="2" applyNumberFormat="1" applyFont="1" applyAlignment="1" applyProtection="1">
      <alignment horizontal="center" vertical="center"/>
      <protection locked="0"/>
    </xf>
    <xf numFmtId="165" fontId="68" fillId="13" borderId="13" xfId="2" quotePrefix="1" applyNumberFormat="1" applyFont="1" applyBorder="1" applyAlignment="1" applyProtection="1">
      <alignment horizontal="center" vertical="center"/>
      <protection locked="0"/>
    </xf>
    <xf numFmtId="0" fontId="63" fillId="31" borderId="5" xfId="0" applyFont="1" applyFill="1" applyBorder="1" applyAlignment="1">
      <alignment horizontal="center" vertical="center"/>
    </xf>
    <xf numFmtId="0" fontId="63" fillId="31" borderId="23" xfId="0" applyFont="1" applyFill="1" applyBorder="1" applyAlignment="1">
      <alignment horizontal="center" vertical="center"/>
    </xf>
    <xf numFmtId="165" fontId="27" fillId="2" borderId="13" xfId="1" applyNumberFormat="1" applyFont="1" applyBorder="1" applyAlignment="1" applyProtection="1">
      <alignment horizontal="center" vertical="center"/>
    </xf>
    <xf numFmtId="0" fontId="27" fillId="2" borderId="13" xfId="1" applyFont="1" applyBorder="1" applyAlignment="1" applyProtection="1">
      <alignment horizontal="center" vertical="center"/>
    </xf>
    <xf numFmtId="0" fontId="27" fillId="2" borderId="1" xfId="1" applyFont="1" applyAlignment="1" applyProtection="1">
      <alignment horizontal="center" vertical="center"/>
    </xf>
    <xf numFmtId="165" fontId="69" fillId="6" borderId="24" xfId="4" applyNumberFormat="1" applyFont="1" applyAlignment="1" applyProtection="1">
      <alignment horizontal="center" vertical="center"/>
    </xf>
    <xf numFmtId="172" fontId="1" fillId="2" borderId="1" xfId="1" quotePrefix="1" applyNumberFormat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center" vertical="center"/>
    </xf>
    <xf numFmtId="165" fontId="65" fillId="7" borderId="23" xfId="5" applyNumberFormat="1" applyFont="1" applyBorder="1" applyAlignment="1" applyProtection="1">
      <alignment horizontal="center" vertical="center"/>
    </xf>
    <xf numFmtId="165" fontId="65" fillId="7" borderId="6" xfId="5" applyNumberFormat="1" applyFont="1" applyBorder="1" applyAlignment="1" applyProtection="1">
      <alignment horizontal="center" vertical="center"/>
    </xf>
    <xf numFmtId="165" fontId="65" fillId="7" borderId="8" xfId="5" applyNumberFormat="1" applyFont="1" applyBorder="1" applyAlignment="1" applyProtection="1">
      <alignment horizontal="left" vertical="center"/>
    </xf>
    <xf numFmtId="165" fontId="65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63" fillId="31" borderId="2" xfId="0" applyFont="1" applyFill="1" applyBorder="1" applyAlignment="1">
      <alignment horizontal="center" vertical="center"/>
    </xf>
    <xf numFmtId="0" fontId="0" fillId="31" borderId="7" xfId="0" applyFill="1" applyBorder="1" applyAlignment="1">
      <alignment horizontal="center" vertical="center"/>
    </xf>
    <xf numFmtId="0" fontId="0" fillId="31" borderId="8" xfId="0" applyFill="1" applyBorder="1" applyAlignment="1">
      <alignment horizontal="center" vertical="center"/>
    </xf>
    <xf numFmtId="0" fontId="0" fillId="31" borderId="9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0" fontId="0" fillId="31" borderId="11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24" fillId="3" borderId="2" xfId="0" applyNumberFormat="1" applyFont="1" applyFill="1" applyBorder="1" applyAlignment="1">
      <alignment horizontal="left" vertical="center"/>
    </xf>
    <xf numFmtId="0" fontId="24" fillId="3" borderId="2" xfId="0" applyFont="1" applyFill="1" applyBorder="1" applyAlignment="1">
      <alignment horizontal="left" vertical="center"/>
    </xf>
    <xf numFmtId="0" fontId="24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78" fillId="16" borderId="126" xfId="8" applyNumberFormat="1" applyFont="1" applyBorder="1" applyAlignment="1" applyProtection="1">
      <alignment horizontal="center" vertical="center" wrapText="1"/>
    </xf>
    <xf numFmtId="164" fontId="78" fillId="16" borderId="22" xfId="8" applyNumberFormat="1" applyFont="1" applyBorder="1" applyAlignment="1" applyProtection="1">
      <alignment horizontal="center" vertical="center" wrapText="1"/>
    </xf>
    <xf numFmtId="164" fontId="78" fillId="16" borderId="127" xfId="8" applyNumberFormat="1" applyFont="1" applyBorder="1" applyAlignment="1" applyProtection="1">
      <alignment horizontal="center" vertical="center" wrapText="1"/>
    </xf>
    <xf numFmtId="164" fontId="78" fillId="16" borderId="10" xfId="8" applyNumberFormat="1" applyFont="1" applyBorder="1" applyAlignment="1" applyProtection="1">
      <alignment horizontal="center" vertical="center" wrapText="1"/>
    </xf>
    <xf numFmtId="164" fontId="78" fillId="16" borderId="11" xfId="8" applyNumberFormat="1" applyFont="1" applyBorder="1" applyAlignment="1" applyProtection="1">
      <alignment horizontal="center" vertical="center" wrapText="1"/>
    </xf>
    <xf numFmtId="164" fontId="78" fillId="16" borderId="12" xfId="8" applyNumberFormat="1" applyFont="1" applyBorder="1" applyAlignment="1" applyProtection="1">
      <alignment horizontal="center" vertical="center" wrapText="1"/>
    </xf>
    <xf numFmtId="0" fontId="57" fillId="6" borderId="98" xfId="4" applyFont="1" applyBorder="1" applyAlignment="1" applyProtection="1">
      <alignment horizontal="center"/>
    </xf>
    <xf numFmtId="0" fontId="57" fillId="6" borderId="41" xfId="4" applyFont="1" applyBorder="1" applyAlignment="1" applyProtection="1">
      <alignment horizontal="center"/>
    </xf>
    <xf numFmtId="0" fontId="57" fillId="6" borderId="42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4" fontId="78" fillId="16" borderId="2" xfId="8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164" fontId="78" fillId="16" borderId="7" xfId="8" applyNumberFormat="1" applyFont="1" applyBorder="1" applyAlignment="1" applyProtection="1">
      <alignment horizontal="center" vertical="center" wrapText="1"/>
    </xf>
    <xf numFmtId="164" fontId="78" fillId="16" borderId="8" xfId="8" applyNumberFormat="1" applyFont="1" applyBorder="1" applyAlignment="1" applyProtection="1">
      <alignment horizontal="center" vertical="center" wrapText="1"/>
    </xf>
    <xf numFmtId="164" fontId="78" fillId="16" borderId="9" xfId="8" applyNumberFormat="1" applyFont="1" applyBorder="1" applyAlignment="1" applyProtection="1">
      <alignment horizontal="center" vertical="center" wrapText="1"/>
    </xf>
    <xf numFmtId="165" fontId="19" fillId="16" borderId="126" xfId="8" applyNumberFormat="1" applyFont="1" applyBorder="1" applyAlignment="1" applyProtection="1">
      <alignment horizontal="center" vertical="center"/>
    </xf>
    <xf numFmtId="165" fontId="19" fillId="16" borderId="22" xfId="8" applyNumberFormat="1" applyFont="1" applyBorder="1" applyAlignment="1" applyProtection="1">
      <alignment horizontal="center" vertical="center"/>
    </xf>
    <xf numFmtId="165" fontId="19" fillId="16" borderId="148" xfId="8" applyNumberFormat="1" applyFont="1" applyBorder="1" applyAlignment="1" applyProtection="1">
      <alignment horizontal="center" vertical="center"/>
    </xf>
    <xf numFmtId="165" fontId="19" fillId="16" borderId="61" xfId="8" applyNumberFormat="1" applyFont="1" applyBorder="1" applyAlignment="1" applyProtection="1">
      <alignment horizontal="center" vertical="center"/>
    </xf>
    <xf numFmtId="165" fontId="19" fillId="16" borderId="2" xfId="8" applyNumberFormat="1" applyFont="1" applyBorder="1" applyAlignment="1" applyProtection="1">
      <alignment horizontal="center"/>
    </xf>
    <xf numFmtId="49" fontId="7" fillId="7" borderId="2" xfId="5" applyNumberFormat="1" applyFont="1" applyBorder="1" applyAlignment="1">
      <alignment horizontal="center"/>
    </xf>
    <xf numFmtId="0" fontId="7" fillId="7" borderId="2" xfId="5" applyFont="1" applyBorder="1" applyAlignment="1">
      <alignment horizontal="center"/>
    </xf>
    <xf numFmtId="0" fontId="81" fillId="7" borderId="2" xfId="5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 vertical="center"/>
    </xf>
    <xf numFmtId="165" fontId="19" fillId="7" borderId="2" xfId="5" applyNumberFormat="1" applyFont="1" applyBorder="1" applyAlignment="1" applyProtection="1">
      <alignment horizontal="center" vertical="center"/>
    </xf>
    <xf numFmtId="49" fontId="58" fillId="13" borderId="7" xfId="2" applyNumberFormat="1" applyFont="1" applyBorder="1" applyAlignment="1" applyProtection="1">
      <alignment horizontal="center" vertical="center"/>
    </xf>
    <xf numFmtId="49" fontId="58" fillId="13" borderId="27" xfId="2" applyNumberFormat="1" applyFont="1" applyBorder="1" applyAlignment="1" applyProtection="1">
      <alignment horizontal="center" vertical="center"/>
    </xf>
    <xf numFmtId="0" fontId="57" fillId="6" borderId="130" xfId="4" applyFont="1" applyBorder="1" applyAlignment="1" applyProtection="1">
      <alignment horizontal="center"/>
    </xf>
    <xf numFmtId="0" fontId="57" fillId="6" borderId="59" xfId="4" applyFont="1" applyBorder="1" applyAlignment="1" applyProtection="1">
      <alignment horizontal="center"/>
    </xf>
    <xf numFmtId="0" fontId="57" fillId="6" borderId="60" xfId="4" applyFont="1" applyBorder="1" applyAlignment="1" applyProtection="1">
      <alignment horizontal="center"/>
    </xf>
    <xf numFmtId="167" fontId="3" fillId="13" borderId="29" xfId="2" quotePrefix="1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 vertical="center"/>
    </xf>
    <xf numFmtId="164" fontId="78" fillId="16" borderId="73" xfId="8" applyNumberFormat="1" applyFont="1" applyBorder="1" applyAlignment="1" applyProtection="1">
      <alignment horizontal="center" vertical="center" wrapText="1"/>
    </xf>
    <xf numFmtId="164" fontId="78" fillId="16" borderId="31" xfId="8" applyNumberFormat="1" applyFont="1" applyBorder="1" applyAlignment="1" applyProtection="1">
      <alignment horizontal="center" vertical="center" wrapText="1"/>
    </xf>
    <xf numFmtId="49" fontId="3" fillId="13" borderId="29" xfId="2" quotePrefix="1" applyNumberFormat="1" applyBorder="1" applyAlignment="1" applyProtection="1">
      <alignment horizontal="center" vertical="center"/>
      <protection locked="0"/>
    </xf>
    <xf numFmtId="49" fontId="3" fillId="13" borderId="29" xfId="2" applyNumberFormat="1" applyBorder="1" applyAlignment="1" applyProtection="1">
      <alignment horizontal="center" vertical="center"/>
      <protection locked="0"/>
    </xf>
    <xf numFmtId="165" fontId="0" fillId="3" borderId="79" xfId="5" applyNumberFormat="1" applyFont="1" applyFill="1" applyBorder="1" applyAlignment="1">
      <alignment horizontal="center"/>
    </xf>
    <xf numFmtId="0" fontId="57" fillId="6" borderId="61" xfId="4" applyFont="1" applyBorder="1" applyAlignment="1" applyProtection="1">
      <alignment horizontal="center"/>
    </xf>
    <xf numFmtId="0" fontId="57" fillId="6" borderId="62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5" fontId="19" fillId="16" borderId="126" xfId="8" applyNumberFormat="1" applyFont="1" applyBorder="1" applyAlignment="1" applyProtection="1">
      <alignment horizontal="center" vertical="center" wrapText="1"/>
    </xf>
    <xf numFmtId="165" fontId="19" fillId="16" borderId="127" xfId="8" applyNumberFormat="1" applyFont="1" applyBorder="1" applyAlignment="1" applyProtection="1">
      <alignment horizontal="center" vertical="center" wrapText="1"/>
    </xf>
    <xf numFmtId="49" fontId="58" fillId="13" borderId="145" xfId="2" applyNumberFormat="1" applyFont="1" applyBorder="1" applyAlignment="1" applyProtection="1">
      <alignment horizontal="center" vertical="center"/>
    </xf>
    <xf numFmtId="49" fontId="58" fillId="13" borderId="154" xfId="2" applyNumberFormat="1" applyFont="1" applyBorder="1" applyAlignment="1" applyProtection="1">
      <alignment horizontal="center" vertical="center"/>
    </xf>
    <xf numFmtId="0" fontId="0" fillId="12" borderId="6" xfId="0" applyFill="1" applyBorder="1" applyAlignment="1">
      <alignment horizontal="center" vertical="center"/>
    </xf>
    <xf numFmtId="165" fontId="19" fillId="7" borderId="31" xfId="5" applyNumberFormat="1" applyFont="1" applyBorder="1" applyAlignment="1" applyProtection="1">
      <alignment horizontal="center" vertical="center" wrapText="1"/>
    </xf>
    <xf numFmtId="165" fontId="19" fillId="7" borderId="2" xfId="5" applyNumberFormat="1" applyFont="1" applyBorder="1" applyAlignment="1" applyProtection="1">
      <alignment horizontal="center" vertical="center" wrapText="1"/>
    </xf>
    <xf numFmtId="164" fontId="78" fillId="30" borderId="2" xfId="8" applyNumberFormat="1" applyFont="1" applyFill="1" applyBorder="1" applyAlignment="1" applyProtection="1">
      <alignment horizontal="center" vertical="center" wrapText="1"/>
    </xf>
    <xf numFmtId="165" fontId="19" fillId="30" borderId="47" xfId="8" applyNumberFormat="1" applyFont="1" applyFill="1" applyBorder="1" applyAlignment="1" applyProtection="1">
      <alignment horizontal="center" vertical="center"/>
    </xf>
    <xf numFmtId="165" fontId="19" fillId="30" borderId="0" xfId="8" applyNumberFormat="1" applyFont="1" applyFill="1" applyBorder="1" applyAlignment="1" applyProtection="1">
      <alignment horizontal="center" vertical="center"/>
    </xf>
    <xf numFmtId="165" fontId="19" fillId="30" borderId="4" xfId="8" applyNumberFormat="1" applyFont="1" applyFill="1" applyBorder="1" applyAlignment="1" applyProtection="1">
      <alignment horizontal="center" vertical="center"/>
    </xf>
    <xf numFmtId="165" fontId="19" fillId="30" borderId="2" xfId="8" applyNumberFormat="1" applyFont="1" applyFill="1" applyBorder="1" applyAlignment="1" applyProtection="1">
      <alignment horizontal="center" vertical="center"/>
    </xf>
    <xf numFmtId="165" fontId="80" fillId="34" borderId="2" xfId="10" applyNumberFormat="1" applyFont="1" applyFill="1" applyBorder="1" applyAlignment="1" applyProtection="1">
      <alignment horizontal="center" vertical="center"/>
    </xf>
    <xf numFmtId="164" fontId="19" fillId="30" borderId="2" xfId="8" applyNumberFormat="1" applyFont="1" applyFill="1" applyBorder="1" applyAlignment="1" applyProtection="1">
      <alignment horizontal="center" vertical="center" wrapText="1"/>
    </xf>
    <xf numFmtId="165" fontId="19" fillId="42" borderId="2" xfId="0" applyNumberFormat="1" applyFont="1" applyFill="1" applyBorder="1" applyAlignment="1">
      <alignment horizontal="center" vertical="center" textRotation="255"/>
    </xf>
    <xf numFmtId="165" fontId="19" fillId="43" borderId="2" xfId="0" applyNumberFormat="1" applyFont="1" applyFill="1" applyBorder="1" applyAlignment="1">
      <alignment horizontal="center" textRotation="255"/>
    </xf>
    <xf numFmtId="2" fontId="19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8" fontId="19" fillId="0" borderId="2" xfId="0" applyNumberFormat="1" applyFont="1" applyBorder="1" applyAlignment="1">
      <alignment horizontal="center" vertical="center"/>
    </xf>
    <xf numFmtId="165" fontId="19" fillId="42" borderId="2" xfId="0" applyNumberFormat="1" applyFont="1" applyFill="1" applyBorder="1" applyAlignment="1">
      <alignment horizontal="center" textRotation="255"/>
    </xf>
    <xf numFmtId="2" fontId="19" fillId="7" borderId="2" xfId="5" applyNumberFormat="1" applyFont="1" applyBorder="1" applyAlignment="1">
      <alignment horizontal="center" vertical="center"/>
    </xf>
    <xf numFmtId="165" fontId="19" fillId="0" borderId="2" xfId="0" applyNumberFormat="1" applyFont="1" applyBorder="1" applyAlignment="1">
      <alignment horizontal="center" vertical="center"/>
    </xf>
    <xf numFmtId="165" fontId="19" fillId="7" borderId="2" xfId="5" quotePrefix="1" applyNumberFormat="1" applyFont="1" applyBorder="1" applyAlignment="1">
      <alignment horizontal="center" vertical="center" wrapText="1"/>
    </xf>
    <xf numFmtId="173" fontId="84" fillId="0" borderId="2" xfId="0" applyNumberFormat="1" applyFont="1" applyBorder="1" applyAlignment="1">
      <alignment horizontal="center" vertical="center"/>
    </xf>
    <xf numFmtId="165" fontId="84" fillId="0" borderId="2" xfId="0" applyNumberFormat="1" applyFont="1" applyBorder="1" applyAlignment="1">
      <alignment horizontal="center" vertical="center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0" fontId="0" fillId="0" borderId="2" xfId="0" applyBorder="1" applyAlignment="1">
      <alignment horizontal="center" vertical="center"/>
    </xf>
    <xf numFmtId="165" fontId="31" fillId="2" borderId="37" xfId="1" applyNumberFormat="1" applyFont="1" applyBorder="1" applyAlignment="1" applyProtection="1">
      <alignment horizontal="center" vertical="center"/>
    </xf>
    <xf numFmtId="165" fontId="31" fillId="2" borderId="3" xfId="1" applyNumberFormat="1" applyFont="1" applyBorder="1" applyAlignment="1" applyProtection="1">
      <alignment horizontal="center" vertical="center"/>
    </xf>
    <xf numFmtId="165" fontId="38" fillId="6" borderId="98" xfId="4" applyNumberFormat="1" applyFont="1" applyBorder="1" applyAlignment="1" applyProtection="1">
      <alignment horizontal="center" vertical="center"/>
    </xf>
    <xf numFmtId="165" fontId="38" fillId="6" borderId="41" xfId="4" applyNumberFormat="1" applyFont="1" applyBorder="1" applyAlignment="1" applyProtection="1">
      <alignment horizontal="center" vertical="center"/>
    </xf>
    <xf numFmtId="165" fontId="19" fillId="3" borderId="2" xfId="0" applyNumberFormat="1" applyFont="1" applyFill="1" applyBorder="1" applyAlignment="1">
      <alignment horizontal="center" vertical="center"/>
    </xf>
    <xf numFmtId="165" fontId="84" fillId="0" borderId="30" xfId="0" applyNumberFormat="1" applyFont="1" applyBorder="1" applyAlignment="1">
      <alignment horizontal="center" vertical="center"/>
    </xf>
    <xf numFmtId="165" fontId="84" fillId="0" borderId="73" xfId="0" applyNumberFormat="1" applyFont="1" applyBorder="1" applyAlignment="1">
      <alignment horizontal="center" vertical="center"/>
    </xf>
    <xf numFmtId="165" fontId="84" fillId="0" borderId="31" xfId="0" applyNumberFormat="1" applyFont="1" applyBorder="1" applyAlignment="1">
      <alignment horizontal="center" vertical="center"/>
    </xf>
    <xf numFmtId="165" fontId="46" fillId="7" borderId="2" xfId="5" applyNumberFormat="1" applyFont="1" applyBorder="1" applyAlignment="1" applyProtection="1">
      <alignment horizontal="center"/>
    </xf>
    <xf numFmtId="165" fontId="51" fillId="11" borderId="2" xfId="6" applyNumberFormat="1" applyFont="1" applyBorder="1" applyAlignment="1" applyProtection="1">
      <alignment horizontal="center"/>
    </xf>
    <xf numFmtId="165" fontId="52" fillId="6" borderId="24" xfId="4" applyNumberFormat="1" applyFont="1" applyAlignment="1" applyProtection="1">
      <alignment horizontal="center"/>
    </xf>
    <xf numFmtId="0" fontId="19" fillId="0" borderId="0" xfId="0" applyFont="1"/>
    <xf numFmtId="165" fontId="33" fillId="2" borderId="2" xfId="1" applyNumberFormat="1" applyFont="1" applyBorder="1" applyAlignment="1" applyProtection="1">
      <alignment horizontal="center" vertical="center"/>
    </xf>
    <xf numFmtId="165" fontId="29" fillId="5" borderId="112" xfId="3" applyNumberFormat="1" applyFont="1" applyBorder="1" applyAlignment="1" applyProtection="1">
      <alignment horizontal="center" vertical="center"/>
    </xf>
    <xf numFmtId="165" fontId="29" fillId="5" borderId="22" xfId="3" applyNumberFormat="1" applyFont="1" applyBorder="1" applyAlignment="1" applyProtection="1">
      <alignment horizontal="center" vertical="center"/>
    </xf>
    <xf numFmtId="165" fontId="29" fillId="5" borderId="63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/>
    </xf>
    <xf numFmtId="165" fontId="29" fillId="5" borderId="8" xfId="3" applyNumberFormat="1" applyFont="1" applyBorder="1" applyAlignment="1" applyProtection="1">
      <alignment horizontal="center" vertical="center"/>
    </xf>
    <xf numFmtId="165" fontId="29" fillId="5" borderId="47" xfId="3" applyNumberFormat="1" applyFont="1" applyBorder="1" applyAlignment="1" applyProtection="1">
      <alignment horizontal="center" vertical="center"/>
    </xf>
    <xf numFmtId="165" fontId="29" fillId="5" borderId="0" xfId="3" applyNumberFormat="1" applyFont="1" applyBorder="1" applyAlignment="1" applyProtection="1">
      <alignment horizontal="center" vertical="center"/>
    </xf>
    <xf numFmtId="165" fontId="29" fillId="5" borderId="10" xfId="3" applyNumberFormat="1" applyFont="1" applyBorder="1" applyAlignment="1" applyProtection="1">
      <alignment horizontal="center" vertical="center"/>
    </xf>
    <xf numFmtId="165" fontId="29" fillId="5" borderId="11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5" fontId="55" fillId="6" borderId="24" xfId="4" applyNumberFormat="1" applyFont="1" applyAlignment="1" applyProtection="1">
      <alignment horizontal="center"/>
    </xf>
    <xf numFmtId="165" fontId="46" fillId="7" borderId="2" xfId="5" quotePrefix="1" applyNumberFormat="1" applyFont="1" applyBorder="1" applyAlignment="1" applyProtection="1">
      <alignment horizontal="center"/>
    </xf>
    <xf numFmtId="165" fontId="19" fillId="16" borderId="0" xfId="8" applyNumberFormat="1" applyFont="1" applyBorder="1" applyAlignment="1" applyProtection="1">
      <alignment horizontal="center"/>
    </xf>
    <xf numFmtId="165" fontId="35" fillId="13" borderId="2" xfId="2" applyNumberFormat="1" applyFont="1" applyBorder="1" applyAlignment="1" applyProtection="1">
      <alignment horizontal="center" vertical="center"/>
      <protection locked="0"/>
    </xf>
    <xf numFmtId="165" fontId="35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wrapText="1"/>
    </xf>
    <xf numFmtId="165" fontId="38" fillId="6" borderId="59" xfId="4" applyNumberFormat="1" applyFont="1" applyBorder="1" applyAlignment="1" applyProtection="1">
      <alignment horizontal="center" vertical="center"/>
    </xf>
    <xf numFmtId="165" fontId="38" fillId="6" borderId="60" xfId="4" applyNumberFormat="1" applyFont="1" applyBorder="1" applyAlignment="1" applyProtection="1">
      <alignment horizontal="center" vertical="center"/>
    </xf>
    <xf numFmtId="165" fontId="38" fillId="6" borderId="61" xfId="4" applyNumberFormat="1" applyFont="1" applyBorder="1" applyAlignment="1" applyProtection="1">
      <alignment horizontal="center" vertical="center"/>
    </xf>
    <xf numFmtId="165" fontId="38" fillId="6" borderId="62" xfId="4" applyNumberFormat="1" applyFont="1" applyBorder="1" applyAlignment="1" applyProtection="1">
      <alignment horizontal="center" vertical="center"/>
    </xf>
    <xf numFmtId="165" fontId="37" fillId="5" borderId="22" xfId="3" applyNumberFormat="1" applyFont="1" applyBorder="1" applyAlignment="1" applyProtection="1">
      <alignment horizontal="center"/>
    </xf>
    <xf numFmtId="165" fontId="36" fillId="11" borderId="22" xfId="6" applyNumberFormat="1" applyFont="1" applyBorder="1" applyAlignment="1" applyProtection="1">
      <alignment horizontal="center"/>
    </xf>
    <xf numFmtId="0" fontId="38" fillId="6" borderId="42" xfId="4" applyFont="1" applyBorder="1" applyAlignment="1" applyProtection="1">
      <alignment horizontal="center" vertical="center"/>
    </xf>
    <xf numFmtId="165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5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165" fontId="35" fillId="13" borderId="100" xfId="2" applyNumberFormat="1" applyFont="1" applyBorder="1" applyAlignment="1" applyProtection="1">
      <alignment horizontal="center" vertical="center"/>
      <protection locked="0"/>
    </xf>
    <xf numFmtId="165" fontId="35" fillId="13" borderId="103" xfId="2" applyNumberFormat="1" applyFont="1" applyBorder="1" applyAlignment="1" applyProtection="1">
      <alignment horizontal="center" vertical="center"/>
      <protection locked="0"/>
    </xf>
    <xf numFmtId="165" fontId="35" fillId="13" borderId="99" xfId="2" quotePrefix="1" applyNumberFormat="1" applyFont="1" applyBorder="1" applyAlignment="1" applyProtection="1">
      <alignment horizontal="center" vertical="center"/>
      <protection locked="0"/>
    </xf>
    <xf numFmtId="165" fontId="35" fillId="13" borderId="27" xfId="2" quotePrefix="1" applyNumberFormat="1" applyFont="1" applyBorder="1" applyAlignment="1" applyProtection="1">
      <alignment horizontal="center" vertical="center"/>
      <protection locked="0"/>
    </xf>
    <xf numFmtId="165" fontId="35" fillId="13" borderId="17" xfId="2" quotePrefix="1" applyNumberFormat="1" applyFont="1" applyBorder="1" applyAlignment="1" applyProtection="1">
      <alignment horizontal="center" vertical="center"/>
      <protection locked="0"/>
    </xf>
    <xf numFmtId="165" fontId="35" fillId="13" borderId="45" xfId="2" quotePrefix="1" applyNumberFormat="1" applyFont="1" applyBorder="1" applyAlignment="1" applyProtection="1">
      <alignment horizontal="center" vertical="center"/>
      <protection locked="0"/>
    </xf>
    <xf numFmtId="165" fontId="35" fillId="13" borderId="107" xfId="2" quotePrefix="1" applyNumberFormat="1" applyFont="1" applyBorder="1" applyAlignment="1" applyProtection="1">
      <alignment horizontal="center" vertical="center"/>
      <protection locked="0"/>
    </xf>
    <xf numFmtId="165" fontId="35" fillId="13" borderId="21" xfId="2" applyNumberFormat="1" applyFont="1" applyBorder="1" applyAlignment="1" applyProtection="1">
      <alignment horizontal="center" vertical="center"/>
      <protection locked="0"/>
    </xf>
    <xf numFmtId="165" fontId="35" fillId="13" borderId="29" xfId="2" applyNumberFormat="1" applyFont="1" applyBorder="1" applyAlignment="1" applyProtection="1">
      <alignment horizontal="center" vertical="center"/>
      <protection locked="0"/>
    </xf>
    <xf numFmtId="165" fontId="35" fillId="13" borderId="20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5" fillId="13" borderId="104" xfId="2" applyNumberFormat="1" applyFont="1" applyBorder="1" applyAlignment="1" applyProtection="1">
      <alignment horizontal="center" vertical="center"/>
      <protection locked="0"/>
    </xf>
    <xf numFmtId="165" fontId="35" fillId="13" borderId="100" xfId="2" quotePrefix="1" applyNumberFormat="1" applyFont="1" applyBorder="1" applyAlignment="1" applyProtection="1">
      <alignment horizontal="center" vertical="center"/>
      <protection locked="0"/>
    </xf>
    <xf numFmtId="165" fontId="35" fillId="13" borderId="101" xfId="2" quotePrefix="1" applyNumberFormat="1" applyFont="1" applyBorder="1" applyAlignment="1" applyProtection="1">
      <alignment horizontal="center" vertical="center"/>
      <protection locked="0"/>
    </xf>
    <xf numFmtId="165" fontId="35" fillId="13" borderId="102" xfId="2" quotePrefix="1" applyNumberFormat="1" applyFont="1" applyBorder="1" applyAlignment="1" applyProtection="1">
      <alignment horizontal="center" vertical="center"/>
      <protection locked="0"/>
    </xf>
    <xf numFmtId="165" fontId="19" fillId="9" borderId="120" xfId="0" applyNumberFormat="1" applyFont="1" applyFill="1" applyBorder="1" applyAlignment="1">
      <alignment horizontal="center"/>
    </xf>
    <xf numFmtId="165" fontId="35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" fillId="31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5" fontId="59" fillId="2" borderId="7" xfId="1" applyNumberFormat="1" applyFont="1" applyBorder="1" applyAlignment="1" applyProtection="1">
      <alignment horizontal="center" vertical="center"/>
    </xf>
    <xf numFmtId="165" fontId="59" fillId="2" borderId="8" xfId="1" applyNumberFormat="1" applyFont="1" applyBorder="1" applyAlignment="1" applyProtection="1">
      <alignment horizontal="center" vertical="center"/>
    </xf>
    <xf numFmtId="165" fontId="59" fillId="2" borderId="27" xfId="1" applyNumberFormat="1" applyFont="1" applyBorder="1" applyAlignment="1" applyProtection="1">
      <alignment horizontal="center" vertical="center"/>
    </xf>
    <xf numFmtId="165" fontId="57" fillId="6" borderId="98" xfId="4" applyNumberFormat="1" applyFont="1" applyBorder="1" applyAlignment="1" applyProtection="1">
      <alignment horizontal="center" vertical="center"/>
    </xf>
    <xf numFmtId="165" fontId="57" fillId="6" borderId="41" xfId="4" applyNumberFormat="1" applyFont="1" applyBorder="1" applyAlignment="1" applyProtection="1">
      <alignment horizontal="center" vertical="center"/>
    </xf>
    <xf numFmtId="165" fontId="57" fillId="6" borderId="42" xfId="4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5" fontId="33" fillId="2" borderId="5" xfId="1" applyNumberFormat="1" applyFont="1" applyBorder="1" applyAlignment="1" applyProtection="1">
      <alignment horizontal="center" vertical="center"/>
    </xf>
    <xf numFmtId="165" fontId="33" fillId="2" borderId="23" xfId="1" applyNumberFormat="1" applyFont="1" applyBorder="1" applyAlignment="1" applyProtection="1">
      <alignment horizontal="center" vertical="center"/>
    </xf>
    <xf numFmtId="165" fontId="33" fillId="2" borderId="26" xfId="1" applyNumberFormat="1" applyFont="1" applyBorder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5" fontId="59" fillId="2" borderId="37" xfId="1" applyNumberFormat="1" applyFont="1" applyBorder="1" applyAlignment="1" applyProtection="1">
      <alignment horizontal="center" vertical="center"/>
    </xf>
    <xf numFmtId="165" fontId="59" fillId="2" borderId="38" xfId="1" applyNumberFormat="1" applyFont="1" applyBorder="1" applyAlignment="1" applyProtection="1">
      <alignment horizontal="center" vertical="center"/>
    </xf>
    <xf numFmtId="165" fontId="59" fillId="2" borderId="142" xfId="1" applyNumberFormat="1" applyFont="1" applyBorder="1" applyAlignment="1" applyProtection="1">
      <alignment horizontal="center" vertical="center"/>
    </xf>
    <xf numFmtId="165" fontId="16" fillId="5" borderId="2" xfId="3" applyNumberFormat="1" applyFont="1" applyBorder="1" applyAlignment="1" applyProtection="1">
      <alignment horizontal="center" vertic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165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0" fontId="2" fillId="0" borderId="0" xfId="0" applyFont="1"/>
    <xf numFmtId="165" fontId="18" fillId="6" borderId="0" xfId="4" applyNumberFormat="1" applyFont="1" applyBorder="1" applyAlignment="1" applyProtection="1">
      <alignment horizontal="center" vertical="center"/>
    </xf>
    <xf numFmtId="165" fontId="18" fillId="6" borderId="71" xfId="4" applyNumberFormat="1" applyFont="1" applyBorder="1" applyAlignment="1" applyProtection="1">
      <alignment horizontal="center" vertical="center"/>
    </xf>
    <xf numFmtId="165" fontId="18" fillId="6" borderId="61" xfId="4" applyNumberFormat="1" applyFont="1" applyBorder="1" applyAlignment="1" applyProtection="1">
      <alignment horizontal="center" vertical="center"/>
    </xf>
    <xf numFmtId="165" fontId="18" fillId="6" borderId="62" xfId="4" applyNumberFormat="1" applyFont="1" applyBorder="1" applyAlignment="1" applyProtection="1">
      <alignment horizontal="center" vertical="center"/>
    </xf>
    <xf numFmtId="165" fontId="18" fillId="6" borderId="59" xfId="4" applyNumberFormat="1" applyFont="1" applyBorder="1" applyAlignment="1" applyProtection="1">
      <alignment horizontal="center" vertical="center"/>
    </xf>
    <xf numFmtId="165" fontId="18" fillId="6" borderId="60" xfId="4" applyNumberFormat="1" applyFont="1" applyBorder="1" applyAlignment="1" applyProtection="1">
      <alignment horizontal="center" vertical="center"/>
    </xf>
    <xf numFmtId="165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58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3" borderId="56" xfId="2" applyNumberFormat="1" applyFont="1" applyBorder="1" applyAlignment="1" applyProtection="1">
      <alignment horizontal="center" vertical="center"/>
      <protection locked="0"/>
    </xf>
    <xf numFmtId="165" fontId="4" fillId="13" borderId="13" xfId="2" applyNumberFormat="1" applyFont="1" applyBorder="1" applyAlignment="1" applyProtection="1">
      <alignment horizontal="center" vertical="center"/>
      <protection locked="0"/>
    </xf>
    <xf numFmtId="165" fontId="4" fillId="13" borderId="57" xfId="2" quotePrefix="1" applyNumberFormat="1" applyFont="1" applyBorder="1" applyAlignment="1" applyProtection="1">
      <alignment horizontal="center" vertical="center"/>
      <protection locked="0"/>
    </xf>
    <xf numFmtId="165" fontId="4" fillId="13" borderId="22" xfId="2" quotePrefix="1" applyNumberFormat="1" applyFont="1" applyBorder="1" applyAlignment="1" applyProtection="1">
      <alignment horizontal="center" vertical="center"/>
      <protection locked="0"/>
    </xf>
    <xf numFmtId="165" fontId="4" fillId="13" borderId="63" xfId="2" quotePrefix="1" applyNumberFormat="1" applyFont="1" applyBorder="1" applyAlignment="1" applyProtection="1">
      <alignment horizontal="center" vertical="center"/>
      <protection locked="0"/>
    </xf>
    <xf numFmtId="165" fontId="4" fillId="13" borderId="17" xfId="2" quotePrefix="1" applyNumberFormat="1" applyFont="1" applyBorder="1" applyAlignment="1" applyProtection="1">
      <alignment horizontal="center" vertical="center"/>
      <protection locked="0"/>
    </xf>
    <xf numFmtId="165" fontId="4" fillId="13" borderId="45" xfId="2" quotePrefix="1" applyNumberFormat="1" applyFont="1" applyBorder="1" applyAlignment="1" applyProtection="1">
      <alignment horizontal="center" vertical="center"/>
      <protection locked="0"/>
    </xf>
    <xf numFmtId="165" fontId="4" fillId="13" borderId="64" xfId="2" quotePrefix="1" applyNumberFormat="1" applyFont="1" applyBorder="1" applyAlignment="1" applyProtection="1">
      <alignment horizontal="center" vertical="center"/>
      <protection locked="0"/>
    </xf>
    <xf numFmtId="165" fontId="2" fillId="7" borderId="25" xfId="5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58" fillId="13" borderId="1" xfId="2" applyFont="1" applyAlignment="1" applyProtection="1">
      <alignment horizontal="center" vertical="center"/>
    </xf>
    <xf numFmtId="165" fontId="33" fillId="2" borderId="1" xfId="1" applyNumberFormat="1" applyFont="1" applyAlignment="1" applyProtection="1">
      <alignment horizontal="center" vertical="center"/>
    </xf>
    <xf numFmtId="0" fontId="5" fillId="7" borderId="134" xfId="5" applyFont="1" applyBorder="1" applyAlignment="1" applyProtection="1">
      <alignment horizontal="center" vertical="center"/>
    </xf>
    <xf numFmtId="0" fontId="5" fillId="7" borderId="136" xfId="5" applyFont="1" applyBorder="1" applyAlignment="1" applyProtection="1">
      <alignment horizontal="center" vertical="center"/>
    </xf>
    <xf numFmtId="165" fontId="4" fillId="13" borderId="29" xfId="2" applyNumberFormat="1" applyFont="1" applyBorder="1" applyAlignment="1" applyProtection="1">
      <alignment horizontal="center" vertical="center"/>
      <protection locked="0"/>
    </xf>
    <xf numFmtId="165" fontId="4" fillId="13" borderId="68" xfId="2" applyNumberFormat="1" applyFont="1" applyBorder="1" applyAlignment="1" applyProtection="1">
      <alignment horizontal="center" vertical="center"/>
      <protection locked="0"/>
    </xf>
    <xf numFmtId="165" fontId="4" fillId="13" borderId="19" xfId="2" quotePrefix="1" applyNumberFormat="1" applyFont="1" applyBorder="1" applyAlignment="1" applyProtection="1">
      <alignment horizontal="center" vertical="center"/>
      <protection locked="0"/>
    </xf>
    <xf numFmtId="165" fontId="4" fillId="13" borderId="20" xfId="2" quotePrefix="1" applyNumberFormat="1" applyFont="1" applyBorder="1" applyAlignment="1" applyProtection="1">
      <alignment horizontal="center" vertical="center"/>
      <protection locked="0"/>
    </xf>
    <xf numFmtId="165" fontId="4" fillId="13" borderId="65" xfId="2" quotePrefix="1" applyNumberFormat="1" applyFont="1" applyBorder="1" applyAlignment="1" applyProtection="1">
      <alignment horizontal="center" vertical="center"/>
      <protection locked="0"/>
    </xf>
    <xf numFmtId="165" fontId="4" fillId="13" borderId="66" xfId="2" quotePrefix="1" applyNumberFormat="1" applyFont="1" applyBorder="1" applyAlignment="1" applyProtection="1">
      <alignment horizontal="center" vertical="center"/>
      <protection locked="0"/>
    </xf>
    <xf numFmtId="165" fontId="4" fillId="13" borderId="67" xfId="2" quotePrefix="1" applyNumberFormat="1" applyFont="1" applyBorder="1" applyAlignment="1" applyProtection="1">
      <alignment horizontal="center" vertical="center"/>
      <protection locked="0"/>
    </xf>
    <xf numFmtId="165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17" fillId="3" borderId="2" xfId="3" applyFont="1" applyFill="1" applyBorder="1" applyAlignment="1">
      <alignment horizontal="center"/>
    </xf>
    <xf numFmtId="165" fontId="18" fillId="6" borderId="2" xfId="4" applyNumberFormat="1" applyFont="1" applyBorder="1" applyAlignment="1" applyProtection="1">
      <alignment horizontal="center" vertical="center"/>
    </xf>
    <xf numFmtId="0" fontId="2" fillId="7" borderId="131" xfId="5" applyFont="1" applyBorder="1" applyAlignment="1" applyProtection="1">
      <alignment horizontal="center" vertical="center" wrapText="1"/>
    </xf>
    <xf numFmtId="0" fontId="2" fillId="7" borderId="133" xfId="5" applyFont="1" applyBorder="1" applyAlignment="1" applyProtection="1">
      <alignment horizontal="center" vertical="center"/>
    </xf>
    <xf numFmtId="0" fontId="2" fillId="7" borderId="135" xfId="5" applyFont="1" applyBorder="1" applyAlignment="1" applyProtection="1">
      <alignment horizontal="center" vertic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15" fillId="0" borderId="30" xfId="0" applyFont="1" applyBorder="1" applyAlignment="1">
      <alignment horizontal="right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5" fontId="17" fillId="5" borderId="2" xfId="3" applyNumberFormat="1" applyFont="1" applyBorder="1" applyAlignment="1" applyProtection="1">
      <alignment horizontal="center"/>
    </xf>
    <xf numFmtId="0" fontId="17" fillId="5" borderId="5" xfId="3" applyFont="1" applyBorder="1" applyAlignment="1">
      <alignment horizontal="center"/>
    </xf>
    <xf numFmtId="165" fontId="5" fillId="7" borderId="132" xfId="5" applyNumberFormat="1" applyFont="1" applyBorder="1" applyAlignment="1" applyProtection="1">
      <alignment horizontal="center" vertical="center"/>
    </xf>
    <xf numFmtId="165" fontId="5" fillId="7" borderId="134" xfId="5" applyNumberFormat="1" applyFont="1" applyBorder="1" applyAlignment="1" applyProtection="1">
      <alignment horizontal="center" vertical="center"/>
    </xf>
    <xf numFmtId="165" fontId="17" fillId="5" borderId="14" xfId="3" applyNumberFormat="1" applyFont="1" applyBorder="1" applyAlignment="1" applyProtection="1">
      <alignment horizontal="center" vertical="center"/>
    </xf>
    <xf numFmtId="165" fontId="17" fillId="5" borderId="15" xfId="3" applyNumberFormat="1" applyFont="1" applyBorder="1" applyAlignment="1" applyProtection="1">
      <alignment horizontal="center" vertical="center"/>
    </xf>
    <xf numFmtId="165" fontId="17" fillId="5" borderId="16" xfId="3" applyNumberFormat="1" applyFont="1" applyBorder="1" applyAlignment="1" applyProtection="1">
      <alignment horizontal="center" vertical="center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 vertic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165" fontId="26" fillId="19" borderId="0" xfId="0" applyNumberFormat="1" applyFont="1" applyFill="1" applyAlignment="1">
      <alignment horizontal="center" vertical="center"/>
    </xf>
    <xf numFmtId="165" fontId="25" fillId="19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5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0" fontId="2" fillId="7" borderId="25" xfId="5" applyFont="1" applyAlignment="1">
      <alignment horizontal="center" vertical="center"/>
    </xf>
    <xf numFmtId="0" fontId="2" fillId="7" borderId="132" xfId="5" applyFont="1" applyBorder="1" applyAlignment="1">
      <alignment vertical="center"/>
    </xf>
    <xf numFmtId="0" fontId="2" fillId="7" borderId="134" xfId="5" applyFont="1" applyBorder="1" applyAlignment="1">
      <alignment vertical="center"/>
    </xf>
    <xf numFmtId="0" fontId="2" fillId="7" borderId="136" xfId="5" applyFont="1" applyBorder="1" applyAlignment="1">
      <alignment vertical="center"/>
    </xf>
    <xf numFmtId="165" fontId="5" fillId="2" borderId="72" xfId="1" applyNumberFormat="1" applyFont="1" applyBorder="1" applyAlignment="1" applyProtection="1">
      <alignment horizontal="center" vertical="center"/>
    </xf>
    <xf numFmtId="165" fontId="5" fillId="2" borderId="74" xfId="1" applyNumberFormat="1" applyFont="1" applyBorder="1" applyAlignment="1" applyProtection="1">
      <alignment horizontal="center" vertical="center"/>
    </xf>
    <xf numFmtId="0" fontId="2" fillId="7" borderId="133" xfId="5" applyFont="1" applyBorder="1" applyAlignment="1" applyProtection="1">
      <alignment horizontal="center" vertical="center" wrapText="1"/>
    </xf>
    <xf numFmtId="0" fontId="2" fillId="7" borderId="135" xfId="5" applyFont="1" applyBorder="1" applyAlignment="1" applyProtection="1">
      <alignment horizontal="center" vertical="center" wrapText="1"/>
    </xf>
    <xf numFmtId="0" fontId="61" fillId="5" borderId="2" xfId="3" applyFont="1" applyBorder="1" applyAlignment="1">
      <alignment horizontal="center" vertical="center"/>
    </xf>
    <xf numFmtId="165" fontId="61" fillId="5" borderId="2" xfId="3" applyNumberFormat="1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2" fillId="7" borderId="132" xfId="5" applyFont="1" applyBorder="1" applyAlignment="1">
      <alignment horizontal="center" vertical="center"/>
    </xf>
    <xf numFmtId="0" fontId="2" fillId="7" borderId="134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0" fontId="2" fillId="7" borderId="138" xfId="5" applyFont="1" applyBorder="1" applyAlignment="1">
      <alignment horizontal="center" vertical="center"/>
    </xf>
    <xf numFmtId="0" fontId="2" fillId="7" borderId="136" xfId="5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0" fontId="22" fillId="11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10" fillId="5" borderId="2" xfId="3" applyFont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1" fontId="28" fillId="22" borderId="80" xfId="1" applyNumberFormat="1" applyFont="1" applyFill="1" applyBorder="1" applyAlignment="1"/>
    <xf numFmtId="171" fontId="28" fillId="22" borderId="0" xfId="1" applyNumberFormat="1" applyFont="1" applyFill="1" applyBorder="1" applyAlignment="1"/>
    <xf numFmtId="171" fontId="28" fillId="22" borderId="39" xfId="1" applyNumberFormat="1" applyFont="1" applyFill="1" applyBorder="1" applyAlignment="1"/>
    <xf numFmtId="171" fontId="28" fillId="22" borderId="80" xfId="1" applyNumberFormat="1" applyFont="1" applyFill="1" applyBorder="1" applyAlignment="1">
      <alignment horizontal="right"/>
    </xf>
    <xf numFmtId="171" fontId="28" fillId="22" borderId="0" xfId="1" applyNumberFormat="1" applyFont="1" applyFill="1" applyBorder="1" applyAlignment="1">
      <alignment horizontal="right"/>
    </xf>
    <xf numFmtId="171" fontId="28" fillId="22" borderId="39" xfId="1" applyNumberFormat="1" applyFont="1" applyFill="1" applyBorder="1" applyAlignment="1">
      <alignment horizontal="right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165" fontId="40" fillId="5" borderId="53" xfId="3" applyNumberFormat="1" applyFont="1" applyBorder="1" applyAlignment="1" applyProtection="1">
      <alignment horizontal="center" vertical="center"/>
    </xf>
    <xf numFmtId="165" fontId="40" fillId="5" borderId="54" xfId="3" applyNumberFormat="1" applyFont="1" applyBorder="1" applyAlignment="1" applyProtection="1">
      <alignment horizontal="center" vertical="center"/>
    </xf>
    <xf numFmtId="165" fontId="40" fillId="5" borderId="55" xfId="3" applyNumberFormat="1" applyFont="1" applyBorder="1" applyAlignment="1" applyProtection="1">
      <alignment horizontal="center" vertical="center"/>
    </xf>
    <xf numFmtId="165" fontId="28" fillId="32" borderId="7" xfId="0" applyNumberFormat="1" applyFont="1" applyFill="1" applyBorder="1" applyAlignment="1">
      <alignment horizontal="center" vertical="center"/>
    </xf>
    <xf numFmtId="165" fontId="28" fillId="32" borderId="8" xfId="0" applyNumberFormat="1" applyFont="1" applyFill="1" applyBorder="1" applyAlignment="1">
      <alignment horizontal="center" vertical="center"/>
    </xf>
    <xf numFmtId="165" fontId="28" fillId="32" borderId="9" xfId="0" applyNumberFormat="1" applyFont="1" applyFill="1" applyBorder="1" applyAlignment="1">
      <alignment horizontal="center" vertical="center"/>
    </xf>
    <xf numFmtId="165" fontId="28" fillId="32" borderId="10" xfId="0" applyNumberFormat="1" applyFont="1" applyFill="1" applyBorder="1" applyAlignment="1">
      <alignment horizontal="center" vertical="center"/>
    </xf>
    <xf numFmtId="165" fontId="28" fillId="32" borderId="11" xfId="0" applyNumberFormat="1" applyFont="1" applyFill="1" applyBorder="1" applyAlignment="1">
      <alignment horizontal="center" vertical="center"/>
    </xf>
    <xf numFmtId="165" fontId="28" fillId="32" borderId="12" xfId="0" applyNumberFormat="1" applyFont="1" applyFill="1" applyBorder="1" applyAlignment="1">
      <alignment horizontal="center" vertical="center"/>
    </xf>
    <xf numFmtId="165" fontId="19" fillId="32" borderId="7" xfId="0" applyNumberFormat="1" applyFont="1" applyFill="1" applyBorder="1" applyAlignment="1">
      <alignment horizontal="center" vertical="center"/>
    </xf>
    <xf numFmtId="165" fontId="19" fillId="32" borderId="8" xfId="0" applyNumberFormat="1" applyFont="1" applyFill="1" applyBorder="1" applyAlignment="1">
      <alignment horizontal="center" vertical="center"/>
    </xf>
    <xf numFmtId="165" fontId="19" fillId="32" borderId="9" xfId="0" applyNumberFormat="1" applyFont="1" applyFill="1" applyBorder="1" applyAlignment="1">
      <alignment horizontal="center" vertical="center"/>
    </xf>
    <xf numFmtId="165" fontId="19" fillId="32" borderId="10" xfId="0" applyNumberFormat="1" applyFont="1" applyFill="1" applyBorder="1" applyAlignment="1">
      <alignment horizontal="center" vertical="center"/>
    </xf>
    <xf numFmtId="165" fontId="19" fillId="32" borderId="11" xfId="0" applyNumberFormat="1" applyFont="1" applyFill="1" applyBorder="1" applyAlignment="1">
      <alignment horizontal="center" vertical="center"/>
    </xf>
    <xf numFmtId="165" fontId="19" fillId="32" borderId="12" xfId="0" applyNumberFormat="1" applyFont="1" applyFill="1" applyBorder="1" applyAlignment="1">
      <alignment horizontal="center" vertical="center"/>
    </xf>
    <xf numFmtId="0" fontId="0" fillId="0" borderId="0" xfId="0" quotePrefix="1"/>
    <xf numFmtId="165" fontId="35" fillId="13" borderId="18" xfId="2" quotePrefix="1" applyNumberFormat="1" applyFont="1" applyBorder="1" applyAlignment="1" applyProtection="1">
      <alignment horizontal="center" vertical="center"/>
      <protection locked="0"/>
    </xf>
    <xf numFmtId="165" fontId="35" fillId="13" borderId="3" xfId="2" quotePrefix="1" applyNumberFormat="1" applyFont="1" applyBorder="1" applyAlignment="1" applyProtection="1">
      <alignment horizontal="center" vertical="center"/>
      <protection locked="0"/>
    </xf>
    <xf numFmtId="0" fontId="31" fillId="2" borderId="37" xfId="1" applyFont="1" applyBorder="1" applyAlignment="1" applyProtection="1">
      <alignment horizontal="center"/>
    </xf>
    <xf numFmtId="0" fontId="35" fillId="13" borderId="2" xfId="2" quotePrefix="1" applyFont="1" applyBorder="1" applyAlignment="1" applyProtection="1">
      <alignment horizontal="center"/>
      <protection locked="0"/>
    </xf>
    <xf numFmtId="165" fontId="19" fillId="16" borderId="23" xfId="8" applyNumberFormat="1" applyFont="1" applyBorder="1" applyAlignment="1" applyProtection="1">
      <alignment vertical="center"/>
    </xf>
    <xf numFmtId="165" fontId="19" fillId="16" borderId="23" xfId="8" applyNumberFormat="1" applyFont="1" applyBorder="1" applyAlignment="1" applyProtection="1"/>
    <xf numFmtId="165" fontId="19" fillId="16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165" fontId="78" fillId="0" borderId="2" xfId="0" applyNumberFormat="1" applyFont="1" applyBorder="1" applyAlignment="1">
      <alignment horizontal="center" vertical="center" wrapText="1"/>
    </xf>
    <xf numFmtId="165" fontId="19" fillId="0" borderId="2" xfId="0" applyNumberFormat="1" applyFont="1" applyBorder="1" applyAlignment="1">
      <alignment horizontal="center"/>
    </xf>
    <xf numFmtId="165" fontId="19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77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35" fillId="13" borderId="13" xfId="2" quotePrefix="1" applyNumberFormat="1" applyFont="1" applyBorder="1" applyAlignment="1" applyProtection="1">
      <alignment horizontal="center" vertical="center"/>
      <protection locked="0"/>
    </xf>
    <xf numFmtId="1" fontId="35" fillId="13" borderId="1" xfId="2" quotePrefix="1" applyNumberFormat="1" applyFont="1" applyAlignment="1" applyProtection="1">
      <alignment horizontal="center" vertical="center"/>
      <protection locked="0"/>
    </xf>
    <xf numFmtId="165" fontId="31" fillId="2" borderId="10" xfId="1" applyNumberFormat="1" applyFont="1" applyBorder="1" applyAlignment="1" applyProtection="1">
      <alignment horizontal="left"/>
    </xf>
    <xf numFmtId="165" fontId="31" fillId="2" borderId="12" xfId="1" applyNumberFormat="1" applyFont="1" applyBorder="1" applyAlignment="1" applyProtection="1">
      <alignment horizontal="left"/>
    </xf>
    <xf numFmtId="165" fontId="31" fillId="2" borderId="2" xfId="1" applyNumberFormat="1" applyFont="1" applyBorder="1" applyAlignment="1" applyProtection="1">
      <alignment horizontal="left"/>
    </xf>
    <xf numFmtId="0" fontId="3" fillId="13" borderId="31" xfId="2" applyBorder="1" applyAlignment="1">
      <alignment horizontal="center" vertical="center"/>
    </xf>
    <xf numFmtId="165" fontId="19" fillId="0" borderId="0" xfId="0" applyNumberFormat="1" applyFont="1" applyAlignment="1">
      <alignment horizontal="center" vertical="center" wrapText="1"/>
    </xf>
    <xf numFmtId="173" fontId="3" fillId="13" borderId="5" xfId="2" quotePrefix="1" applyNumberFormat="1" applyBorder="1" applyAlignment="1">
      <alignment horizontal="center" vertical="center"/>
    </xf>
    <xf numFmtId="173" fontId="3" fillId="13" borderId="6" xfId="2" quotePrefix="1" applyNumberFormat="1" applyBorder="1" applyAlignment="1">
      <alignment horizontal="center" vertical="center"/>
    </xf>
    <xf numFmtId="0" fontId="83" fillId="7" borderId="31" xfId="5" quotePrefix="1" applyFont="1" applyBorder="1" applyAlignment="1">
      <alignment horizontal="center" vertical="center"/>
    </xf>
    <xf numFmtId="0" fontId="3" fillId="13" borderId="31" xfId="2" quotePrefix="1" applyBorder="1" applyAlignment="1">
      <alignment horizontal="center" vertical="center"/>
    </xf>
    <xf numFmtId="173" fontId="84" fillId="7" borderId="31" xfId="5" applyNumberFormat="1" applyFont="1" applyBorder="1" applyAlignment="1">
      <alignment horizontal="center" vertical="center"/>
    </xf>
    <xf numFmtId="165" fontId="84" fillId="7" borderId="31" xfId="5" applyNumberFormat="1" applyFont="1" applyBorder="1" applyAlignment="1">
      <alignment horizontal="center" vertical="center"/>
    </xf>
    <xf numFmtId="165" fontId="19" fillId="0" borderId="31" xfId="0" applyNumberFormat="1" applyFont="1" applyBorder="1" applyAlignment="1">
      <alignment vertical="center"/>
    </xf>
    <xf numFmtId="168" fontId="19" fillId="7" borderId="31" xfId="5" applyNumberFormat="1" applyFont="1" applyBorder="1" applyAlignment="1">
      <alignment horizontal="center" vertical="center"/>
    </xf>
    <xf numFmtId="0" fontId="83" fillId="7" borderId="2" xfId="5" quotePrefix="1" applyFont="1" applyBorder="1" applyAlignment="1">
      <alignment horizontal="center" vertical="center"/>
    </xf>
    <xf numFmtId="173" fontId="84" fillId="7" borderId="2" xfId="5" applyNumberFormat="1" applyFont="1" applyBorder="1" applyAlignment="1">
      <alignment horizontal="center" vertical="center"/>
    </xf>
    <xf numFmtId="165" fontId="84" fillId="7" borderId="2" xfId="5" applyNumberFormat="1" applyFont="1" applyBorder="1" applyAlignment="1">
      <alignment horizontal="center" vertical="center"/>
    </xf>
    <xf numFmtId="167" fontId="19" fillId="0" borderId="0" xfId="0" applyNumberFormat="1" applyFont="1" applyAlignment="1">
      <alignment horizontal="center"/>
    </xf>
    <xf numFmtId="167" fontId="6" fillId="30" borderId="15" xfId="3" applyNumberFormat="1" applyFill="1" applyBorder="1" applyAlignment="1" applyProtection="1"/>
    <xf numFmtId="167" fontId="34" fillId="0" borderId="0" xfId="0" applyNumberFormat="1" applyFont="1"/>
    <xf numFmtId="167" fontId="19" fillId="9" borderId="15" xfId="0" applyNumberFormat="1" applyFont="1" applyFill="1" applyBorder="1"/>
    <xf numFmtId="167" fontId="0" fillId="0" borderId="0" xfId="0" applyNumberFormat="1"/>
    <xf numFmtId="167" fontId="84" fillId="0" borderId="31" xfId="0" quotePrefix="1" applyNumberFormat="1" applyFont="1" applyBorder="1" applyAlignment="1">
      <alignment horizontal="center" vertical="center"/>
    </xf>
    <xf numFmtId="167" fontId="84" fillId="0" borderId="2" xfId="0" quotePrefix="1" applyNumberFormat="1" applyFont="1" applyBorder="1" applyAlignment="1">
      <alignment horizontal="center" vertical="center"/>
    </xf>
    <xf numFmtId="165" fontId="19" fillId="0" borderId="0" xfId="0" applyNumberFormat="1" applyFont="1" applyAlignment="1"/>
    <xf numFmtId="165" fontId="28" fillId="3" borderId="9" xfId="0" applyNumberFormat="1" applyFont="1" applyFill="1" applyBorder="1" applyAlignment="1">
      <alignment horizontal="center"/>
    </xf>
    <xf numFmtId="168" fontId="31" fillId="2" borderId="7" xfId="1" applyNumberFormat="1" applyFont="1" applyBorder="1" applyAlignment="1" applyProtection="1"/>
    <xf numFmtId="165" fontId="31" fillId="2" borderId="9" xfId="1" applyNumberFormat="1" applyFont="1" applyBorder="1" applyAlignment="1" applyProtection="1"/>
    <xf numFmtId="169" fontId="31" fillId="2" borderId="7" xfId="1" applyNumberFormat="1" applyFont="1" applyBorder="1" applyAlignment="1" applyProtection="1"/>
    <xf numFmtId="0" fontId="31" fillId="2" borderId="29" xfId="1" applyFont="1" applyBorder="1" applyAlignment="1" applyProtection="1">
      <alignment horizontal="center"/>
    </xf>
    <xf numFmtId="165" fontId="79" fillId="32" borderId="2" xfId="0" applyNumberFormat="1" applyFont="1" applyFill="1" applyBorder="1" applyAlignment="1">
      <alignment horizontal="center" vertical="center"/>
    </xf>
    <xf numFmtId="165" fontId="78" fillId="32" borderId="2" xfId="0" applyNumberFormat="1" applyFont="1" applyFill="1" applyBorder="1" applyAlignment="1">
      <alignment horizontal="center"/>
    </xf>
    <xf numFmtId="165" fontId="78" fillId="32" borderId="2" xfId="0" applyNumberFormat="1" applyFont="1" applyFill="1" applyBorder="1" applyAlignment="1">
      <alignment horizontal="left"/>
    </xf>
    <xf numFmtId="0" fontId="78" fillId="32" borderId="2" xfId="0" applyFont="1" applyFill="1" applyBorder="1" applyAlignment="1">
      <alignment horizontal="center"/>
    </xf>
    <xf numFmtId="0" fontId="78" fillId="32" borderId="2" xfId="0" applyFont="1" applyFill="1" applyBorder="1" applyAlignment="1">
      <alignment horizontal="left"/>
    </xf>
    <xf numFmtId="0" fontId="88" fillId="0" borderId="0" xfId="0" applyFont="1"/>
    <xf numFmtId="0" fontId="0" fillId="32" borderId="0" xfId="0" applyFill="1"/>
    <xf numFmtId="0" fontId="90" fillId="0" borderId="2" xfId="0" applyFont="1" applyBorder="1" applyAlignment="1">
      <alignment horizontal="center"/>
    </xf>
    <xf numFmtId="0" fontId="90" fillId="32" borderId="2" xfId="0" applyFont="1" applyFill="1" applyBorder="1" applyAlignment="1">
      <alignment horizontal="center"/>
    </xf>
    <xf numFmtId="0" fontId="0" fillId="32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</cellXfs>
  <cellStyles count="13">
    <cellStyle name="20 % - Accent5" xfId="11" builtinId="46"/>
    <cellStyle name="60 % - Accent5" xfId="8" builtinId="48" customBuiltin="1"/>
    <cellStyle name="Accent1" xfId="10" builtinId="29"/>
    <cellStyle name="Calcul" xfId="1" builtinId="22" customBuiltin="1"/>
    <cellStyle name="Cellule liée" xfId="12" builtinId="24"/>
    <cellStyle name="Entrée" xfId="2" builtinId="20" customBuiltin="1"/>
    <cellStyle name="Insatisfaisant" xfId="9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10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4.sv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png"/><Relationship Id="rId10" Type="http://schemas.openxmlformats.org/officeDocument/2006/relationships/image" Target="../media/image12.sv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119</xdr:row>
      <xdr:rowOff>123825</xdr:rowOff>
    </xdr:from>
    <xdr:to>
      <xdr:col>18</xdr:col>
      <xdr:colOff>361950</xdr:colOff>
      <xdr:row>120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144</xdr:row>
      <xdr:rowOff>200025</xdr:rowOff>
    </xdr:from>
    <xdr:to>
      <xdr:col>35</xdr:col>
      <xdr:colOff>482159</xdr:colOff>
      <xdr:row>154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169</xdr:row>
      <xdr:rowOff>190500</xdr:rowOff>
    </xdr:from>
    <xdr:to>
      <xdr:col>27</xdr:col>
      <xdr:colOff>12380</xdr:colOff>
      <xdr:row>193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5F5885B1-9975-475A-892E-39A0FB33BB59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CCD66A91-D316-4C00-B38F-8716C470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7FC2876-882E-48D0-8FE5-AA2F6B913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3289398D-127C-D246-32D6-835E8D18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5F90FB43-7B9A-404F-C9D4-5E3411EB91BF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296333</xdr:colOff>
      <xdr:row>33</xdr:row>
      <xdr:rowOff>52917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E90F6723-7FDA-9290-80AC-84BC35652B3F}"/>
            </a:ext>
          </a:extLst>
        </xdr:cNvPr>
        <xdr:cNvCxnSpPr/>
      </xdr:nvCxnSpPr>
      <xdr:spPr>
        <a:xfrm>
          <a:off x="3238500" y="7990417"/>
          <a:ext cx="2243667" cy="17568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444500</xdr:colOff>
      <xdr:row>33</xdr:row>
      <xdr:rowOff>137583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C3E8498F-826B-4EF1-97DE-830D8EFF20A4}"/>
            </a:ext>
          </a:extLst>
        </xdr:cNvPr>
        <xdr:cNvCxnSpPr/>
      </xdr:nvCxnSpPr>
      <xdr:spPr>
        <a:xfrm>
          <a:off x="7313083" y="8075083"/>
          <a:ext cx="1270000" cy="15663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5"/>
  <sheetViews>
    <sheetView topLeftCell="A127" zoomScaleNormal="100" workbookViewId="0">
      <selection activeCell="Q12" sqref="Q12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</row>
    <row r="2" spans="2:66" ht="17.25" customHeight="1"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</row>
    <row r="3" spans="2:66" ht="17.25" customHeight="1">
      <c r="C3" s="506"/>
      <c r="D3" s="506"/>
      <c r="E3" s="506"/>
      <c r="F3" s="506"/>
      <c r="G3" s="502" t="s">
        <v>233</v>
      </c>
      <c r="H3" s="502"/>
      <c r="I3" s="502"/>
      <c r="J3" s="504" t="s">
        <v>232</v>
      </c>
      <c r="K3" s="504"/>
      <c r="L3" s="504"/>
      <c r="N3" s="434" t="s">
        <v>435</v>
      </c>
      <c r="O3" s="434"/>
      <c r="P3" s="434"/>
      <c r="Q3" s="435" t="s">
        <v>353</v>
      </c>
      <c r="R3" s="435"/>
      <c r="S3" s="435"/>
    </row>
    <row r="4" spans="2:66" ht="17.25" customHeight="1">
      <c r="C4" s="506"/>
      <c r="D4" s="506"/>
      <c r="E4" s="506"/>
      <c r="F4" s="506"/>
      <c r="G4" s="503"/>
      <c r="H4" s="503"/>
      <c r="I4" s="503"/>
      <c r="J4" s="505"/>
      <c r="K4" s="505"/>
      <c r="L4" s="505"/>
      <c r="N4" s="434"/>
      <c r="O4" s="434"/>
      <c r="P4" s="434"/>
      <c r="Q4" s="435"/>
      <c r="R4" s="435"/>
      <c r="S4" s="435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2024/8/5 [YYYY/MM/DD]</v>
      </c>
      <c r="F7" s="230"/>
      <c r="G7" s="231"/>
      <c r="H7" s="232"/>
      <c r="I7" s="230" t="str" cm="1">
        <f t="array" ref="I7">heureDecimal2Txt(E11)</f>
        <v>07:18:13.00(07.3036)</v>
      </c>
      <c r="J7" s="230"/>
      <c r="K7" s="230"/>
      <c r="L7" s="108"/>
      <c r="M7" s="108"/>
      <c r="N7" s="108" t="s">
        <v>560</v>
      </c>
      <c r="O7" s="108"/>
      <c r="P7" s="108"/>
      <c r="Q7" s="108"/>
      <c r="R7" s="108"/>
      <c r="S7" s="108" t="s">
        <v>561</v>
      </c>
      <c r="T7" s="453">
        <f>dateConvert2Decimal(E8)</f>
        <v>1722816000</v>
      </c>
      <c r="U7" s="453"/>
      <c r="V7" s="453"/>
      <c r="W7" s="108" t="s">
        <v>562</v>
      </c>
      <c r="X7" s="413">
        <f>(T7/86400)+DATE(1970,1,1)</f>
        <v>45509</v>
      </c>
      <c r="Y7" s="413"/>
      <c r="Z7" s="108" t="s">
        <v>563</v>
      </c>
      <c r="AA7" s="318">
        <f>INT(MONTH(X7))</f>
        <v>8</v>
      </c>
      <c r="AB7" s="146"/>
    </row>
    <row r="8" spans="2:66" ht="17.25" customHeight="1">
      <c r="C8" s="498" t="s">
        <v>1</v>
      </c>
      <c r="D8" s="499"/>
      <c r="E8" s="632" t="s">
        <v>672</v>
      </c>
      <c r="F8" s="633"/>
      <c r="G8" s="633"/>
      <c r="H8" s="143"/>
      <c r="I8" s="436"/>
      <c r="J8" s="436"/>
      <c r="K8" s="436"/>
      <c r="L8" s="436"/>
      <c r="M8" s="436"/>
      <c r="N8" s="436"/>
      <c r="O8" s="436"/>
      <c r="AC8" s="6" t="s">
        <v>319</v>
      </c>
      <c r="AD8" s="6" cm="1">
        <f t="array" ref="AD8">heureConvert2Decimal(I11)</f>
        <v>7.1416666666666675</v>
      </c>
    </row>
    <row r="9" spans="2:66" ht="17.25" customHeight="1" thickBot="1">
      <c r="C9" s="477" t="s">
        <v>11</v>
      </c>
      <c r="D9" s="479"/>
      <c r="E9" s="477" t="s">
        <v>2</v>
      </c>
      <c r="F9" s="478"/>
      <c r="G9" s="478"/>
      <c r="H9" s="479"/>
      <c r="I9" s="582" t="s">
        <v>437</v>
      </c>
      <c r="J9" s="582"/>
      <c r="K9" s="582"/>
      <c r="L9" s="582" t="s">
        <v>433</v>
      </c>
      <c r="M9" s="582"/>
      <c r="N9" s="582"/>
      <c r="O9" s="582"/>
      <c r="P9" s="582"/>
      <c r="Q9" s="582" t="s">
        <v>434</v>
      </c>
      <c r="R9" s="582"/>
      <c r="S9" s="582"/>
      <c r="T9" s="582"/>
      <c r="U9" s="582"/>
      <c r="V9" s="613" t="s">
        <v>187</v>
      </c>
      <c r="W9" s="614"/>
      <c r="X9" s="614"/>
      <c r="Y9" s="615"/>
      <c r="AB9" s="147"/>
      <c r="AC9" s="6" t="s">
        <v>320</v>
      </c>
      <c r="AD9" s="151">
        <f>L11</f>
        <v>0</v>
      </c>
    </row>
    <row r="10" spans="2:66" ht="17.25" customHeight="1">
      <c r="C10" s="500"/>
      <c r="D10" s="501"/>
      <c r="E10" s="480"/>
      <c r="F10" s="481"/>
      <c r="G10" s="481"/>
      <c r="H10" s="4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16"/>
      <c r="W10" s="617"/>
      <c r="X10" s="617"/>
      <c r="Y10" s="618"/>
      <c r="AC10" s="6" t="s">
        <v>321</v>
      </c>
      <c r="AD10" s="6">
        <f>Q11/3600</f>
        <v>2.388888888888889E-2</v>
      </c>
    </row>
    <row r="11" spans="2:66" ht="17.25" customHeight="1" thickBot="1">
      <c r="C11" s="480"/>
      <c r="D11" s="482"/>
      <c r="E11" s="456">
        <f>AD8+AD9+AD10+AD11</f>
        <v>7.3036111111111124</v>
      </c>
      <c r="F11" s="457"/>
      <c r="G11" s="457"/>
      <c r="H11" s="458"/>
      <c r="I11" s="627" t="s">
        <v>673</v>
      </c>
      <c r="J11" s="627"/>
      <c r="K11" s="627"/>
      <c r="L11" s="659">
        <v>0</v>
      </c>
      <c r="M11" s="659"/>
      <c r="N11" s="659"/>
      <c r="O11" s="659"/>
      <c r="P11" s="659"/>
      <c r="Q11" s="659">
        <v>86</v>
      </c>
      <c r="R11" s="659"/>
      <c r="S11" s="659"/>
      <c r="T11" s="659"/>
      <c r="U11" s="660"/>
      <c r="V11" s="658" t="s">
        <v>674</v>
      </c>
      <c r="W11" s="658"/>
      <c r="X11" s="658"/>
      <c r="Y11" s="658"/>
      <c r="AC11" s="6" t="s">
        <v>36</v>
      </c>
      <c r="AD11" s="6" cm="1">
        <f t="array" ref="AD11">heureConvert2Decimal(V11) / 60</f>
        <v>0.13805555555555554</v>
      </c>
    </row>
    <row r="12" spans="2:66" customFormat="1" ht="17.25" customHeight="1" thickTop="1" thickBot="1">
      <c r="B12" s="98"/>
      <c r="E12" s="688" t="str" cm="1">
        <f t="array" ref="E12">heureDecimal2Txt(E11)</f>
        <v>07:18:13.00(07.3036)</v>
      </c>
      <c r="F12" s="689"/>
      <c r="G12" s="689"/>
      <c r="H12" s="69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61"/>
      <c r="N14" s="161"/>
      <c r="O14" s="161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Top="1" thickBot="1">
      <c r="C15" s="583" t="s">
        <v>223</v>
      </c>
      <c r="D15" s="583"/>
      <c r="E15" s="583"/>
      <c r="F15" s="583"/>
      <c r="G15" s="583"/>
      <c r="H15" s="583"/>
      <c r="I15" s="583"/>
      <c r="J15" s="599" cm="1">
        <f t="array" ref="J15">angleConvert2Decimal(M15)</f>
        <v>50.4</v>
      </c>
      <c r="K15" s="612"/>
      <c r="L15" s="612"/>
      <c r="M15" s="1215" t="s">
        <v>675</v>
      </c>
      <c r="N15" s="620"/>
      <c r="O15" s="620"/>
      <c r="P15" s="423" t="str" cm="1">
        <f t="array" ref="P15">angleDecimal2Txt(J15)</f>
        <v>+50°24.00 (+50.3999) [+50°24'00.00]</v>
      </c>
      <c r="Q15" s="450"/>
      <c r="R15" s="450"/>
      <c r="S15" s="450"/>
      <c r="T15" s="450"/>
      <c r="U15" s="450"/>
      <c r="V15" s="450"/>
      <c r="W15" s="450"/>
      <c r="X15" s="450"/>
      <c r="Y15" s="96"/>
    </row>
    <row r="16" spans="2:66" ht="18" customHeight="1" thickTop="1" thickBot="1">
      <c r="C16" s="583" t="s">
        <v>683</v>
      </c>
      <c r="D16" s="583"/>
      <c r="E16" s="583"/>
      <c r="F16" s="583"/>
      <c r="G16" s="583"/>
      <c r="H16" s="583"/>
      <c r="I16" s="583"/>
      <c r="J16" s="438" cm="1">
        <f t="array" ref="J16">angleConvert2Decimal(M16)</f>
        <v>-0.2</v>
      </c>
      <c r="K16" s="527"/>
      <c r="L16" s="1214"/>
      <c r="M16" s="1215" t="s">
        <v>676</v>
      </c>
      <c r="N16" s="1215"/>
      <c r="O16" s="1215"/>
      <c r="P16" s="423" t="str" cm="1">
        <f t="array" ref="P16">angleDecimal2Txt(J16)</f>
        <v>-00°12.00 (-00.2000) [-00°12'00.00]</v>
      </c>
      <c r="Q16" s="450"/>
      <c r="R16" s="450"/>
      <c r="S16" s="450"/>
      <c r="T16" s="450"/>
      <c r="U16" s="450"/>
      <c r="V16" s="450"/>
      <c r="W16" s="450"/>
      <c r="X16" s="450"/>
      <c r="Y16" s="96"/>
    </row>
    <row r="17" spans="2:40" ht="18" customHeight="1" thickTop="1" thickBot="1">
      <c r="C17" s="583" t="s">
        <v>231</v>
      </c>
      <c r="D17" s="583"/>
      <c r="E17" s="583"/>
      <c r="F17" s="583"/>
      <c r="G17" s="583"/>
      <c r="H17" s="583"/>
      <c r="I17" s="583"/>
      <c r="J17" s="599">
        <f>(J15-J16)/2</f>
        <v>25.3</v>
      </c>
      <c r="K17" s="612"/>
      <c r="L17" s="580"/>
      <c r="M17" s="1211"/>
      <c r="N17" s="1178"/>
      <c r="O17" s="1178"/>
      <c r="P17" s="450" t="str" cm="1">
        <f t="array" ref="P17">angleDecimal2Txt(J17)</f>
        <v>+25°18.00 (+25.3000) [+25°18'00.00]</v>
      </c>
      <c r="Q17" s="450"/>
      <c r="R17" s="450"/>
      <c r="S17" s="450"/>
      <c r="T17" s="450"/>
      <c r="U17" s="450"/>
      <c r="V17" s="450"/>
      <c r="W17" s="450"/>
      <c r="X17" s="450"/>
      <c r="Y17" s="96"/>
    </row>
    <row r="18" spans="2:40" ht="18" customHeight="1" thickTop="1" thickBot="1">
      <c r="C18" s="691" t="s">
        <v>21</v>
      </c>
      <c r="D18" s="691"/>
      <c r="E18" s="691"/>
      <c r="F18" s="691"/>
      <c r="G18" s="691"/>
      <c r="H18" s="691"/>
      <c r="I18" s="691"/>
      <c r="J18" s="661">
        <f>M18</f>
        <v>0</v>
      </c>
      <c r="K18" s="662"/>
      <c r="L18" s="663"/>
      <c r="M18" s="625">
        <v>0</v>
      </c>
      <c r="N18" s="625"/>
      <c r="O18" s="625"/>
      <c r="P18" s="96"/>
      <c r="Q18" s="96"/>
      <c r="R18" s="96"/>
      <c r="S18" s="96"/>
      <c r="T18" s="96"/>
      <c r="U18" s="96"/>
      <c r="V18" s="96"/>
      <c r="W18" s="96"/>
      <c r="X18" s="96"/>
      <c r="Y18" s="96"/>
    </row>
    <row r="19" spans="2:40" ht="18" customHeight="1" thickTop="1" thickBot="1">
      <c r="B19" s="96"/>
      <c r="C19" s="718" t="s">
        <v>22</v>
      </c>
      <c r="D19" s="719"/>
      <c r="E19" s="719"/>
      <c r="F19" s="719"/>
      <c r="G19" s="719"/>
      <c r="H19" s="719"/>
      <c r="I19" s="720"/>
      <c r="J19" s="438" cm="1">
        <f t="array" ref="J19">angleConvert2Decimal(M19)</f>
        <v>0</v>
      </c>
      <c r="K19" s="527"/>
      <c r="L19" s="527"/>
      <c r="M19" s="624">
        <v>0</v>
      </c>
      <c r="N19" s="625"/>
      <c r="O19" s="625"/>
      <c r="P19" s="450" t="str" cm="1">
        <f t="array" ref="P19">angleDecimal2Txt(J19)</f>
        <v>+00°00.00 (+00.0000) [+00°00'00.00]</v>
      </c>
      <c r="Q19" s="450"/>
      <c r="R19" s="450"/>
      <c r="S19" s="450"/>
      <c r="T19" s="450"/>
      <c r="U19" s="450"/>
      <c r="V19" s="450"/>
      <c r="W19" s="450"/>
      <c r="X19" s="450"/>
      <c r="Y19" s="96"/>
    </row>
    <row r="20" spans="2:40" ht="18" customHeight="1" thickTop="1" thickBot="1">
      <c r="C20" s="728" t="s">
        <v>32</v>
      </c>
      <c r="D20" s="728"/>
      <c r="E20" s="728"/>
      <c r="F20" s="728"/>
      <c r="G20" s="728"/>
      <c r="H20" s="728"/>
      <c r="I20" s="728"/>
      <c r="J20" s="438">
        <f>angleConvert2Decimal(M20)</f>
        <v>25.3</v>
      </c>
      <c r="K20" s="527"/>
      <c r="L20" s="527"/>
      <c r="M20" s="624" t="str">
        <f>angleDecimal2Txt(J17,0)</f>
        <v>+25°18.00</v>
      </c>
      <c r="N20" s="625"/>
      <c r="O20" s="625"/>
      <c r="P20" s="450" t="str" cm="1">
        <f t="array" ref="P20">angleDecimal2Txt(J20)</f>
        <v>+25°18.00 (+25.3000) [+25°18'00.00]</v>
      </c>
      <c r="Q20" s="450"/>
      <c r="R20" s="450"/>
      <c r="S20" s="450"/>
      <c r="T20" s="450"/>
      <c r="U20" s="450"/>
      <c r="V20" s="450"/>
      <c r="W20" s="450"/>
      <c r="X20" s="450"/>
      <c r="Y20" s="96"/>
    </row>
    <row r="21" spans="2:40" ht="18" customHeight="1" thickTop="1">
      <c r="C21" s="721" t="s">
        <v>37</v>
      </c>
      <c r="D21" s="721"/>
      <c r="E21" s="721"/>
      <c r="F21" s="721"/>
      <c r="G21" s="721"/>
      <c r="H21" s="721"/>
      <c r="I21" s="721"/>
      <c r="J21" s="722" t="str">
        <f>M21</f>
        <v>Soleil</v>
      </c>
      <c r="K21" s="723"/>
      <c r="L21" s="724"/>
      <c r="M21" s="634" t="s">
        <v>38</v>
      </c>
      <c r="N21" s="635"/>
      <c r="O21" s="636"/>
      <c r="P21" s="96"/>
      <c r="Q21" s="96"/>
      <c r="R21" s="96"/>
      <c r="S21" s="96"/>
      <c r="T21" s="96"/>
      <c r="U21" s="96"/>
      <c r="V21" s="96"/>
      <c r="W21" s="96"/>
      <c r="X21" s="96"/>
      <c r="Y21" s="96"/>
      <c r="AG21" s="98"/>
      <c r="AH21" s="98"/>
    </row>
    <row r="22" spans="2:40" ht="18" customHeight="1">
      <c r="C22" s="721" t="s">
        <v>84</v>
      </c>
      <c r="D22" s="721"/>
      <c r="E22" s="721"/>
      <c r="F22" s="721"/>
      <c r="G22" s="721"/>
      <c r="H22" s="721"/>
      <c r="I22" s="721"/>
      <c r="J22" s="446" t="str">
        <f>M22</f>
        <v>BordInf</v>
      </c>
      <c r="K22" s="446"/>
      <c r="L22" s="446"/>
      <c r="M22" s="620" t="s">
        <v>85</v>
      </c>
      <c r="N22" s="620"/>
      <c r="O22" s="620"/>
      <c r="P22" s="96"/>
      <c r="Q22" s="96"/>
      <c r="R22" s="96"/>
      <c r="S22" s="96"/>
      <c r="T22" s="96"/>
      <c r="U22" s="96"/>
      <c r="V22" s="96"/>
      <c r="W22" s="96"/>
      <c r="X22" s="96"/>
      <c r="Y22" s="96"/>
      <c r="AC22" s="153" t="s">
        <v>347</v>
      </c>
      <c r="AD22" s="154" t="s">
        <v>39</v>
      </c>
      <c r="AE22" s="154" t="s">
        <v>40</v>
      </c>
      <c r="AF22" s="154" t="s">
        <v>38</v>
      </c>
      <c r="AG22" s="98"/>
      <c r="AH22" s="98"/>
    </row>
    <row r="23" spans="2:40" ht="17.25" customHeight="1">
      <c r="C23" s="729" t="s">
        <v>306</v>
      </c>
      <c r="D23" s="730"/>
      <c r="E23" s="109"/>
      <c r="F23" s="109"/>
      <c r="G23" s="109"/>
      <c r="H23" s="109"/>
      <c r="I23" s="110"/>
      <c r="J23" s="645" cm="1">
        <f t="array" ref="J23">angleConvert2Decimal(M23)</f>
        <v>2.8833333333333332E-3</v>
      </c>
      <c r="K23" s="442"/>
      <c r="L23" s="443"/>
      <c r="M23" s="651" t="str">
        <f>P25</f>
        <v>0.173'</v>
      </c>
      <c r="N23" s="652"/>
      <c r="O23" s="652"/>
      <c r="P23" s="657" t="s">
        <v>129</v>
      </c>
      <c r="Q23" s="657"/>
      <c r="R23" s="657"/>
      <c r="S23" s="96"/>
      <c r="T23" s="96"/>
      <c r="U23" s="96"/>
      <c r="V23" s="96"/>
      <c r="W23" s="96"/>
      <c r="X23" s="96"/>
      <c r="Y23" s="96"/>
      <c r="AC23" s="153" t="s">
        <v>131</v>
      </c>
      <c r="AD23" s="155" t="s">
        <v>132</v>
      </c>
      <c r="AE23" s="155" t="s">
        <v>133</v>
      </c>
      <c r="AF23" s="155" t="s">
        <v>104</v>
      </c>
      <c r="AG23" s="98"/>
      <c r="AH23" s="98"/>
    </row>
    <row r="24" spans="2:40" ht="17.25" customHeight="1" thickBot="1">
      <c r="C24" s="111"/>
      <c r="D24" s="694" t="s">
        <v>307</v>
      </c>
      <c r="E24" s="694"/>
      <c r="F24" s="694"/>
      <c r="G24" s="694"/>
      <c r="H24" s="694"/>
      <c r="I24" s="695"/>
      <c r="J24" s="646"/>
      <c r="K24" s="503"/>
      <c r="L24" s="647"/>
      <c r="M24" s="653"/>
      <c r="N24" s="654"/>
      <c r="O24" s="654"/>
      <c r="P24" s="657"/>
      <c r="Q24" s="657"/>
      <c r="R24" s="657"/>
      <c r="S24" s="96"/>
      <c r="T24" s="96"/>
      <c r="U24" s="96"/>
      <c r="V24" s="96"/>
      <c r="W24" s="96"/>
      <c r="X24" s="96"/>
      <c r="Y24" s="96"/>
      <c r="AC24" s="153" t="s">
        <v>135</v>
      </c>
      <c r="AD24" s="155" t="s">
        <v>132</v>
      </c>
      <c r="AE24" s="155" t="s">
        <v>136</v>
      </c>
      <c r="AF24" s="155">
        <f>HLOOKUP(AA7,AC29:AN31,3)</f>
        <v>0.52666666666666673</v>
      </c>
      <c r="AG24" s="98"/>
      <c r="AH24" s="98"/>
    </row>
    <row r="25" spans="2:40" ht="17.25" customHeight="1" thickTop="1" thickBot="1">
      <c r="C25" s="111"/>
      <c r="D25" s="694"/>
      <c r="E25" s="694"/>
      <c r="F25" s="694"/>
      <c r="G25" s="694"/>
      <c r="H25" s="694"/>
      <c r="I25" s="695"/>
      <c r="J25" s="646"/>
      <c r="K25" s="503"/>
      <c r="L25" s="647"/>
      <c r="M25" s="653"/>
      <c r="N25" s="654"/>
      <c r="O25" s="654"/>
      <c r="P25" s="626" t="str">
        <f>HLOOKUP(M21,AD22:AF24,2,FALSE)</f>
        <v>0.173'</v>
      </c>
      <c r="Q25" s="626"/>
      <c r="R25" s="626"/>
      <c r="S25" s="521" t="str" cm="1">
        <f t="array" ref="S25">angleDecimal2Txt(angleConvert2Decimal(P25))</f>
        <v>+00°00.17 (+00.0028) [+00°00'10.37]</v>
      </c>
      <c r="T25" s="521"/>
      <c r="U25" s="521"/>
      <c r="V25" s="521"/>
      <c r="W25" s="521"/>
      <c r="X25" s="522"/>
      <c r="Y25" s="96"/>
    </row>
    <row r="26" spans="2:40" ht="17.25" customHeight="1" thickTop="1" thickBot="1">
      <c r="C26" s="112"/>
      <c r="D26" s="696"/>
      <c r="E26" s="696"/>
      <c r="F26" s="696"/>
      <c r="G26" s="696"/>
      <c r="H26" s="696"/>
      <c r="I26" s="697"/>
      <c r="J26" s="648"/>
      <c r="K26" s="649"/>
      <c r="L26" s="650"/>
      <c r="M26" s="655"/>
      <c r="N26" s="656"/>
      <c r="O26" s="656"/>
      <c r="P26" s="623" t="str" cm="1">
        <f t="array" ref="P26">angleDecimal2Txt(J23)</f>
        <v>+00°00.17 (+00.0028) [+00°00'10.37]</v>
      </c>
      <c r="Q26" s="623"/>
      <c r="R26" s="623"/>
      <c r="S26" s="450"/>
      <c r="T26" s="450"/>
      <c r="U26" s="450"/>
      <c r="V26" s="450"/>
      <c r="W26" s="450"/>
      <c r="X26" s="450"/>
      <c r="Y26" s="96"/>
      <c r="AC26" s="153" t="s">
        <v>130</v>
      </c>
      <c r="AD26" s="154" t="s">
        <v>85</v>
      </c>
      <c r="AE26" s="154" t="s">
        <v>345</v>
      </c>
      <c r="AF26" s="154" t="s">
        <v>86</v>
      </c>
    </row>
    <row r="27" spans="2:40" ht="17.25" customHeight="1" thickTop="1">
      <c r="C27" s="637" t="s">
        <v>134</v>
      </c>
      <c r="D27" s="638"/>
      <c r="E27" s="638"/>
      <c r="F27" s="638"/>
      <c r="G27" s="638"/>
      <c r="H27" s="638"/>
      <c r="I27" s="639"/>
      <c r="J27" s="645" cm="1">
        <f t="array" ref="J27">angleConvert2Decimal(M27)</f>
        <v>0.52666666666666695</v>
      </c>
      <c r="K27" s="442"/>
      <c r="L27" s="443"/>
      <c r="M27" s="651">
        <f>P29</f>
        <v>0.52666666666666673</v>
      </c>
      <c r="N27" s="652"/>
      <c r="O27" s="652"/>
      <c r="P27" s="657" t="s">
        <v>129</v>
      </c>
      <c r="Q27" s="657"/>
      <c r="R27" s="657"/>
      <c r="S27" s="96"/>
      <c r="T27" s="96"/>
      <c r="U27" s="96"/>
      <c r="V27" s="96"/>
      <c r="W27" s="96"/>
      <c r="X27" s="96"/>
      <c r="Y27" s="96"/>
      <c r="AC27" s="319" t="s">
        <v>346</v>
      </c>
      <c r="AD27" s="320">
        <v>0.5</v>
      </c>
      <c r="AE27" s="320">
        <v>-0.5</v>
      </c>
      <c r="AF27" s="320">
        <v>0</v>
      </c>
    </row>
    <row r="28" spans="2:40" ht="17.25" customHeight="1" thickBot="1">
      <c r="C28" s="640"/>
      <c r="D28" s="508"/>
      <c r="E28" s="508"/>
      <c r="F28" s="508"/>
      <c r="G28" s="508"/>
      <c r="H28" s="508"/>
      <c r="I28" s="641"/>
      <c r="J28" s="646"/>
      <c r="K28" s="503"/>
      <c r="L28" s="647"/>
      <c r="M28" s="653"/>
      <c r="N28" s="654"/>
      <c r="O28" s="654"/>
      <c r="P28" s="657"/>
      <c r="Q28" s="657"/>
      <c r="R28" s="657"/>
      <c r="S28" s="96"/>
      <c r="T28" s="96"/>
      <c r="U28" s="96"/>
      <c r="V28" s="96"/>
      <c r="W28" s="96"/>
      <c r="X28" s="96"/>
      <c r="Y28" s="96"/>
      <c r="AC28" s="414" t="s">
        <v>570</v>
      </c>
      <c r="AD28" s="414"/>
      <c r="AE28" s="414"/>
      <c r="AF28" s="414"/>
      <c r="AG28" s="414"/>
      <c r="AH28" s="414"/>
      <c r="AI28" s="414"/>
      <c r="AJ28" s="414"/>
      <c r="AK28" s="414"/>
      <c r="AL28" s="414"/>
      <c r="AM28" s="414"/>
      <c r="AN28" s="414"/>
    </row>
    <row r="29" spans="2:40" ht="17.25" customHeight="1" thickTop="1" thickBot="1">
      <c r="C29" s="640"/>
      <c r="D29" s="508"/>
      <c r="E29" s="508"/>
      <c r="F29" s="508"/>
      <c r="G29" s="508"/>
      <c r="H29" s="508"/>
      <c r="I29" s="641"/>
      <c r="J29" s="646"/>
      <c r="K29" s="503"/>
      <c r="L29" s="647"/>
      <c r="M29" s="653"/>
      <c r="N29" s="654"/>
      <c r="O29" s="654"/>
      <c r="P29" s="626">
        <f>HLOOKUP(M21,AD22:AF24,3,FALSE)</f>
        <v>0.52666666666666673</v>
      </c>
      <c r="Q29" s="626"/>
      <c r="R29" s="626"/>
      <c r="S29" s="521" t="str" cm="1">
        <f t="array" ref="S29">angleDecimal2Txt(angleConvert2Decimal(P29))</f>
        <v>+00°31.60 (+00.5266) [+00°31'36.00]</v>
      </c>
      <c r="T29" s="521"/>
      <c r="U29" s="521"/>
      <c r="V29" s="521"/>
      <c r="W29" s="521"/>
      <c r="X29" s="522"/>
      <c r="Y29" s="96"/>
      <c r="AC29" s="315">
        <v>1</v>
      </c>
      <c r="AD29" s="315">
        <v>2</v>
      </c>
      <c r="AE29" s="315">
        <v>3</v>
      </c>
      <c r="AF29" s="315">
        <v>4</v>
      </c>
      <c r="AG29" s="315">
        <v>5</v>
      </c>
      <c r="AH29" s="315">
        <v>6</v>
      </c>
      <c r="AI29" s="315">
        <v>7</v>
      </c>
      <c r="AJ29" s="315">
        <v>8</v>
      </c>
      <c r="AK29" s="315">
        <v>9</v>
      </c>
      <c r="AL29" s="315">
        <v>10</v>
      </c>
      <c r="AM29" s="315">
        <v>11</v>
      </c>
      <c r="AN29" s="315">
        <v>12</v>
      </c>
    </row>
    <row r="30" spans="2:40" ht="17.25" customHeight="1" thickTop="1" thickBot="1">
      <c r="C30" s="642"/>
      <c r="D30" s="643"/>
      <c r="E30" s="643"/>
      <c r="F30" s="643"/>
      <c r="G30" s="643"/>
      <c r="H30" s="643"/>
      <c r="I30" s="644"/>
      <c r="J30" s="648"/>
      <c r="K30" s="649"/>
      <c r="L30" s="650"/>
      <c r="M30" s="655"/>
      <c r="N30" s="656"/>
      <c r="O30" s="656"/>
      <c r="P30" s="623" t="str" cm="1">
        <f t="array" ref="P30">angleDecimal2Txt(J27)</f>
        <v>+00°31.60 (+00.5266) [+00°31'36.00]</v>
      </c>
      <c r="Q30" s="623"/>
      <c r="R30" s="623"/>
      <c r="S30" s="450"/>
      <c r="T30" s="450"/>
      <c r="U30" s="450"/>
      <c r="V30" s="450"/>
      <c r="W30" s="450"/>
      <c r="X30" s="450"/>
      <c r="Y30" s="96"/>
      <c r="AC30" s="321" t="s">
        <v>564</v>
      </c>
      <c r="AD30" s="321" t="s">
        <v>565</v>
      </c>
      <c r="AE30" s="321" t="s">
        <v>566</v>
      </c>
      <c r="AF30" s="321" t="s">
        <v>567</v>
      </c>
      <c r="AG30" s="321" t="s">
        <v>568</v>
      </c>
      <c r="AH30" s="321" t="s">
        <v>568</v>
      </c>
      <c r="AI30" s="321" t="s">
        <v>568</v>
      </c>
      <c r="AJ30" s="321" t="s">
        <v>568</v>
      </c>
      <c r="AK30" s="321" t="s">
        <v>569</v>
      </c>
      <c r="AL30" s="321" t="s">
        <v>566</v>
      </c>
      <c r="AM30" s="321" t="s">
        <v>565</v>
      </c>
      <c r="AN30" s="321" t="s">
        <v>564</v>
      </c>
    </row>
    <row r="31" spans="2:40" ht="17.25" customHeight="1" thickTop="1" thickBot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AC31" s="315">
        <f>angleConvert2Decimal(AC30)</f>
        <v>0.54333333333333333</v>
      </c>
      <c r="AD31" s="315">
        <f>angleConvert2Decimal(AD30)</f>
        <v>0.53999999999999992</v>
      </c>
      <c r="AE31" s="315">
        <f>angleConvert2Decimal(AE30)</f>
        <v>0.53666666666666674</v>
      </c>
      <c r="AF31" s="315">
        <f>angleConvert2Decimal(AF30)</f>
        <v>0.53333333333333333</v>
      </c>
      <c r="AG31" s="315">
        <f>angleConvert2Decimal(AG30)</f>
        <v>0.52666666666666673</v>
      </c>
      <c r="AH31" s="315">
        <f t="shared" ref="AH31:AN31" si="0">angleConvert2Decimal(AH30)</f>
        <v>0.52666666666666673</v>
      </c>
      <c r="AI31" s="315">
        <f t="shared" si="0"/>
        <v>0.52666666666666673</v>
      </c>
      <c r="AJ31" s="315">
        <f t="shared" si="0"/>
        <v>0.52666666666666673</v>
      </c>
      <c r="AK31" s="315">
        <f t="shared" si="0"/>
        <v>0.53</v>
      </c>
      <c r="AL31" s="315">
        <f t="shared" si="0"/>
        <v>0.53666666666666674</v>
      </c>
      <c r="AM31" s="315">
        <f t="shared" si="0"/>
        <v>0.53999999999999992</v>
      </c>
      <c r="AN31" s="315">
        <f t="shared" si="0"/>
        <v>0.54333333333333333</v>
      </c>
    </row>
    <row r="32" spans="2:40" ht="17.25" customHeight="1" thickBot="1">
      <c r="B32" s="107" t="s">
        <v>362</v>
      </c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46"/>
    </row>
    <row r="33" spans="1:66" ht="17.25" customHeight="1">
      <c r="C33" s="96"/>
      <c r="D33" s="96"/>
      <c r="E33" s="731" t="s">
        <v>7</v>
      </c>
      <c r="F33" s="731"/>
      <c r="G33" s="731"/>
      <c r="H33" s="731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</row>
    <row r="34" spans="1:66" ht="17.25" customHeight="1" thickBot="1">
      <c r="C34" s="96"/>
      <c r="D34" s="96"/>
      <c r="E34" s="731"/>
      <c r="F34" s="731"/>
      <c r="G34" s="731"/>
      <c r="H34" s="731"/>
      <c r="I34" s="96"/>
      <c r="J34" s="96" t="s">
        <v>225</v>
      </c>
      <c r="K34" s="96"/>
      <c r="L34" s="96" t="s">
        <v>226</v>
      </c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Top="1" thickBot="1">
      <c r="A35" s="725" t="s">
        <v>41</v>
      </c>
      <c r="B35" s="726"/>
      <c r="C35" s="727"/>
      <c r="D35" s="96"/>
      <c r="E35" s="96"/>
      <c r="F35" s="598">
        <f>AD36</f>
        <v>48.875500000000002</v>
      </c>
      <c r="G35" s="621"/>
      <c r="H35" s="621"/>
      <c r="I35" s="517" t="s">
        <v>3</v>
      </c>
      <c r="J35" s="519" t="s">
        <v>677</v>
      </c>
      <c r="K35" s="517"/>
      <c r="L35" s="517"/>
      <c r="M35" s="517"/>
      <c r="N35" s="517"/>
      <c r="O35" s="448" t="str" cm="1">
        <f t="array" ref="O35">angleDecimal2Txt(F35)</f>
        <v>+48°52.53 (+48.8755) [+48°52'31.80]</v>
      </c>
      <c r="P35" s="448"/>
      <c r="Q35" s="448"/>
      <c r="R35" s="448"/>
      <c r="S35" s="448"/>
      <c r="T35" s="448"/>
      <c r="U35" s="448"/>
      <c r="V35" s="448"/>
      <c r="W35" s="448"/>
      <c r="X35" s="448"/>
      <c r="Y35" s="96"/>
      <c r="Z35" s="96"/>
      <c r="AC35" s="6" t="s">
        <v>325</v>
      </c>
      <c r="AD35" s="6">
        <f>VLOOKUP(I35,A37:C38,3)</f>
        <v>1</v>
      </c>
      <c r="BN35" s="113"/>
    </row>
    <row r="36" spans="1:66" ht="17.25" customHeight="1" thickTop="1" thickBot="1">
      <c r="A36" s="99" t="s">
        <v>49</v>
      </c>
      <c r="B36" s="114" t="s">
        <v>50</v>
      </c>
      <c r="C36" s="100"/>
      <c r="D36" s="96"/>
      <c r="E36" s="96"/>
      <c r="F36" s="621"/>
      <c r="G36" s="621"/>
      <c r="H36" s="621"/>
      <c r="I36" s="517"/>
      <c r="J36" s="517"/>
      <c r="K36" s="517"/>
      <c r="L36" s="517"/>
      <c r="M36" s="517"/>
      <c r="N36" s="517"/>
      <c r="O36" s="448"/>
      <c r="P36" s="448"/>
      <c r="Q36" s="448"/>
      <c r="R36" s="448"/>
      <c r="S36" s="448"/>
      <c r="T36" s="448"/>
      <c r="U36" s="448"/>
      <c r="V36" s="448"/>
      <c r="W36" s="448"/>
      <c r="X36" s="448"/>
      <c r="Y36" s="96"/>
      <c r="Z36" s="96"/>
      <c r="AC36" s="6" t="s">
        <v>326</v>
      </c>
      <c r="AD36" s="6" cm="1">
        <f t="array" ref="AD36">angleConvert2Decimal(J35)*AD35</f>
        <v>48.875500000000002</v>
      </c>
      <c r="BN36" s="113"/>
    </row>
    <row r="37" spans="1:66" ht="17.25" customHeight="1" thickTop="1">
      <c r="A37" s="99" t="s">
        <v>3</v>
      </c>
      <c r="B37" s="114" t="s">
        <v>5</v>
      </c>
      <c r="C37" s="100">
        <v>1</v>
      </c>
      <c r="D37" s="96"/>
      <c r="E37" s="96"/>
      <c r="F37" s="96"/>
      <c r="G37" s="96"/>
      <c r="H37" s="96"/>
      <c r="BN37" s="113"/>
    </row>
    <row r="38" spans="1:66" ht="17.25" customHeight="1" thickBot="1">
      <c r="A38" s="101" t="s">
        <v>4</v>
      </c>
      <c r="B38" s="102" t="s">
        <v>6</v>
      </c>
      <c r="C38" s="103">
        <v>-1</v>
      </c>
      <c r="D38" s="96"/>
      <c r="E38" s="622" t="s">
        <v>8</v>
      </c>
      <c r="F38" s="622"/>
      <c r="G38" s="622"/>
      <c r="H38" s="622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BN38" s="113"/>
    </row>
    <row r="39" spans="1:66" ht="17.25" customHeight="1" thickBot="1">
      <c r="C39" s="96"/>
      <c r="D39" s="96"/>
      <c r="E39" s="622"/>
      <c r="F39" s="622"/>
      <c r="G39" s="622"/>
      <c r="H39" s="622"/>
      <c r="I39" s="96"/>
      <c r="J39" s="96" t="s">
        <v>225</v>
      </c>
      <c r="K39" s="96"/>
      <c r="L39" s="96" t="s">
        <v>234</v>
      </c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Top="1" thickBot="1">
      <c r="B40" s="96"/>
      <c r="C40" s="96"/>
      <c r="D40" s="96"/>
      <c r="E40" s="96"/>
      <c r="F40" s="598">
        <f>AD41</f>
        <v>2.0945</v>
      </c>
      <c r="G40" s="621"/>
      <c r="H40" s="621"/>
      <c r="I40" s="517" t="s">
        <v>5</v>
      </c>
      <c r="J40" s="519" t="s">
        <v>678</v>
      </c>
      <c r="K40" s="517"/>
      <c r="L40" s="517"/>
      <c r="M40" s="517"/>
      <c r="N40" s="517"/>
      <c r="O40" s="448" t="str" cm="1">
        <f t="array" ref="O40">angleDecimal2Txt(F40)</f>
        <v>+02°05.66 (+02.0945) [+02°05'40.19]</v>
      </c>
      <c r="P40" s="448"/>
      <c r="Q40" s="448"/>
      <c r="R40" s="448"/>
      <c r="S40" s="448"/>
      <c r="T40" s="448"/>
      <c r="U40" s="448"/>
      <c r="V40" s="448"/>
      <c r="W40" s="448"/>
      <c r="X40" s="448"/>
      <c r="Y40" s="96"/>
      <c r="Z40" s="96"/>
      <c r="AC40" s="6" t="s">
        <v>327</v>
      </c>
      <c r="AD40" s="6">
        <f>VLOOKUP(I40,B37:C38,2)</f>
        <v>1</v>
      </c>
    </row>
    <row r="41" spans="1:66" ht="17.25" customHeight="1" thickTop="1" thickBot="1">
      <c r="C41" s="96"/>
      <c r="D41" s="96"/>
      <c r="E41" s="96"/>
      <c r="F41" s="621"/>
      <c r="G41" s="621"/>
      <c r="H41" s="621"/>
      <c r="I41" s="517"/>
      <c r="J41" s="517"/>
      <c r="K41" s="517"/>
      <c r="L41" s="517"/>
      <c r="M41" s="517"/>
      <c r="N41" s="517"/>
      <c r="O41" s="448"/>
      <c r="P41" s="448"/>
      <c r="Q41" s="448"/>
      <c r="R41" s="448"/>
      <c r="S41" s="448"/>
      <c r="T41" s="448"/>
      <c r="U41" s="448"/>
      <c r="V41" s="448"/>
      <c r="W41" s="448"/>
      <c r="X41" s="448"/>
      <c r="Y41" s="96"/>
      <c r="Z41" s="96"/>
      <c r="AC41" s="6" t="s">
        <v>328</v>
      </c>
      <c r="AD41" s="6" cm="1">
        <f t="array" ref="AD41">angleConvert2Decimal(J40)*AD40</f>
        <v>2.0945</v>
      </c>
    </row>
    <row r="42" spans="1:66" ht="17.25" customHeight="1" thickTop="1"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</row>
    <row r="43" spans="1:66" ht="17.25" customHeight="1" thickBot="1"/>
    <row r="44" spans="1:66" ht="17.25" customHeight="1" thickBot="1">
      <c r="B44" s="107" t="s">
        <v>9</v>
      </c>
      <c r="C44" s="108"/>
      <c r="D44" s="108"/>
      <c r="E44" s="108"/>
      <c r="F44" s="510">
        <f>IF(G45=AD45,F49,F57)</f>
        <v>16.808124537037038</v>
      </c>
      <c r="G44" s="510"/>
      <c r="H44" s="510"/>
      <c r="I44" s="108"/>
      <c r="J44" s="108"/>
      <c r="K44" s="108" t="str" cm="1">
        <f t="array" ref="K44">angleDecimal2Txt(F44)</f>
        <v>+16°48.48 (+16.8081) [+16°48'29.24]</v>
      </c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48"/>
    </row>
    <row r="45" spans="1:66" s="115" customFormat="1" ht="17.25" customHeight="1">
      <c r="C45" s="508" t="s">
        <v>42</v>
      </c>
      <c r="D45" s="508"/>
      <c r="E45" s="508"/>
      <c r="F45" s="508"/>
      <c r="G45" s="512" t="s">
        <v>10</v>
      </c>
      <c r="H45" s="512"/>
      <c r="I45" s="512"/>
      <c r="AB45" s="149"/>
      <c r="AC45" s="706" t="s">
        <v>43</v>
      </c>
      <c r="AD45" s="152" t="s">
        <v>10</v>
      </c>
      <c r="AE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6" ht="17.25" customHeight="1">
      <c r="C46" s="116" t="s">
        <v>10</v>
      </c>
      <c r="D46" s="116"/>
      <c r="E46" s="117"/>
      <c r="F46" s="117"/>
      <c r="G46" s="96"/>
      <c r="H46" s="96"/>
      <c r="I46" s="96"/>
      <c r="AC46" s="706"/>
      <c r="AD46" s="152" t="s">
        <v>16</v>
      </c>
      <c r="AF46" s="98"/>
      <c r="AG46" s="98"/>
    </row>
    <row r="47" spans="1:66" ht="17.25" customHeight="1">
      <c r="F47" s="518" t="s">
        <v>9</v>
      </c>
      <c r="G47" s="518"/>
      <c r="H47" s="518"/>
      <c r="I47" s="518" t="s">
        <v>12</v>
      </c>
      <c r="J47" s="518"/>
      <c r="K47" s="518"/>
      <c r="L47" s="518"/>
      <c r="M47" s="511" t="s">
        <v>13</v>
      </c>
      <c r="N47" s="511"/>
      <c r="O47" s="511"/>
      <c r="P47" s="520" t="s">
        <v>17</v>
      </c>
      <c r="Q47" s="520"/>
      <c r="R47" s="520"/>
      <c r="S47" s="520"/>
      <c r="T47" s="520"/>
      <c r="U47" s="96"/>
      <c r="AD47" s="157" t="s">
        <v>101</v>
      </c>
      <c r="AE47" s="6" t="s">
        <v>337</v>
      </c>
    </row>
    <row r="48" spans="1:66" ht="17.25" customHeight="1" thickBot="1">
      <c r="F48" s="518"/>
      <c r="G48" s="518"/>
      <c r="H48" s="518"/>
      <c r="I48" s="518"/>
      <c r="J48" s="518"/>
      <c r="K48" s="518"/>
      <c r="L48" s="518"/>
      <c r="M48" s="511"/>
      <c r="N48" s="511"/>
      <c r="O48" s="511"/>
      <c r="P48" s="520"/>
      <c r="Q48" s="520"/>
      <c r="R48" s="520"/>
      <c r="S48" s="520"/>
      <c r="T48" s="520"/>
      <c r="U48" s="96"/>
      <c r="AC48" s="6" t="s">
        <v>329</v>
      </c>
      <c r="AD48" s="6">
        <f>VLOOKUP(P49,$A$37:$C$38,3)</f>
        <v>1</v>
      </c>
      <c r="AE48" s="6" cm="1">
        <f t="array" ref="AE48">AD48*angleConvert2Decimal(Q49)</f>
        <v>16.811666666666667</v>
      </c>
    </row>
    <row r="49" spans="1:35" ht="17.25" customHeight="1" thickTop="1" thickBot="1">
      <c r="E49" s="98"/>
      <c r="F49" s="597">
        <f>IF(G45=AD46,"---",AD53)</f>
        <v>16.808124537037038</v>
      </c>
      <c r="G49" s="597"/>
      <c r="H49" s="597"/>
      <c r="I49" s="468">
        <f>E11</f>
        <v>7.3036111111111124</v>
      </c>
      <c r="J49" s="468"/>
      <c r="K49" s="468"/>
      <c r="L49" s="468"/>
      <c r="M49" s="1212">
        <v>7</v>
      </c>
      <c r="N49" s="516"/>
      <c r="O49" s="516"/>
      <c r="P49" s="516" t="s">
        <v>3</v>
      </c>
      <c r="Q49" s="627" t="s">
        <v>682</v>
      </c>
      <c r="R49" s="698"/>
      <c r="S49" s="698"/>
      <c r="T49" s="698"/>
      <c r="U49" s="448" t="str" cm="1">
        <f t="array" ref="U49">angleDecimal2Txt(AE48)</f>
        <v>+16°48.70 (+16.8116) [+16°48'42.00]</v>
      </c>
      <c r="V49" s="619"/>
      <c r="W49" s="619"/>
      <c r="X49" s="619"/>
      <c r="Y49" s="619"/>
      <c r="AC49" s="6" t="s">
        <v>330</v>
      </c>
      <c r="AD49" s="6">
        <f>VLOOKUP(P51,$A$37:$C$38,3)</f>
        <v>1</v>
      </c>
      <c r="AE49" s="6" cm="1">
        <f t="array" ref="AE49">AD49*angleConvert2Decimal(Q51)</f>
        <v>16.8</v>
      </c>
    </row>
    <row r="50" spans="1:35" ht="17.25" customHeight="1" thickTop="1" thickBot="1">
      <c r="F50" s="598"/>
      <c r="G50" s="598"/>
      <c r="H50" s="598"/>
      <c r="I50" s="468"/>
      <c r="J50" s="468"/>
      <c r="K50" s="468"/>
      <c r="L50" s="468"/>
      <c r="M50" s="701"/>
      <c r="N50" s="517"/>
      <c r="O50" s="517"/>
      <c r="P50" s="517"/>
      <c r="Q50" s="699"/>
      <c r="R50" s="699"/>
      <c r="S50" s="699"/>
      <c r="T50" s="699"/>
      <c r="U50" s="619"/>
      <c r="V50" s="619"/>
      <c r="W50" s="619"/>
      <c r="X50" s="619"/>
      <c r="Y50" s="619"/>
      <c r="AC50" s="6" t="s">
        <v>45</v>
      </c>
      <c r="AD50" s="8">
        <f>AE49-AE48</f>
        <v>-1.1666666666666714E-2</v>
      </c>
    </row>
    <row r="51" spans="1:35" ht="17.25" customHeight="1" thickTop="1" thickBot="1">
      <c r="F51" s="598"/>
      <c r="G51" s="598"/>
      <c r="H51" s="598"/>
      <c r="I51" s="468"/>
      <c r="J51" s="468"/>
      <c r="K51" s="468"/>
      <c r="L51" s="468"/>
      <c r="M51" s="1213">
        <v>8</v>
      </c>
      <c r="N51" s="517"/>
      <c r="O51" s="517"/>
      <c r="P51" s="517" t="s">
        <v>3</v>
      </c>
      <c r="Q51" s="705" t="s">
        <v>681</v>
      </c>
      <c r="R51" s="699"/>
      <c r="S51" s="699"/>
      <c r="T51" s="699"/>
      <c r="U51" s="448" t="str" cm="1">
        <f t="array" ref="U51">angleDecimal2Txt((AE49))</f>
        <v>+16°48.00 (+16.8000) [+16°48'00.00]</v>
      </c>
      <c r="V51" s="619"/>
      <c r="W51" s="619"/>
      <c r="X51" s="619"/>
      <c r="Y51" s="619"/>
      <c r="AC51" s="6" t="s">
        <v>331</v>
      </c>
      <c r="AD51" s="8">
        <f>M51-M49</f>
        <v>1</v>
      </c>
      <c r="AE51" s="98"/>
      <c r="AF51" s="98"/>
      <c r="AG51" s="98"/>
      <c r="AH51" s="98"/>
    </row>
    <row r="52" spans="1:35" ht="17.25" customHeight="1" thickTop="1" thickBot="1">
      <c r="F52" s="598"/>
      <c r="G52" s="598"/>
      <c r="H52" s="598"/>
      <c r="I52" s="468"/>
      <c r="J52" s="468"/>
      <c r="K52" s="468"/>
      <c r="L52" s="468"/>
      <c r="M52" s="701"/>
      <c r="N52" s="517"/>
      <c r="O52" s="517"/>
      <c r="P52" s="517"/>
      <c r="Q52" s="699"/>
      <c r="R52" s="699"/>
      <c r="S52" s="699"/>
      <c r="T52" s="699"/>
      <c r="U52" s="619"/>
      <c r="V52" s="619"/>
      <c r="W52" s="619"/>
      <c r="X52" s="619"/>
      <c r="Y52" s="619"/>
      <c r="AC52" s="6" t="s">
        <v>46</v>
      </c>
      <c r="AD52" s="8">
        <f>I49-M49</f>
        <v>0.30361111111111239</v>
      </c>
      <c r="AI52" s="41"/>
    </row>
    <row r="53" spans="1:35" ht="17.25" customHeight="1" thickTop="1" thickBot="1">
      <c r="F53" s="450" t="str" cm="1">
        <f t="array" ref="F53">angleDecimal2Txt(F49)</f>
        <v>+16°48.48 (+16.8081) [+16°48'29.24]</v>
      </c>
      <c r="G53" s="450"/>
      <c r="H53" s="450"/>
      <c r="I53" s="623"/>
      <c r="J53" s="623"/>
      <c r="K53" s="623"/>
      <c r="AA53" s="96"/>
      <c r="AC53" s="6" t="s">
        <v>44</v>
      </c>
      <c r="AD53" s="6">
        <f>AE48+(AD50/AD51)*AD52</f>
        <v>16.808124537037038</v>
      </c>
    </row>
    <row r="54" spans="1:35" ht="17.25" customHeight="1" thickTop="1">
      <c r="C54" s="116" t="s">
        <v>16</v>
      </c>
      <c r="D54" s="116"/>
      <c r="E54" s="117"/>
      <c r="F54" s="117"/>
      <c r="G54" s="96"/>
      <c r="H54" s="96"/>
      <c r="I54" s="96"/>
      <c r="AA54" s="96"/>
    </row>
    <row r="55" spans="1:35" ht="17.25" customHeight="1">
      <c r="C55" s="96"/>
      <c r="D55" s="96"/>
      <c r="E55" s="96"/>
      <c r="F55" s="518" t="s">
        <v>9</v>
      </c>
      <c r="G55" s="518"/>
      <c r="H55" s="518"/>
      <c r="I55" s="518" t="s">
        <v>12</v>
      </c>
      <c r="J55" s="518"/>
      <c r="K55" s="518"/>
      <c r="L55" s="518"/>
      <c r="M55" s="511" t="s">
        <v>13</v>
      </c>
      <c r="N55" s="511"/>
      <c r="O55" s="511"/>
      <c r="P55" s="520" t="s">
        <v>18</v>
      </c>
      <c r="Q55" s="520"/>
      <c r="R55" s="520"/>
      <c r="S55" s="520"/>
      <c r="T55" s="520"/>
      <c r="U55" s="520" t="s">
        <v>227</v>
      </c>
      <c r="V55" s="520"/>
      <c r="W55" s="520"/>
      <c r="X55" s="520"/>
      <c r="Y55" s="520"/>
      <c r="AA55" s="96"/>
      <c r="AC55" s="6" t="s">
        <v>332</v>
      </c>
      <c r="AD55" s="6">
        <f>VLOOKUP(P57,$A$37:$C$38,3)</f>
        <v>1</v>
      </c>
    </row>
    <row r="56" spans="1:35" ht="17.25" customHeight="1">
      <c r="F56" s="518"/>
      <c r="G56" s="518"/>
      <c r="H56" s="518"/>
      <c r="I56" s="518"/>
      <c r="J56" s="518"/>
      <c r="K56" s="518"/>
      <c r="L56" s="518"/>
      <c r="M56" s="511"/>
      <c r="N56" s="511"/>
      <c r="O56" s="511"/>
      <c r="P56" s="520"/>
      <c r="Q56" s="520"/>
      <c r="R56" s="520"/>
      <c r="S56" s="520"/>
      <c r="T56" s="520"/>
      <c r="U56" s="520"/>
      <c r="V56" s="520"/>
      <c r="W56" s="520"/>
      <c r="X56" s="520"/>
      <c r="Y56" s="520"/>
      <c r="Z56" s="96"/>
      <c r="AA56" s="96"/>
      <c r="AC56" s="6" t="s">
        <v>333</v>
      </c>
      <c r="AD56" s="6" cm="1">
        <f t="array" ref="AD56">angleConvert2Decimal(Q57)*AD55</f>
        <v>23.176666666666666</v>
      </c>
    </row>
    <row r="57" spans="1:35" ht="17.25" customHeight="1">
      <c r="E57" s="98"/>
      <c r="F57" s="597" t="str">
        <f>IF(G45=AD46,AD59,"---")</f>
        <v>---</v>
      </c>
      <c r="G57" s="597"/>
      <c r="H57" s="597"/>
      <c r="I57" s="468">
        <f>E11</f>
        <v>7.3036111111111124</v>
      </c>
      <c r="J57" s="468"/>
      <c r="K57" s="468"/>
      <c r="L57" s="468"/>
      <c r="M57" s="700">
        <v>0</v>
      </c>
      <c r="N57" s="516"/>
      <c r="O57" s="516"/>
      <c r="P57" s="516" t="s">
        <v>3</v>
      </c>
      <c r="Q57" s="711" t="s">
        <v>587</v>
      </c>
      <c r="R57" s="516"/>
      <c r="S57" s="516"/>
      <c r="T57" s="516"/>
      <c r="U57" s="516" t="s">
        <v>3</v>
      </c>
      <c r="V57" s="711" t="s">
        <v>588</v>
      </c>
      <c r="W57" s="516"/>
      <c r="X57" s="516"/>
      <c r="Y57" s="516"/>
      <c r="Z57" s="96"/>
      <c r="AC57" s="6" t="s">
        <v>334</v>
      </c>
      <c r="AD57" s="6">
        <f>VLOOKUP(U57,$A$37:$C$38,3)</f>
        <v>1</v>
      </c>
    </row>
    <row r="58" spans="1:35" ht="17.25" customHeight="1" collapsed="1" thickBot="1">
      <c r="F58" s="598"/>
      <c r="G58" s="598"/>
      <c r="H58" s="598"/>
      <c r="I58" s="468"/>
      <c r="J58" s="468"/>
      <c r="K58" s="468"/>
      <c r="L58" s="468"/>
      <c r="M58" s="701"/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96"/>
      <c r="AC58" s="6" t="s">
        <v>335</v>
      </c>
      <c r="AD58" s="6" cm="1">
        <f t="array" ref="AD58">angleConvert2Decimal(V57)*AD57</f>
        <v>3.3333333333333335E-3</v>
      </c>
    </row>
    <row r="59" spans="1:35" ht="17.25" customHeight="1" thickTop="1" thickBot="1">
      <c r="F59" s="450" t="e" cm="1">
        <f t="array" ref="F59">angleDecimal2Txt(F57)</f>
        <v>#VALUE!</v>
      </c>
      <c r="G59" s="450"/>
      <c r="H59" s="450"/>
      <c r="I59" s="623"/>
      <c r="J59" s="623"/>
      <c r="K59" s="623"/>
      <c r="P59" s="450" t="str" cm="1">
        <f t="array" ref="P59">angleDecimal2Txt(AD56)</f>
        <v>+23°10.59 (+23.1766) [+23°10'36.00]</v>
      </c>
      <c r="Q59" s="450"/>
      <c r="R59" s="450"/>
      <c r="S59" s="450"/>
      <c r="T59" s="450"/>
      <c r="U59" s="450" t="str" cm="1">
        <f t="array" ref="U59">angleDecimal2Txt(AD58)</f>
        <v>+00°00.20 (+00.0033) [+00°00'12.00]</v>
      </c>
      <c r="V59" s="630"/>
      <c r="W59" s="630"/>
      <c r="X59" s="630"/>
      <c r="Y59" s="630"/>
      <c r="AC59" s="6" t="s">
        <v>336</v>
      </c>
      <c r="AD59" s="6">
        <f>AD56+AD58*(I57-M57)</f>
        <v>23.201012037037035</v>
      </c>
    </row>
    <row r="60" spans="1:35" ht="17.25" customHeight="1" thickTop="1">
      <c r="S60" s="96"/>
      <c r="T60" s="96"/>
      <c r="U60" s="96"/>
      <c r="V60" s="96"/>
      <c r="W60" s="96"/>
      <c r="X60" s="96"/>
    </row>
    <row r="61" spans="1:35" ht="17.25" customHeight="1" thickBot="1">
      <c r="S61" s="96"/>
      <c r="T61" s="96"/>
      <c r="U61" s="96"/>
      <c r="V61" s="96"/>
      <c r="W61" s="96"/>
      <c r="X61" s="96"/>
    </row>
    <row r="62" spans="1:35" ht="17.25" customHeight="1" thickBot="1">
      <c r="A62" s="115"/>
      <c r="B62" s="107" t="s">
        <v>230</v>
      </c>
      <c r="C62" s="108"/>
      <c r="D62" s="108"/>
      <c r="E62" s="108"/>
      <c r="F62" s="510">
        <f>IF(G63=AD63,F67,F75)</f>
        <v>288.05633935185188</v>
      </c>
      <c r="G62" s="510"/>
      <c r="H62" s="510"/>
      <c r="I62" s="108"/>
      <c r="J62" s="108"/>
      <c r="K62" s="108"/>
      <c r="L62" s="507">
        <f>F62-360</f>
        <v>-71.943660648148125</v>
      </c>
      <c r="M62" s="507"/>
      <c r="N62" s="108" t="s">
        <v>34</v>
      </c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48"/>
    </row>
    <row r="63" spans="1:35" ht="17.25" customHeight="1">
      <c r="B63" s="115"/>
      <c r="C63" s="508" t="s">
        <v>42</v>
      </c>
      <c r="D63" s="508"/>
      <c r="E63" s="508"/>
      <c r="F63" s="509"/>
      <c r="G63" s="666" t="s">
        <v>10</v>
      </c>
      <c r="H63" s="667"/>
      <c r="I63" s="668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49"/>
      <c r="AC63" s="706" t="s">
        <v>43</v>
      </c>
      <c r="AD63" s="152" t="s">
        <v>10</v>
      </c>
    </row>
    <row r="64" spans="1:35" ht="17.25" customHeight="1">
      <c r="C64" s="116" t="s">
        <v>10</v>
      </c>
      <c r="D64" s="116"/>
      <c r="E64" s="117"/>
      <c r="F64" s="117"/>
      <c r="G64" s="96"/>
      <c r="H64" s="96"/>
      <c r="I64" s="96"/>
      <c r="AC64" s="706"/>
      <c r="AD64" s="152" t="s">
        <v>16</v>
      </c>
    </row>
    <row r="65" spans="3:35" ht="17.25" customHeight="1">
      <c r="F65" s="477" t="s">
        <v>9</v>
      </c>
      <c r="G65" s="478"/>
      <c r="H65" s="479"/>
      <c r="I65" s="477" t="s">
        <v>12</v>
      </c>
      <c r="J65" s="478"/>
      <c r="K65" s="478"/>
      <c r="L65" s="479"/>
      <c r="M65" s="483" t="s">
        <v>13</v>
      </c>
      <c r="N65" s="484"/>
      <c r="O65" s="485"/>
      <c r="P65" s="469" t="s">
        <v>17</v>
      </c>
      <c r="Q65" s="470"/>
      <c r="R65" s="470"/>
      <c r="S65" s="470"/>
      <c r="T65" s="471"/>
      <c r="U65" s="96"/>
      <c r="AD65" s="157" t="s">
        <v>101</v>
      </c>
      <c r="AE65" s="6" t="s">
        <v>337</v>
      </c>
    </row>
    <row r="66" spans="3:35" ht="17.25" customHeight="1" thickBot="1">
      <c r="F66" s="480"/>
      <c r="G66" s="481"/>
      <c r="H66" s="482"/>
      <c r="I66" s="480"/>
      <c r="J66" s="481"/>
      <c r="K66" s="481"/>
      <c r="L66" s="482"/>
      <c r="M66" s="486"/>
      <c r="N66" s="487"/>
      <c r="O66" s="488"/>
      <c r="P66" s="472"/>
      <c r="Q66" s="473"/>
      <c r="R66" s="473"/>
      <c r="S66" s="473"/>
      <c r="T66" s="474"/>
      <c r="U66" s="96"/>
      <c r="Z66"/>
      <c r="AC66" s="6" t="s">
        <v>329</v>
      </c>
      <c r="AD66" s="6">
        <f>VLOOKUP(P67,$B$37:$C$38,2)</f>
        <v>1</v>
      </c>
      <c r="AE66" s="6" cm="1">
        <f t="array" ref="AE66">AD66*angleConvert2Decimal(Q67)</f>
        <v>283.50166666666667</v>
      </c>
    </row>
    <row r="67" spans="3:35" ht="17.25" customHeight="1" thickTop="1" thickBot="1">
      <c r="E67" s="98"/>
      <c r="F67" s="597">
        <f>IF(G63=AD64,"---",AF71)</f>
        <v>288.05633935185188</v>
      </c>
      <c r="G67" s="597"/>
      <c r="H67" s="597"/>
      <c r="I67" s="468">
        <f>E11</f>
        <v>7.3036111111111124</v>
      </c>
      <c r="J67" s="468"/>
      <c r="K67" s="468"/>
      <c r="L67" s="468"/>
      <c r="M67" s="593">
        <v>7</v>
      </c>
      <c r="N67" s="594"/>
      <c r="O67" s="594"/>
      <c r="P67" s="468" t="s">
        <v>5</v>
      </c>
      <c r="Q67" s="669" t="s">
        <v>679</v>
      </c>
      <c r="R67" s="669"/>
      <c r="S67" s="669"/>
      <c r="T67" s="670"/>
      <c r="U67" s="448" t="str" cm="1">
        <f t="array" ref="U67">angleDecimal2Txt(AE66)</f>
        <v>+283°30.10 (+283.5016) [+283°30'06.00]</v>
      </c>
      <c r="V67" s="619"/>
      <c r="W67" s="619"/>
      <c r="X67" s="619"/>
      <c r="Y67" s="619"/>
      <c r="Z67"/>
      <c r="AC67" s="6" t="s">
        <v>330</v>
      </c>
      <c r="AD67" s="6">
        <f>VLOOKUP(P69,$B$37:$C$38,2)</f>
        <v>1</v>
      </c>
      <c r="AE67" s="6" cm="1">
        <f t="array" ref="AE67">AD67*angleConvert2Decimal(Q69)</f>
        <v>298.50333333333333</v>
      </c>
    </row>
    <row r="68" spans="3:35" ht="17.25" customHeight="1" thickTop="1" thickBot="1">
      <c r="F68" s="598"/>
      <c r="G68" s="598"/>
      <c r="H68" s="598"/>
      <c r="I68" s="468"/>
      <c r="J68" s="468"/>
      <c r="K68" s="468"/>
      <c r="L68" s="468"/>
      <c r="M68" s="595"/>
      <c r="N68" s="596"/>
      <c r="O68" s="596"/>
      <c r="P68" s="468"/>
      <c r="Q68" s="671"/>
      <c r="R68" s="671"/>
      <c r="S68" s="671"/>
      <c r="T68" s="672"/>
      <c r="U68" s="619"/>
      <c r="V68" s="619"/>
      <c r="W68" s="619"/>
      <c r="X68" s="619"/>
      <c r="Y68" s="619"/>
      <c r="Z68"/>
      <c r="AC68" s="6" t="s">
        <v>45</v>
      </c>
      <c r="AD68" s="8">
        <f>AE67-AE66</f>
        <v>15.001666666666665</v>
      </c>
    </row>
    <row r="69" spans="3:35" ht="17.25" customHeight="1" thickTop="1" thickBot="1">
      <c r="F69" s="598"/>
      <c r="G69" s="598"/>
      <c r="H69" s="598"/>
      <c r="I69" s="468"/>
      <c r="J69" s="468"/>
      <c r="K69" s="468"/>
      <c r="L69" s="468"/>
      <c r="M69" s="664">
        <v>8</v>
      </c>
      <c r="N69" s="665"/>
      <c r="O69" s="665"/>
      <c r="P69" s="468" t="s">
        <v>5</v>
      </c>
      <c r="Q69" s="673" t="s">
        <v>680</v>
      </c>
      <c r="R69" s="673"/>
      <c r="S69" s="673"/>
      <c r="T69" s="674"/>
      <c r="U69" s="448" t="str" cm="1">
        <f t="array" ref="U69">angleDecimal2Txt((AE67))</f>
        <v>+298°30.19 (+298.5033) [+298°30'12.00]</v>
      </c>
      <c r="V69" s="619"/>
      <c r="W69" s="619"/>
      <c r="X69" s="619"/>
      <c r="Y69" s="619"/>
      <c r="Z69"/>
      <c r="AC69" s="6" t="s">
        <v>331</v>
      </c>
      <c r="AD69" s="8">
        <f>M69-M67</f>
        <v>1</v>
      </c>
      <c r="AE69" s="98"/>
    </row>
    <row r="70" spans="3:35" ht="17.25" customHeight="1" thickTop="1" thickBot="1">
      <c r="F70" s="598"/>
      <c r="G70" s="598"/>
      <c r="H70" s="598"/>
      <c r="I70" s="468"/>
      <c r="J70" s="468"/>
      <c r="K70" s="468"/>
      <c r="L70" s="468"/>
      <c r="M70" s="595"/>
      <c r="N70" s="596"/>
      <c r="O70" s="596"/>
      <c r="P70" s="468"/>
      <c r="Q70" s="671"/>
      <c r="R70" s="671"/>
      <c r="S70" s="671"/>
      <c r="T70" s="672"/>
      <c r="U70" s="619"/>
      <c r="V70" s="619"/>
      <c r="W70" s="619"/>
      <c r="X70" s="619"/>
      <c r="Y70" s="619"/>
      <c r="Z70"/>
      <c r="AC70" s="6" t="s">
        <v>46</v>
      </c>
      <c r="AD70" s="8">
        <f>I67-M67</f>
        <v>0.30361111111111239</v>
      </c>
    </row>
    <row r="71" spans="3:35" ht="17.25" customHeight="1" thickTop="1" thickBot="1">
      <c r="F71" s="421">
        <f>AC72</f>
        <v>0</v>
      </c>
      <c r="G71" s="422"/>
      <c r="H71" s="422"/>
      <c r="I71" s="692"/>
      <c r="J71" s="692"/>
      <c r="K71" s="693"/>
      <c r="Q71" s="190"/>
      <c r="Z71"/>
      <c r="AA71" s="96"/>
      <c r="AC71" s="6" t="s">
        <v>505</v>
      </c>
      <c r="AD71" s="6">
        <f>IF(AF71&gt;360,AF71-360,AF71)</f>
        <v>288.05633935185188</v>
      </c>
      <c r="AE71" s="6" t="s">
        <v>44</v>
      </c>
      <c r="AF71" s="6">
        <f>(AE66+(AD68/AD69)*AD70)</f>
        <v>288.05633935185188</v>
      </c>
    </row>
    <row r="72" spans="3:35" ht="17.25" customHeight="1" thickTop="1">
      <c r="C72" s="116" t="s">
        <v>16</v>
      </c>
      <c r="D72" s="116"/>
      <c r="E72" s="117"/>
      <c r="F72" s="117"/>
      <c r="G72" s="96"/>
      <c r="H72" s="96"/>
      <c r="I72" s="96"/>
      <c r="Z72"/>
      <c r="AA72" s="96"/>
    </row>
    <row r="73" spans="3:35" ht="17.25" customHeight="1">
      <c r="C73" s="96"/>
      <c r="D73" s="96"/>
      <c r="E73" s="96"/>
      <c r="F73" s="477" t="s">
        <v>9</v>
      </c>
      <c r="G73" s="478"/>
      <c r="H73" s="479"/>
      <c r="I73" s="477" t="s">
        <v>12</v>
      </c>
      <c r="J73" s="478"/>
      <c r="K73" s="478"/>
      <c r="L73" s="479"/>
      <c r="M73" s="483" t="s">
        <v>13</v>
      </c>
      <c r="N73" s="484"/>
      <c r="O73" s="485"/>
      <c r="P73" s="469" t="s">
        <v>18</v>
      </c>
      <c r="Q73" s="470"/>
      <c r="R73" s="470"/>
      <c r="S73" s="470"/>
      <c r="T73" s="471"/>
      <c r="U73" s="469" t="s">
        <v>126</v>
      </c>
      <c r="V73" s="470"/>
      <c r="W73" s="470"/>
      <c r="X73" s="470"/>
      <c r="Y73" s="471"/>
      <c r="AA73" s="96"/>
      <c r="AC73" s="6" t="s">
        <v>332</v>
      </c>
      <c r="AD73" s="6">
        <f>VLOOKUP(P75,$B$37:$C$38,2)</f>
        <v>1</v>
      </c>
    </row>
    <row r="74" spans="3:35" ht="17.25" customHeight="1" collapsed="1">
      <c r="F74" s="480"/>
      <c r="G74" s="481"/>
      <c r="H74" s="482"/>
      <c r="I74" s="480"/>
      <c r="J74" s="481"/>
      <c r="K74" s="481"/>
      <c r="L74" s="482"/>
      <c r="M74" s="486"/>
      <c r="N74" s="487"/>
      <c r="O74" s="488"/>
      <c r="P74" s="472"/>
      <c r="Q74" s="473"/>
      <c r="R74" s="473"/>
      <c r="S74" s="473"/>
      <c r="T74" s="474"/>
      <c r="U74" s="472"/>
      <c r="V74" s="475"/>
      <c r="W74" s="475"/>
      <c r="X74" s="475"/>
      <c r="Y74" s="476"/>
      <c r="Z74" s="96"/>
      <c r="AA74" s="96"/>
      <c r="AC74" s="6" t="s">
        <v>333</v>
      </c>
      <c r="AD74" s="6" cm="1">
        <f t="array" ref="AD74">angleConvert2Decimal(Q75)*AD73</f>
        <v>180.03333333333333</v>
      </c>
    </row>
    <row r="75" spans="3:35" ht="17.25" customHeight="1">
      <c r="E75" s="98"/>
      <c r="F75" s="597" t="str">
        <f>IF(G63=AD64,AF77,"---")</f>
        <v>---</v>
      </c>
      <c r="G75" s="597"/>
      <c r="H75" s="597"/>
      <c r="I75" s="588">
        <f>E11</f>
        <v>7.3036111111111124</v>
      </c>
      <c r="J75" s="589"/>
      <c r="K75" s="589"/>
      <c r="L75" s="590"/>
      <c r="M75" s="593">
        <v>0</v>
      </c>
      <c r="N75" s="594"/>
      <c r="O75" s="594"/>
      <c r="P75" s="468" t="s">
        <v>5</v>
      </c>
      <c r="Q75" s="709" t="s">
        <v>589</v>
      </c>
      <c r="R75" s="709"/>
      <c r="S75" s="709"/>
      <c r="T75" s="709"/>
      <c r="U75" s="468" t="s">
        <v>5</v>
      </c>
      <c r="V75" s="467" t="s">
        <v>590</v>
      </c>
      <c r="W75" s="468"/>
      <c r="X75" s="468"/>
      <c r="Y75" s="468"/>
      <c r="Z75" s="96"/>
      <c r="AC75" s="6" t="s">
        <v>334</v>
      </c>
      <c r="AD75" s="6">
        <f>VLOOKUP(U75,$B$37:$C$38,2)</f>
        <v>1</v>
      </c>
    </row>
    <row r="76" spans="3:35" ht="17.25" customHeight="1" thickBot="1">
      <c r="F76" s="598"/>
      <c r="G76" s="598"/>
      <c r="H76" s="598"/>
      <c r="I76" s="526"/>
      <c r="J76" s="591"/>
      <c r="K76" s="591"/>
      <c r="L76" s="592"/>
      <c r="M76" s="595"/>
      <c r="N76" s="596"/>
      <c r="O76" s="596"/>
      <c r="P76" s="468"/>
      <c r="Q76" s="710"/>
      <c r="R76" s="710"/>
      <c r="S76" s="710"/>
      <c r="T76" s="710"/>
      <c r="U76" s="468"/>
      <c r="V76" s="468"/>
      <c r="W76" s="468"/>
      <c r="X76" s="468"/>
      <c r="Y76" s="468"/>
      <c r="Z76" s="96"/>
      <c r="AC76" s="6" t="s">
        <v>335</v>
      </c>
      <c r="AD76" s="6" cm="1">
        <f t="array" ref="AD76">angleConvert2Decimal(V75)*AD75</f>
        <v>14.997999999999999</v>
      </c>
    </row>
    <row r="77" spans="3:35" ht="17.25" customHeight="1" thickTop="1" thickBot="1">
      <c r="F77" s="450" t="e" cm="1">
        <f t="array" ref="F77">angleDecimal2Txt(F75)</f>
        <v>#VALUE!</v>
      </c>
      <c r="G77" s="450"/>
      <c r="H77" s="450"/>
      <c r="I77" s="450"/>
      <c r="J77" s="450"/>
      <c r="K77" s="450"/>
      <c r="P77" s="623" t="str" cm="1">
        <f t="array" ref="P77">angleDecimal2Txt(AD74)</f>
        <v>+180°02.00 (+180.0333) [+180°02'00.00]</v>
      </c>
      <c r="Q77" s="450"/>
      <c r="R77" s="450"/>
      <c r="S77" s="450"/>
      <c r="T77" s="450"/>
      <c r="U77" s="623" t="str" cm="1">
        <f t="array" ref="U77">angleDecimal2Txt(AD76)</f>
        <v>+14°59.87 (+14.9979) [+14°59'52.79]</v>
      </c>
      <c r="V77" s="712"/>
      <c r="W77" s="712"/>
      <c r="X77" s="712"/>
      <c r="Y77" s="712"/>
      <c r="AC77" s="6" t="s">
        <v>505</v>
      </c>
      <c r="AD77" s="6">
        <f>IF(AF77&gt;360,AF77-360,AF77)</f>
        <v>289.57289277777778</v>
      </c>
      <c r="AE77" s="6" t="s">
        <v>44</v>
      </c>
      <c r="AF77" s="6">
        <f>MOD(AD74+AD76*(I75-M75),360)</f>
        <v>289.57289277777778</v>
      </c>
    </row>
    <row r="78" spans="3:35" ht="17.25" customHeight="1" thickTop="1">
      <c r="S78" s="96"/>
      <c r="T78" s="96"/>
      <c r="U78" s="96"/>
      <c r="V78" s="96"/>
      <c r="W78" s="96"/>
      <c r="X78" s="96"/>
    </row>
    <row r="79" spans="3:35" ht="17.25" customHeight="1">
      <c r="S79" s="96"/>
      <c r="T79" s="96"/>
      <c r="U79" s="96"/>
      <c r="V79" s="96"/>
      <c r="W79" s="96"/>
    </row>
    <row r="80" spans="3:35" ht="17.25" customHeight="1" thickBot="1"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I80" s="41"/>
    </row>
    <row r="81" spans="1:66" s="96" customFormat="1" ht="17.25" customHeight="1" thickBot="1">
      <c r="A81" s="98"/>
      <c r="B81" s="107" t="s">
        <v>51</v>
      </c>
      <c r="C81" s="108"/>
      <c r="D81" s="108"/>
      <c r="E81" s="108"/>
      <c r="F81" s="510">
        <f>I82</f>
        <v>290.15083935185186</v>
      </c>
      <c r="G81" s="510"/>
      <c r="H81" s="510"/>
      <c r="I81" s="108"/>
      <c r="J81" s="628" t="s">
        <v>83</v>
      </c>
      <c r="K81" s="628"/>
      <c r="L81" s="628"/>
      <c r="M81" s="600" t="str">
        <f>J21</f>
        <v>Soleil</v>
      </c>
      <c r="N81" s="600"/>
      <c r="O81" s="600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48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13"/>
    </row>
    <row r="82" spans="1:66" ht="17.25" customHeight="1" thickBot="1">
      <c r="C82" s="707" t="s">
        <v>23</v>
      </c>
      <c r="D82" s="707"/>
      <c r="E82" s="707"/>
      <c r="F82" s="707"/>
      <c r="G82" s="707"/>
      <c r="H82" s="708"/>
      <c r="I82" s="702">
        <f>AD83</f>
        <v>290.15083935185186</v>
      </c>
      <c r="J82" s="703"/>
      <c r="K82" s="703"/>
      <c r="L82" s="704"/>
      <c r="M82" s="118" t="s">
        <v>53</v>
      </c>
      <c r="N82" s="576">
        <f>AD82</f>
        <v>290.15083935185186</v>
      </c>
      <c r="O82" s="576"/>
      <c r="P82" s="576"/>
      <c r="Q82" s="576"/>
      <c r="AC82" s="6" t="s">
        <v>338</v>
      </c>
      <c r="AD82" s="8">
        <f>F62+F40</f>
        <v>290.15083935185186</v>
      </c>
    </row>
    <row r="83" spans="1:66" ht="17.25" customHeight="1" thickTop="1" thickBot="1">
      <c r="A83" s="96"/>
      <c r="C83" s="96"/>
      <c r="D83" s="96"/>
      <c r="E83" s="96"/>
      <c r="F83" s="96"/>
      <c r="G83" s="96"/>
      <c r="H83" s="96"/>
      <c r="I83" s="630">
        <f>AC84</f>
        <v>0</v>
      </c>
      <c r="J83" s="630"/>
      <c r="K83" s="630"/>
      <c r="L83" s="630"/>
      <c r="M83" s="630"/>
      <c r="N83" s="630"/>
      <c r="AB83" s="150"/>
      <c r="AC83" s="6" t="s">
        <v>339</v>
      </c>
      <c r="AD83" s="8">
        <f>IF(AD82&gt;360,AD82-360,AD82)</f>
        <v>290.15083935185186</v>
      </c>
    </row>
    <row r="84" spans="1:66" ht="17.25" customHeight="1" thickTop="1" thickBot="1">
      <c r="B84" s="96"/>
      <c r="C84" s="98"/>
      <c r="D84" s="98"/>
      <c r="E84" s="98"/>
      <c r="F84" s="98"/>
      <c r="G84" s="98"/>
      <c r="AA84" s="96"/>
    </row>
    <row r="85" spans="1:66" ht="17.25" customHeight="1" thickBot="1">
      <c r="B85" s="107" t="s">
        <v>25</v>
      </c>
      <c r="C85" s="108"/>
      <c r="D85" s="675" t="s">
        <v>100</v>
      </c>
      <c r="E85" s="679"/>
      <c r="F85" s="510">
        <f>IF(G86=AD86,O125,O115)</f>
        <v>25.531094629743208</v>
      </c>
      <c r="G85" s="510"/>
      <c r="H85" s="510"/>
      <c r="I85" s="108"/>
      <c r="J85" s="108"/>
      <c r="K85" s="108"/>
      <c r="L85" s="108" t="s">
        <v>88</v>
      </c>
      <c r="M85" s="675">
        <f>O88</f>
        <v>25.3</v>
      </c>
      <c r="N85" s="675"/>
      <c r="O85" s="108"/>
      <c r="P85" s="144"/>
      <c r="Q85" s="108" t="s">
        <v>127</v>
      </c>
      <c r="R85" s="108"/>
      <c r="S85" s="714">
        <f>-O102+O97+O106</f>
        <v>0.23109462974320719</v>
      </c>
      <c r="T85" s="715"/>
      <c r="U85" s="716"/>
      <c r="V85" s="717" t="str" cm="1">
        <f t="array" ref="V85">angleDecimal2Txt(S85)</f>
        <v>+00°13.86 (+00.2310) [+00°13'51.94]</v>
      </c>
      <c r="W85" s="717"/>
      <c r="X85" s="717"/>
      <c r="Y85" s="717"/>
      <c r="Z85" s="717"/>
      <c r="AA85" s="108"/>
      <c r="AB85" s="148"/>
    </row>
    <row r="86" spans="1:66" ht="17.25" customHeight="1">
      <c r="C86" s="508" t="s">
        <v>42</v>
      </c>
      <c r="D86" s="508"/>
      <c r="E86" s="508"/>
      <c r="F86" s="508"/>
      <c r="G86" s="629" t="s">
        <v>59</v>
      </c>
      <c r="H86" s="629"/>
      <c r="I86" s="629"/>
      <c r="P86" s="98" t="s">
        <v>97</v>
      </c>
      <c r="V86" s="96"/>
      <c r="W86" s="96"/>
      <c r="X86" s="96"/>
      <c r="Y86" s="96"/>
      <c r="Z86" s="96"/>
      <c r="AC86" s="706" t="s">
        <v>43</v>
      </c>
      <c r="AD86" s="152" t="s">
        <v>58</v>
      </c>
    </row>
    <row r="87" spans="1:66" ht="17.25" customHeight="1" thickBot="1">
      <c r="C87" s="115"/>
      <c r="D87" s="115"/>
      <c r="E87" s="115"/>
      <c r="F87" s="581" t="s">
        <v>90</v>
      </c>
      <c r="G87" s="581"/>
      <c r="H87" s="631"/>
      <c r="I87" s="631"/>
      <c r="J87" s="713">
        <f>IF(G86=AD86,"---",O115)</f>
        <v>25.531094629743208</v>
      </c>
      <c r="K87" s="713"/>
      <c r="L87" s="713"/>
      <c r="M87" s="233"/>
      <c r="N87" s="233"/>
      <c r="O87" s="233"/>
      <c r="P87" s="233"/>
      <c r="Q87" s="233"/>
      <c r="R87" s="233"/>
      <c r="S87" s="233"/>
      <c r="T87" s="233"/>
      <c r="U87" s="233"/>
      <c r="V87" s="234"/>
      <c r="W87" s="234"/>
      <c r="X87" s="234"/>
      <c r="Y87" s="234"/>
      <c r="Z87" s="234"/>
      <c r="AC87" s="706"/>
      <c r="AD87" s="152" t="s">
        <v>59</v>
      </c>
    </row>
    <row r="88" spans="1:66" ht="17.25" customHeight="1" thickTop="1" thickBot="1">
      <c r="C88" s="98"/>
      <c r="D88" s="98"/>
      <c r="E88" s="98"/>
      <c r="F88" s="98"/>
      <c r="G88" s="98"/>
      <c r="H88" s="558" t="s">
        <v>55</v>
      </c>
      <c r="I88" s="558"/>
      <c r="J88" s="558"/>
      <c r="K88" s="558"/>
      <c r="L88" s="558"/>
      <c r="M88" s="558"/>
      <c r="N88" s="558"/>
      <c r="O88" s="437">
        <f>J20</f>
        <v>25.3</v>
      </c>
      <c r="P88" s="437"/>
      <c r="Q88" s="437"/>
      <c r="R88" s="437"/>
      <c r="S88" s="98" t="s">
        <v>71</v>
      </c>
      <c r="U88" s="450" t="str" cm="1">
        <f t="array" ref="U88">angleDecimal2Txt(O88)</f>
        <v>+25°18.00 (+25.3000) [+25°18'00.00]</v>
      </c>
      <c r="V88" s="450"/>
      <c r="W88" s="450"/>
      <c r="X88" s="450"/>
      <c r="Y88" s="450"/>
      <c r="Z88" s="450"/>
    </row>
    <row r="89" spans="1:66" ht="17.25" customHeight="1" thickTop="1" thickBot="1">
      <c r="C89" s="98"/>
      <c r="D89" s="98"/>
      <c r="E89" s="98"/>
      <c r="F89" s="98"/>
      <c r="G89" s="98"/>
      <c r="H89" s="558" t="s">
        <v>26</v>
      </c>
      <c r="I89" s="558"/>
      <c r="J89" s="558"/>
      <c r="K89" s="558"/>
      <c r="L89" s="558"/>
      <c r="M89" s="558"/>
      <c r="N89" s="558"/>
      <c r="O89" s="437">
        <f>J19</f>
        <v>0</v>
      </c>
      <c r="P89" s="437"/>
      <c r="Q89" s="437"/>
      <c r="R89" s="437"/>
      <c r="S89" s="98" t="s">
        <v>71</v>
      </c>
      <c r="U89" s="450" t="str" cm="1">
        <f t="array" ref="U89">angleDecimal2Txt(O89)</f>
        <v>+00°00.00 (+00.0000) [+00°00'00.00]</v>
      </c>
      <c r="V89" s="450"/>
      <c r="W89" s="450"/>
      <c r="X89" s="450"/>
      <c r="Y89" s="450"/>
      <c r="Z89" s="450"/>
      <c r="AC89" s="6" t="s">
        <v>87</v>
      </c>
      <c r="AD89" s="8">
        <f>O89</f>
        <v>0</v>
      </c>
    </row>
    <row r="90" spans="1:66" ht="17.25" customHeight="1" thickTop="1" thickBot="1">
      <c r="G90" s="98"/>
      <c r="H90" s="587" t="s">
        <v>96</v>
      </c>
      <c r="I90" s="587"/>
      <c r="J90" s="587"/>
      <c r="K90" s="587"/>
      <c r="L90" s="587"/>
      <c r="M90" s="587"/>
      <c r="N90" s="587"/>
      <c r="O90" s="446">
        <f>AD91</f>
        <v>0</v>
      </c>
      <c r="P90" s="446"/>
      <c r="Q90" s="446"/>
      <c r="R90" s="446"/>
      <c r="S90" s="98" t="s">
        <v>71</v>
      </c>
      <c r="U90" s="450" t="str" cm="1">
        <f t="array" ref="U90">angleDecimal2Txt(O90)</f>
        <v>+00°00.00 (+00.0000) [+00°00'00.00]</v>
      </c>
      <c r="V90" s="450"/>
      <c r="W90" s="450"/>
      <c r="X90" s="450"/>
      <c r="Y90" s="450"/>
      <c r="Z90" s="450"/>
      <c r="AC90" s="6" t="s">
        <v>54</v>
      </c>
      <c r="AD90" s="6">
        <f>J18</f>
        <v>0</v>
      </c>
    </row>
    <row r="91" spans="1:66" ht="17.25" customHeight="1" thickTop="1" thickBot="1">
      <c r="K91" s="96"/>
      <c r="L91" s="96"/>
      <c r="M91" s="685" t="s">
        <v>175</v>
      </c>
      <c r="N91" s="685"/>
      <c r="O91" s="685"/>
      <c r="P91" s="685"/>
      <c r="Q91" s="96"/>
      <c r="R91" s="96"/>
      <c r="U91" s="96"/>
      <c r="V91" s="96"/>
      <c r="W91" s="96"/>
      <c r="X91" s="96"/>
      <c r="Y91" s="96"/>
      <c r="Z91" s="96"/>
      <c r="AC91" s="158" t="s">
        <v>95</v>
      </c>
      <c r="AD91" s="6">
        <f>0.0293 * SQRT(AD90)</f>
        <v>0</v>
      </c>
    </row>
    <row r="92" spans="1:66" ht="17.25" customHeight="1" thickTop="1" thickBot="1">
      <c r="G92" s="98"/>
      <c r="H92" s="454" t="s">
        <v>56</v>
      </c>
      <c r="I92" s="454"/>
      <c r="J92" s="454"/>
      <c r="K92" s="454"/>
      <c r="L92" s="454"/>
      <c r="M92" s="454"/>
      <c r="N92" s="454"/>
      <c r="O92" s="599">
        <f>O88-O89-O90</f>
        <v>25.3</v>
      </c>
      <c r="P92" s="580"/>
      <c r="Q92" s="98" t="s">
        <v>71</v>
      </c>
      <c r="R92" s="605">
        <f>O92*Outils!F10</f>
        <v>0.44156830075456538</v>
      </c>
      <c r="S92" s="605"/>
      <c r="T92" s="119" t="s">
        <v>92</v>
      </c>
      <c r="U92" s="450" t="str" cm="1">
        <f t="array" ref="U92">angleDecimal2Txt(O92)</f>
        <v>+25°18.00 (+25.3000) [+25°18'00.00]</v>
      </c>
      <c r="V92" s="450"/>
      <c r="W92" s="450"/>
      <c r="X92" s="450"/>
      <c r="Y92" s="450"/>
      <c r="Z92" s="450"/>
    </row>
    <row r="93" spans="1:66" ht="17.25" customHeight="1" thickTop="1">
      <c r="C93" s="98"/>
      <c r="D93" s="98"/>
      <c r="E93" s="98"/>
      <c r="F93" s="98"/>
      <c r="G93" s="98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U93" s="96"/>
      <c r="V93" s="96"/>
      <c r="W93" s="96"/>
      <c r="X93" s="96"/>
      <c r="Y93" s="96"/>
      <c r="Z93" s="96"/>
    </row>
    <row r="94" spans="1:66" ht="17.25" customHeight="1">
      <c r="G94" s="98"/>
      <c r="H94" s="96"/>
      <c r="I94" s="96"/>
      <c r="J94" s="96"/>
      <c r="K94" s="96"/>
      <c r="L94" s="96"/>
      <c r="M94" s="601" t="s">
        <v>89</v>
      </c>
      <c r="N94" s="601"/>
      <c r="O94" s="601"/>
      <c r="P94" s="601"/>
      <c r="Q94" s="96"/>
      <c r="R94" s="96"/>
      <c r="U94" s="96"/>
      <c r="V94" s="96"/>
      <c r="W94" s="96"/>
      <c r="X94" s="96"/>
      <c r="Y94" s="96"/>
      <c r="Z94" s="96"/>
    </row>
    <row r="95" spans="1:66" ht="17.25" customHeight="1" thickBot="1">
      <c r="C95" s="98"/>
      <c r="D95" s="98"/>
      <c r="E95" s="98"/>
      <c r="F95" s="98"/>
      <c r="G95" s="98"/>
      <c r="M95" s="602" t="s">
        <v>235</v>
      </c>
      <c r="N95" s="602"/>
      <c r="O95" s="601"/>
      <c r="P95" s="601"/>
    </row>
    <row r="96" spans="1:66" ht="17.25" customHeight="1" thickTop="1" thickBot="1">
      <c r="A96" s="96"/>
      <c r="B96" s="96"/>
      <c r="C96" s="96"/>
      <c r="D96" s="96"/>
      <c r="E96" s="96"/>
      <c r="F96" s="98"/>
      <c r="G96" s="98"/>
      <c r="H96" s="446" t="s">
        <v>60</v>
      </c>
      <c r="I96" s="446"/>
      <c r="J96" s="446"/>
      <c r="K96" s="446"/>
      <c r="L96" s="446"/>
      <c r="M96" s="446"/>
      <c r="N96" s="446"/>
      <c r="O96" s="603">
        <f>J23</f>
        <v>2.8833333333333332E-3</v>
      </c>
      <c r="P96" s="604"/>
      <c r="Q96" s="604"/>
      <c r="R96" s="604"/>
      <c r="S96" s="98" t="s">
        <v>71</v>
      </c>
      <c r="U96" s="450" t="str" cm="1">
        <f t="array" ref="U96">angleDecimal2Txt(O96)</f>
        <v>+00°00.17 (+00.0028) [+00°00'10.37]</v>
      </c>
      <c r="V96" s="450"/>
      <c r="W96" s="450"/>
      <c r="X96" s="450"/>
      <c r="Y96" s="450"/>
      <c r="Z96" s="450"/>
      <c r="AC96" s="6" t="s">
        <v>340</v>
      </c>
      <c r="AD96" s="6">
        <f>O96*COS(R92)</f>
        <v>2.6067713515219109E-3</v>
      </c>
    </row>
    <row r="97" spans="1:31" ht="17.25" customHeight="1" thickTop="1" thickBot="1">
      <c r="A97" s="96"/>
      <c r="B97" s="96"/>
      <c r="C97" s="96"/>
      <c r="D97" s="96"/>
      <c r="E97" s="96"/>
      <c r="F97" s="98"/>
      <c r="G97" s="98"/>
      <c r="H97" s="568" t="s">
        <v>236</v>
      </c>
      <c r="I97" s="569"/>
      <c r="J97" s="569"/>
      <c r="K97" s="569"/>
      <c r="L97" s="569"/>
      <c r="M97" s="569"/>
      <c r="N97" s="570"/>
      <c r="O97" s="438">
        <f>AD96</f>
        <v>2.6067713515219109E-3</v>
      </c>
      <c r="P97" s="438"/>
      <c r="Q97" s="438"/>
      <c r="R97" s="438"/>
      <c r="S97" s="98" t="s">
        <v>71</v>
      </c>
      <c r="U97" s="450" t="str" cm="1">
        <f t="array" ref="U97">angleDecimal2Txt(O97)</f>
        <v>+00°00.15 (+00.0026) [+00°00'09.38]</v>
      </c>
      <c r="V97" s="450"/>
      <c r="W97" s="450"/>
      <c r="X97" s="450"/>
      <c r="Y97" s="450"/>
      <c r="Z97" s="450"/>
    </row>
    <row r="98" spans="1:31" ht="17.25" customHeight="1" thickTop="1">
      <c r="A98" s="96"/>
      <c r="B98" s="96"/>
      <c r="C98" s="96"/>
      <c r="D98" s="96"/>
      <c r="E98" s="96"/>
      <c r="F98" s="98"/>
      <c r="G98" s="98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</row>
    <row r="99" spans="1:31" ht="17.25" customHeight="1">
      <c r="A99" s="96"/>
      <c r="B99" s="96"/>
      <c r="C99" s="96"/>
      <c r="D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S99" s="554" t="s">
        <v>191</v>
      </c>
      <c r="T99" s="555"/>
      <c r="U99" s="556"/>
      <c r="Y99" s="96"/>
      <c r="Z99" s="96"/>
      <c r="AC99" s="6" t="s">
        <v>57</v>
      </c>
      <c r="AD99" s="6" t="s">
        <v>342</v>
      </c>
    </row>
    <row r="100" spans="1:31" ht="17.25" customHeight="1">
      <c r="A100" s="96"/>
      <c r="B100" s="96"/>
      <c r="C100" s="96"/>
      <c r="D100" s="96"/>
      <c r="F100" s="98"/>
      <c r="G100" s="98"/>
      <c r="H100" s="446" t="s">
        <v>93</v>
      </c>
      <c r="I100" s="446"/>
      <c r="J100" s="446"/>
      <c r="K100" s="446"/>
      <c r="L100" s="446"/>
      <c r="M100" s="446"/>
      <c r="N100" s="446"/>
      <c r="O100" s="571">
        <f>S100</f>
        <v>10</v>
      </c>
      <c r="P100" s="572"/>
      <c r="Q100" s="572"/>
      <c r="R100" s="572"/>
      <c r="S100" s="682">
        <v>10</v>
      </c>
      <c r="T100" s="683"/>
      <c r="U100" s="684"/>
      <c r="Y100" s="96"/>
      <c r="Z100" s="96"/>
      <c r="AC100" s="6" t="s">
        <v>343</v>
      </c>
      <c r="AD100" s="6">
        <f>1/TAN((O92 + 7.31 / (O92 + 4.4)) * Outils!F10)</f>
        <v>2.0922070880805741</v>
      </c>
    </row>
    <row r="101" spans="1:31" ht="17.25" customHeight="1" thickBot="1">
      <c r="A101" s="96"/>
      <c r="B101" s="96"/>
      <c r="C101" s="96"/>
      <c r="D101" s="96"/>
      <c r="E101" s="96"/>
      <c r="F101" s="98"/>
      <c r="G101" s="98"/>
      <c r="H101" s="446" t="s">
        <v>94</v>
      </c>
      <c r="I101" s="446"/>
      <c r="J101" s="446"/>
      <c r="K101" s="446"/>
      <c r="L101" s="446"/>
      <c r="M101" s="446"/>
      <c r="N101" s="446"/>
      <c r="O101" s="571">
        <f>S101</f>
        <v>1010</v>
      </c>
      <c r="P101" s="572"/>
      <c r="Q101" s="572"/>
      <c r="R101" s="572"/>
      <c r="S101" s="682">
        <v>1010</v>
      </c>
      <c r="T101" s="683"/>
      <c r="U101" s="684"/>
      <c r="Y101" s="96"/>
      <c r="Z101" s="96"/>
      <c r="AC101" s="6" t="s">
        <v>344</v>
      </c>
      <c r="AD101" s="6">
        <f>AD100/60</f>
        <v>3.4870118134676234E-2</v>
      </c>
    </row>
    <row r="102" spans="1:31" ht="17.25" customHeight="1" thickTop="1" thickBot="1">
      <c r="A102" s="96"/>
      <c r="B102" s="96"/>
      <c r="C102" s="96"/>
      <c r="D102" s="96"/>
      <c r="E102" s="96"/>
      <c r="F102" s="98"/>
      <c r="G102" s="98"/>
      <c r="H102" s="568" t="s">
        <v>237</v>
      </c>
      <c r="I102" s="569"/>
      <c r="J102" s="569"/>
      <c r="K102" s="569"/>
      <c r="L102" s="569"/>
      <c r="M102" s="569"/>
      <c r="N102" s="570"/>
      <c r="O102" s="438">
        <f>AD103</f>
        <v>3.4845474941648198E-2</v>
      </c>
      <c r="P102" s="438"/>
      <c r="Q102" s="438"/>
      <c r="R102" s="438"/>
      <c r="S102" s="98" t="s">
        <v>71</v>
      </c>
      <c r="U102" s="450" t="str" cm="1">
        <f t="array" ref="U102">angleDecimal2Txt(O102)</f>
        <v>+00°02.09 (+00.0348) [+00°02'05.44]</v>
      </c>
      <c r="V102" s="450"/>
      <c r="W102" s="450"/>
      <c r="X102" s="450"/>
      <c r="Y102" s="450"/>
      <c r="Z102" s="450"/>
      <c r="AC102" s="6" t="s">
        <v>128</v>
      </c>
      <c r="AD102" s="6">
        <f xml:space="preserve"> 0.28 * O101 / (273 + O100)</f>
        <v>0.99929328621908131</v>
      </c>
    </row>
    <row r="103" spans="1:31" ht="17.25" customHeight="1" thickTop="1">
      <c r="A103" s="96"/>
      <c r="B103" s="96"/>
      <c r="C103" s="96"/>
      <c r="D103" s="96"/>
      <c r="E103" s="96"/>
      <c r="F103" s="98"/>
      <c r="G103" s="98"/>
      <c r="H103" s="96"/>
      <c r="I103" s="96"/>
      <c r="J103" s="96"/>
      <c r="K103" s="96"/>
      <c r="L103" s="96"/>
      <c r="M103" s="96"/>
      <c r="N103" s="96"/>
      <c r="O103" s="96"/>
      <c r="Y103" s="96"/>
      <c r="Z103" s="96"/>
      <c r="AC103" s="6" t="s">
        <v>341</v>
      </c>
      <c r="AD103" s="6">
        <f>AD102*AD101</f>
        <v>3.4845474941648198E-2</v>
      </c>
    </row>
    <row r="104" spans="1:31" ht="17.25" customHeight="1">
      <c r="A104" s="96"/>
      <c r="B104" s="96"/>
      <c r="C104" s="96"/>
      <c r="D104" s="96"/>
      <c r="E104" s="96"/>
      <c r="F104" s="98"/>
      <c r="G104" s="98"/>
      <c r="H104" s="446" t="s">
        <v>134</v>
      </c>
      <c r="I104" s="446"/>
      <c r="J104" s="446"/>
      <c r="K104" s="446"/>
      <c r="L104" s="446"/>
      <c r="M104" s="446"/>
      <c r="N104" s="446"/>
      <c r="O104" s="557">
        <f>J27</f>
        <v>0.52666666666666695</v>
      </c>
      <c r="P104" s="557"/>
      <c r="Q104" s="557"/>
      <c r="R104" s="557"/>
    </row>
    <row r="105" spans="1:31" ht="17.25" customHeight="1" thickBot="1">
      <c r="B105" s="96"/>
      <c r="C105" s="96"/>
      <c r="D105" s="96"/>
      <c r="H105" s="446" t="s">
        <v>98</v>
      </c>
      <c r="I105" s="446"/>
      <c r="J105" s="446"/>
      <c r="K105" s="446"/>
      <c r="L105" s="446"/>
      <c r="M105" s="446"/>
      <c r="N105" s="446"/>
      <c r="O105" s="557" t="str">
        <f>J22</f>
        <v>BordInf</v>
      </c>
      <c r="P105" s="557"/>
      <c r="Q105" s="557"/>
      <c r="R105" s="557"/>
      <c r="AC105" s="6" t="s">
        <v>37</v>
      </c>
      <c r="AD105" s="419" t="str">
        <f>J21</f>
        <v>Soleil</v>
      </c>
      <c r="AE105" s="419"/>
    </row>
    <row r="106" spans="1:31" ht="17.25" customHeight="1" thickTop="1" thickBot="1">
      <c r="H106" s="573" t="s">
        <v>99</v>
      </c>
      <c r="I106" s="574"/>
      <c r="J106" s="574"/>
      <c r="K106" s="574"/>
      <c r="L106" s="574"/>
      <c r="M106" s="574"/>
      <c r="N106" s="575"/>
      <c r="O106" s="576">
        <f>AD109</f>
        <v>0.26333333333333347</v>
      </c>
      <c r="P106" s="576"/>
      <c r="Q106" s="576"/>
      <c r="R106" s="576"/>
      <c r="S106" s="98" t="s">
        <v>71</v>
      </c>
      <c r="U106" s="450" t="str" cm="1">
        <f t="array" ref="U106">angleDecimal2Txt(O106)</f>
        <v>+00°15.80 (+00.2633) [+00°15'48.00]</v>
      </c>
      <c r="V106" s="450"/>
      <c r="W106" s="450"/>
      <c r="X106" s="450"/>
      <c r="Y106" s="450"/>
      <c r="Z106" s="450"/>
      <c r="AC106" s="6" t="s">
        <v>348</v>
      </c>
      <c r="AD106" s="419" t="str">
        <f>O105</f>
        <v>BordInf</v>
      </c>
      <c r="AE106" s="419"/>
    </row>
    <row r="107" spans="1:31" ht="17.25" customHeight="1" thickTop="1"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C107" s="6" t="s">
        <v>349</v>
      </c>
      <c r="AD107" s="678">
        <f>HLOOKUP(AD106,AD26:AF27,2)</f>
        <v>0.5</v>
      </c>
      <c r="AE107" s="678"/>
    </row>
    <row r="108" spans="1:31" ht="17.25" customHeight="1">
      <c r="G108" s="584" t="s">
        <v>167</v>
      </c>
      <c r="H108" s="585"/>
      <c r="I108" s="585"/>
      <c r="J108" s="585"/>
      <c r="K108" s="585"/>
      <c r="L108" s="585"/>
      <c r="M108" s="585"/>
      <c r="N108" s="585"/>
      <c r="O108" s="585"/>
      <c r="P108" s="585"/>
      <c r="Q108" s="585"/>
      <c r="R108" s="585"/>
      <c r="S108" s="586"/>
      <c r="T108" s="96"/>
      <c r="U108" s="96"/>
      <c r="V108" s="96"/>
      <c r="W108" s="96"/>
      <c r="X108" s="96"/>
      <c r="Y108" s="96"/>
      <c r="Z108" s="96"/>
      <c r="AC108" s="6" t="s">
        <v>134</v>
      </c>
      <c r="AD108" s="6">
        <f>HLOOKUP(AD105,AD22:AF24,3)</f>
        <v>0.52666666666666673</v>
      </c>
      <c r="AE108" s="6" cm="1">
        <f t="array" ref="AE108">angleConvert2Decimal(AD108)</f>
        <v>0.52666666666666695</v>
      </c>
    </row>
    <row r="109" spans="1:31" ht="17.25" customHeight="1">
      <c r="G109" s="588" t="s">
        <v>180</v>
      </c>
      <c r="H109" s="590"/>
      <c r="I109" s="606" t="s">
        <v>172</v>
      </c>
      <c r="J109" s="607"/>
      <c r="K109" s="607"/>
      <c r="L109" s="607"/>
      <c r="M109" s="607"/>
      <c r="N109" s="608"/>
      <c r="O109" s="559">
        <f>(O97-O102-O90+O104/2) * 60</f>
        <v>13.865677784592432</v>
      </c>
      <c r="P109" s="560"/>
      <c r="Q109" s="560"/>
      <c r="R109" s="560"/>
      <c r="S109" s="563" t="s">
        <v>168</v>
      </c>
      <c r="T109" s="96"/>
      <c r="U109" s="96"/>
      <c r="V109" s="96"/>
      <c r="W109" s="96"/>
      <c r="X109" s="96"/>
      <c r="Y109" s="96"/>
      <c r="Z109" s="96"/>
      <c r="AC109" s="6" t="s">
        <v>349</v>
      </c>
      <c r="AD109" s="678">
        <f>AE108*AD107</f>
        <v>0.26333333333333347</v>
      </c>
      <c r="AE109" s="678"/>
    </row>
    <row r="110" spans="1:31" ht="17.25" customHeight="1">
      <c r="G110" s="686"/>
      <c r="H110" s="687"/>
      <c r="I110" s="609" t="s">
        <v>176</v>
      </c>
      <c r="J110" s="610"/>
      <c r="K110" s="610"/>
      <c r="L110" s="610"/>
      <c r="M110" s="610"/>
      <c r="N110" s="611"/>
      <c r="O110" s="561"/>
      <c r="P110" s="562"/>
      <c r="Q110" s="562"/>
      <c r="R110" s="562"/>
      <c r="S110" s="564"/>
      <c r="T110" s="96"/>
      <c r="U110" s="96"/>
      <c r="V110" s="96"/>
      <c r="W110" s="96"/>
      <c r="X110" s="96"/>
      <c r="Y110" s="96"/>
      <c r="Z110" s="96"/>
    </row>
    <row r="111" spans="1:31" ht="17.25" customHeight="1">
      <c r="H111" s="96"/>
      <c r="I111" s="606" t="s">
        <v>173</v>
      </c>
      <c r="J111" s="607"/>
      <c r="K111" s="607"/>
      <c r="L111" s="607"/>
      <c r="M111" s="607"/>
      <c r="N111" s="608"/>
      <c r="O111" s="560">
        <f>(O97-O102+O104/2)*60</f>
        <v>13.865677784592432</v>
      </c>
      <c r="P111" s="560"/>
      <c r="Q111" s="560"/>
      <c r="R111" s="560"/>
      <c r="S111" s="563" t="s">
        <v>168</v>
      </c>
      <c r="T111" s="96"/>
      <c r="U111" s="96"/>
      <c r="V111" s="96"/>
      <c r="W111" s="96"/>
      <c r="X111" s="96"/>
      <c r="Y111" s="96"/>
      <c r="Z111" s="96"/>
    </row>
    <row r="112" spans="1:31" ht="17.25" customHeight="1">
      <c r="H112" s="96"/>
      <c r="I112" s="565" t="s">
        <v>174</v>
      </c>
      <c r="J112" s="566"/>
      <c r="K112" s="566"/>
      <c r="L112" s="566"/>
      <c r="M112" s="566"/>
      <c r="N112" s="567"/>
      <c r="O112" s="562"/>
      <c r="P112" s="562"/>
      <c r="Q112" s="562"/>
      <c r="R112" s="562"/>
      <c r="S112" s="564"/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455" t="s">
        <v>99</v>
      </c>
      <c r="J113" s="455"/>
      <c r="K113" s="455"/>
      <c r="L113" s="455"/>
      <c r="M113" s="455"/>
      <c r="N113" s="455"/>
      <c r="O113" s="531">
        <f>O106*60</f>
        <v>15.800000000000008</v>
      </c>
      <c r="P113" s="532"/>
      <c r="Q113" s="532"/>
      <c r="R113" s="532"/>
      <c r="S113" s="159" t="s">
        <v>168</v>
      </c>
      <c r="T113" s="96"/>
      <c r="U113" s="96"/>
      <c r="V113" s="96"/>
      <c r="W113" s="96"/>
      <c r="X113" s="96"/>
      <c r="Y113" s="96"/>
      <c r="Z113" s="96"/>
    </row>
    <row r="114" spans="2:28" ht="17.25" customHeight="1" thickBot="1"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</row>
    <row r="115" spans="2:28" ht="17.25" customHeight="1" thickTop="1" thickBot="1">
      <c r="H115" s="577" t="s">
        <v>238</v>
      </c>
      <c r="I115" s="578"/>
      <c r="J115" s="578"/>
      <c r="K115" s="578"/>
      <c r="L115" s="578"/>
      <c r="M115" s="578"/>
      <c r="N115" s="579"/>
      <c r="O115" s="580">
        <f>O92-O102+O97+O106</f>
        <v>25.531094629743208</v>
      </c>
      <c r="P115" s="438"/>
      <c r="Q115" s="438"/>
      <c r="R115" s="438"/>
      <c r="S115" s="98" t="s">
        <v>71</v>
      </c>
      <c r="U115" s="450" t="str" cm="1">
        <f t="array" ref="U115">angleDecimal2Txt(O115)</f>
        <v>+25°31.86 (+25.5310) [+25°31'51.94]</v>
      </c>
      <c r="V115" s="450"/>
      <c r="W115" s="450"/>
      <c r="X115" s="450"/>
      <c r="Y115" s="450"/>
      <c r="Z115" s="450"/>
    </row>
    <row r="116" spans="2:28" ht="17.25" customHeight="1" thickTop="1"/>
    <row r="117" spans="2:28" ht="17.25" customHeight="1">
      <c r="F117" s="581" t="s">
        <v>91</v>
      </c>
      <c r="G117" s="581"/>
      <c r="H117" s="581"/>
      <c r="I117" s="581"/>
      <c r="J117" s="438" t="str">
        <f>IF(G86=AD86,O125,"---")</f>
        <v>---</v>
      </c>
      <c r="K117" s="438"/>
      <c r="L117" s="438"/>
      <c r="M117" s="233"/>
      <c r="N117" s="233"/>
      <c r="O117" s="233"/>
      <c r="P117" s="233"/>
      <c r="Q117" s="233"/>
      <c r="R117" s="233"/>
      <c r="S117" s="233"/>
      <c r="T117" s="233"/>
      <c r="U117" s="233"/>
      <c r="V117" s="233"/>
      <c r="W117" s="233"/>
      <c r="X117" s="233"/>
      <c r="Y117" s="233"/>
      <c r="Z117" s="233"/>
    </row>
    <row r="118" spans="2:28" ht="17.25" customHeight="1">
      <c r="F118"/>
      <c r="G118"/>
      <c r="H118"/>
      <c r="I118"/>
      <c r="J118"/>
      <c r="K118"/>
      <c r="L118"/>
    </row>
    <row r="119" spans="2:28" ht="17.25" customHeight="1">
      <c r="F119"/>
      <c r="G119"/>
      <c r="H119"/>
      <c r="I119"/>
      <c r="J119"/>
      <c r="K119"/>
      <c r="L119"/>
      <c r="T119" s="236" t="s">
        <v>112</v>
      </c>
      <c r="U119" s="551" t="s">
        <v>40</v>
      </c>
      <c r="V119" s="551"/>
    </row>
    <row r="120" spans="2:28" ht="17.25" customHeight="1">
      <c r="T120" s="237" t="s">
        <v>108</v>
      </c>
      <c r="U120" s="551" t="s">
        <v>110</v>
      </c>
      <c r="V120" s="551"/>
    </row>
    <row r="121" spans="2:28" ht="17.25" customHeight="1">
      <c r="H121" s="98" t="s">
        <v>100</v>
      </c>
      <c r="I121" s="122" t="s">
        <v>102</v>
      </c>
      <c r="J121" s="98" t="s">
        <v>88</v>
      </c>
      <c r="K121" s="553" t="s">
        <v>105</v>
      </c>
      <c r="L121" s="98" t="s">
        <v>87</v>
      </c>
      <c r="N121" s="553" t="s">
        <v>107</v>
      </c>
      <c r="O121" s="122" t="s">
        <v>439</v>
      </c>
      <c r="Q121" s="553" t="s">
        <v>107</v>
      </c>
      <c r="R121" s="98" t="s">
        <v>440</v>
      </c>
      <c r="T121" s="235" t="s">
        <v>109</v>
      </c>
      <c r="U121" s="552" t="s">
        <v>111</v>
      </c>
      <c r="V121" s="552"/>
      <c r="Z121"/>
      <c r="AA121"/>
    </row>
    <row r="122" spans="2:28" ht="17.25" customHeight="1" thickBot="1">
      <c r="I122" s="122"/>
      <c r="J122" s="124">
        <f>O88</f>
        <v>25.3</v>
      </c>
      <c r="K122" s="553"/>
      <c r="L122" s="533">
        <f>O89</f>
        <v>0</v>
      </c>
      <c r="M122" s="534"/>
      <c r="N122" s="553"/>
      <c r="O122" s="537" t="s">
        <v>242</v>
      </c>
      <c r="P122" s="538"/>
      <c r="Q122" s="553"/>
      <c r="R122" s="238" t="s">
        <v>109</v>
      </c>
      <c r="V122"/>
      <c r="W122"/>
      <c r="X122"/>
      <c r="Y122"/>
      <c r="Z122"/>
      <c r="AA122"/>
    </row>
    <row r="123" spans="2:28" ht="17.25" customHeight="1" thickTop="1" thickBot="1">
      <c r="I123" s="122"/>
      <c r="J123"/>
      <c r="K123" s="122" t="s">
        <v>438</v>
      </c>
      <c r="L123" s="535" cm="1">
        <f t="array" ref="L123">angleConvert2Decimal(L122)</f>
        <v>0</v>
      </c>
      <c r="M123" s="536"/>
      <c r="O123" s="676" cm="1">
        <f t="array" ref="O123">angleConvert2Decimal(O122)</f>
        <v>0.17166666666666669</v>
      </c>
      <c r="P123" s="677"/>
      <c r="Q123" s="41"/>
      <c r="R123" s="228" cm="1">
        <f t="array" ref="R123">angleConvert2Decimal(R122)</f>
        <v>-0.53333333333333333</v>
      </c>
      <c r="S123"/>
      <c r="T123" s="13" t="s">
        <v>139</v>
      </c>
      <c r="U123" s="13"/>
      <c r="V123" s="13">
        <f>R123+O123</f>
        <v>-0.36166666666666664</v>
      </c>
      <c r="W123" s="421" t="str" cm="1">
        <f t="array" ref="W123">angleDecimal2Txt(V123)</f>
        <v>-00°21.69 (-00.3616) [-00°21'42.00]</v>
      </c>
      <c r="X123" s="422"/>
      <c r="Y123" s="422"/>
      <c r="Z123" s="422"/>
      <c r="AA123" s="423"/>
    </row>
    <row r="124" spans="2:28" ht="17.25" customHeight="1" thickTop="1" thickBot="1">
      <c r="I124" s="122"/>
      <c r="K124" s="122"/>
      <c r="N124" s="122"/>
      <c r="Q124" s="122"/>
      <c r="R124" s="127"/>
    </row>
    <row r="125" spans="2:28" ht="17.25" customHeight="1" thickTop="1" thickBot="1">
      <c r="H125" s="577" t="s">
        <v>241</v>
      </c>
      <c r="I125" s="578"/>
      <c r="J125" s="578"/>
      <c r="K125" s="578"/>
      <c r="L125" s="578"/>
      <c r="M125" s="578"/>
      <c r="N125" s="579"/>
      <c r="O125" s="580">
        <f>J122-L123+O123+R123</f>
        <v>24.938333333333333</v>
      </c>
      <c r="P125" s="438"/>
      <c r="Q125" s="438"/>
      <c r="R125" s="438"/>
      <c r="S125" s="98" t="s">
        <v>71</v>
      </c>
      <c r="U125" s="450" t="str" cm="1">
        <f t="array" ref="U125">angleDecimal2Txt(O125)</f>
        <v>+24°56.29 (+24.9383) [+24°56'18.00]</v>
      </c>
      <c r="V125" s="450"/>
      <c r="W125" s="450"/>
      <c r="X125" s="450"/>
      <c r="Y125" s="450"/>
      <c r="Z125" s="450"/>
    </row>
    <row r="126" spans="2:28" ht="17.25" customHeight="1" thickTop="1" thickBot="1">
      <c r="D126" s="128"/>
    </row>
    <row r="127" spans="2:28" ht="17.25" customHeight="1" thickBot="1">
      <c r="B127" s="107" t="s">
        <v>52</v>
      </c>
      <c r="C127" s="108"/>
      <c r="D127" s="129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46"/>
    </row>
    <row r="128" spans="2:28" ht="17.25" customHeight="1">
      <c r="C128" s="98"/>
      <c r="D128" s="98"/>
      <c r="E128" s="98"/>
      <c r="F128" s="98"/>
      <c r="G128" s="98"/>
      <c r="O128" s="548" t="s">
        <v>618</v>
      </c>
      <c r="P128" s="548"/>
      <c r="Q128" s="548"/>
      <c r="R128" s="548"/>
      <c r="S128" s="548"/>
      <c r="T128" s="548"/>
      <c r="U128" s="548"/>
      <c r="V128" s="548"/>
      <c r="W128" s="548"/>
      <c r="X128" s="548"/>
      <c r="Y128" s="548"/>
      <c r="Z128" s="548"/>
      <c r="AA128" s="548"/>
    </row>
    <row r="129" spans="1:31" ht="17.25" customHeight="1">
      <c r="C129" s="96"/>
      <c r="D129" s="96"/>
      <c r="E129" s="539" t="s">
        <v>24</v>
      </c>
      <c r="F129" s="540"/>
      <c r="G129" s="540"/>
      <c r="H129" s="540"/>
      <c r="I129" s="449">
        <f>AD131</f>
        <v>25.767307660813756</v>
      </c>
      <c r="J129" s="449"/>
      <c r="K129" s="449"/>
      <c r="L129" s="449"/>
      <c r="M129" s="449"/>
      <c r="O129" s="437" t="s">
        <v>114</v>
      </c>
      <c r="P129" s="437"/>
      <c r="Q129" s="437">
        <f>F44</f>
        <v>16.808124537037038</v>
      </c>
      <c r="R129" s="437"/>
      <c r="S129" s="437"/>
      <c r="T129" s="526" t="s">
        <v>71</v>
      </c>
      <c r="U129" s="462">
        <f>Q129*Outils!$F$10</f>
        <v>0.29335711425654393</v>
      </c>
      <c r="V129" s="463"/>
      <c r="W129" s="524"/>
      <c r="X129" s="526" t="s">
        <v>92</v>
      </c>
      <c r="AC129" s="6" t="s">
        <v>619</v>
      </c>
      <c r="AD129" s="6">
        <f>SIN(U129)*SIN(U130)+COS(U129)*COS(U130)*COS(U131)</f>
        <v>0.43471731660020352</v>
      </c>
      <c r="AE129" s="6"/>
    </row>
    <row r="130" spans="1:31" ht="17.25" customHeight="1" thickBot="1">
      <c r="C130" s="96"/>
      <c r="D130" s="96"/>
      <c r="E130" s="542"/>
      <c r="F130" s="543"/>
      <c r="G130" s="543"/>
      <c r="H130" s="543"/>
      <c r="I130" s="449"/>
      <c r="J130" s="449"/>
      <c r="K130" s="449"/>
      <c r="L130" s="449"/>
      <c r="M130" s="449"/>
      <c r="N130" s="130" t="s">
        <v>181</v>
      </c>
      <c r="O130" s="437" t="s">
        <v>115</v>
      </c>
      <c r="P130" s="437"/>
      <c r="Q130" s="437">
        <f>F35</f>
        <v>48.875500000000002</v>
      </c>
      <c r="R130" s="437"/>
      <c r="S130" s="437"/>
      <c r="T130" s="526"/>
      <c r="U130" s="462">
        <f>Q130*Outils!$F$10</f>
        <v>0.85303839855848862</v>
      </c>
      <c r="V130" s="463"/>
      <c r="W130" s="524"/>
      <c r="X130" s="526"/>
      <c r="AC130" s="6" t="s">
        <v>351</v>
      </c>
      <c r="AD130" s="6">
        <f>ASIN(AD129)</f>
        <v>0.44972435805555827</v>
      </c>
      <c r="AE130" s="6" t="s">
        <v>92</v>
      </c>
    </row>
    <row r="131" spans="1:31" ht="17.25" customHeight="1" thickTop="1" thickBot="1">
      <c r="C131" s="96"/>
      <c r="D131" s="96"/>
      <c r="E131" s="545"/>
      <c r="F131" s="546"/>
      <c r="G131" s="546"/>
      <c r="H131" s="546"/>
      <c r="I131" s="450" t="str" cm="1">
        <f t="array" ref="I131">angleDecimal2Txt(I129)</f>
        <v>+25°46.03 (+25.7673) [+25°46'02.30]</v>
      </c>
      <c r="J131" s="450"/>
      <c r="K131" s="450"/>
      <c r="L131" s="450"/>
      <c r="M131" s="450"/>
      <c r="O131" s="437" t="s">
        <v>51</v>
      </c>
      <c r="P131" s="437"/>
      <c r="Q131" s="437">
        <f>F81</f>
        <v>290.15083935185186</v>
      </c>
      <c r="R131" s="437"/>
      <c r="S131" s="437"/>
      <c r="T131" s="526"/>
      <c r="U131" s="462">
        <f>Q131*Outils!$F$10</f>
        <v>5.0640874741149444</v>
      </c>
      <c r="V131" s="463"/>
      <c r="W131" s="524"/>
      <c r="X131" s="526"/>
      <c r="AC131" s="6"/>
      <c r="AD131" s="6">
        <f>AD130*Outils!F11</f>
        <v>25.767307660813756</v>
      </c>
      <c r="AE131" s="6" t="s">
        <v>71</v>
      </c>
    </row>
    <row r="132" spans="1:31" ht="17.25" customHeight="1" thickTop="1">
      <c r="C132" s="96"/>
      <c r="D132" s="96"/>
      <c r="E132" s="98"/>
      <c r="F132" s="98"/>
      <c r="G132" s="98"/>
    </row>
    <row r="133" spans="1:31" ht="17.25" customHeight="1">
      <c r="C133" s="96"/>
      <c r="D133" s="96"/>
      <c r="E133" s="539" t="s">
        <v>31</v>
      </c>
      <c r="F133" s="540"/>
      <c r="G133" s="540"/>
      <c r="H133" s="540"/>
      <c r="I133" s="449">
        <f>F85</f>
        <v>25.531094629743208</v>
      </c>
      <c r="J133" s="449"/>
      <c r="K133" s="449"/>
      <c r="L133" s="449"/>
      <c r="M133" s="449"/>
    </row>
    <row r="134" spans="1:31" ht="17.25" customHeight="1" thickBot="1">
      <c r="C134" s="96"/>
      <c r="D134" s="96"/>
      <c r="E134" s="542"/>
      <c r="F134" s="543"/>
      <c r="G134" s="543"/>
      <c r="H134" s="543"/>
      <c r="I134" s="449"/>
      <c r="J134" s="449"/>
      <c r="K134" s="449"/>
      <c r="L134" s="449"/>
      <c r="M134" s="449"/>
      <c r="O134" s="417" t="s">
        <v>33</v>
      </c>
      <c r="P134" s="418"/>
      <c r="Q134" s="418"/>
      <c r="R134" s="418"/>
      <c r="S134" s="1256"/>
      <c r="T134" s="1257">
        <f>I133-I129</f>
        <v>-0.23621303107054814</v>
      </c>
      <c r="U134" s="1258" t="s">
        <v>34</v>
      </c>
      <c r="V134" s="1259">
        <f>T134*60</f>
        <v>-14.172781864232888</v>
      </c>
      <c r="W134" s="1258" t="s">
        <v>146</v>
      </c>
      <c r="X134" s="1260" t="str">
        <f>IF(T134&gt;0,"Vers Pg", "Oppose de Pg")</f>
        <v>Oppose de Pg</v>
      </c>
      <c r="Y134" s="1260"/>
    </row>
    <row r="135" spans="1:31" ht="17.25" customHeight="1" thickTop="1" thickBot="1">
      <c r="C135" s="96"/>
      <c r="D135" s="96"/>
      <c r="E135" s="545"/>
      <c r="F135" s="546"/>
      <c r="G135" s="546"/>
      <c r="H135" s="546"/>
      <c r="I135" s="450" t="str" cm="1">
        <f t="array" ref="I135">angleDecimal2Txt(I133)</f>
        <v>+25°31.86 (+25.5310) [+25°31'51.94]</v>
      </c>
      <c r="J135" s="450"/>
      <c r="K135" s="450"/>
      <c r="L135" s="450"/>
      <c r="M135" s="450"/>
      <c r="O135"/>
      <c r="P135"/>
      <c r="Q135"/>
      <c r="S135" s="1261" t="s">
        <v>623</v>
      </c>
      <c r="T135" s="1262" t="s">
        <v>687</v>
      </c>
      <c r="U135" s="1262"/>
      <c r="V135" s="1262">
        <f>F44</f>
        <v>16.808124537037038</v>
      </c>
      <c r="W135" s="1262"/>
      <c r="X135" s="1263" t="str">
        <f>latitudeDecimal2Txt(V135)</f>
        <v>N 16°48.48 (N 16.8081) [N 16°48'29.24]</v>
      </c>
      <c r="Y135" s="1263"/>
      <c r="Z135" s="1263"/>
      <c r="AA135" s="1263"/>
      <c r="AB135" s="1263"/>
      <c r="AC135" s="1263"/>
    </row>
    <row r="136" spans="1:31" ht="17.25" customHeight="1" thickTop="1">
      <c r="C136" s="96"/>
      <c r="D136" s="96"/>
      <c r="E136" s="98"/>
      <c r="F136" s="98"/>
      <c r="G136" s="98"/>
      <c r="O136" s="1255"/>
      <c r="P136" s="1255"/>
      <c r="Q136" s="1255"/>
      <c r="R136" s="1255"/>
      <c r="S136" s="1261"/>
      <c r="T136" s="1264" t="s">
        <v>688</v>
      </c>
      <c r="U136" s="1264"/>
      <c r="V136" s="1262">
        <f>IF(F62&gt;180,360-F62,-F62)</f>
        <v>71.943660648148125</v>
      </c>
      <c r="W136" s="1264"/>
      <c r="X136" s="1265" t="str">
        <f>longitudeDecimal2Txt(V136)</f>
        <v>E 71°56.61 (E 71.9436) [E 71°56'37.17]</v>
      </c>
      <c r="Y136" s="1265"/>
      <c r="Z136" s="1265"/>
      <c r="AA136" s="1265"/>
      <c r="AB136" s="1265"/>
      <c r="AC136" s="1265"/>
    </row>
    <row r="137" spans="1:31" ht="17.25" customHeight="1">
      <c r="C137" s="98"/>
      <c r="D137" s="98"/>
      <c r="E137" s="98"/>
      <c r="F137" s="98"/>
      <c r="T137" s="96"/>
      <c r="U137" s="96"/>
      <c r="V137" s="96"/>
      <c r="W137" s="96"/>
      <c r="X137" s="96"/>
      <c r="Y137" s="96"/>
    </row>
    <row r="138" spans="1:31" ht="17.25" customHeight="1">
      <c r="E138" s="98"/>
      <c r="F138" s="98"/>
      <c r="G138" s="98"/>
      <c r="T138" s="96"/>
      <c r="U138" s="96"/>
      <c r="V138" s="96"/>
      <c r="W138" s="96"/>
      <c r="X138" s="96"/>
      <c r="Y138" s="96"/>
    </row>
    <row r="139" spans="1:31" ht="17.25" customHeight="1">
      <c r="E139" s="98"/>
    </row>
    <row r="140" spans="1:31" ht="17.25" customHeight="1">
      <c r="E140" s="98"/>
      <c r="F140" s="98"/>
      <c r="G140" s="98"/>
      <c r="O140" s="549" t="s">
        <v>116</v>
      </c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C140" s="6" t="s">
        <v>117</v>
      </c>
      <c r="AD140" s="6">
        <f>(SIN(U141)-SIN(U142)*SIN(AD130))/(COS(U142)*COS(AD130))</f>
        <v>-6.4658534051334204E-2</v>
      </c>
      <c r="AE140" s="6"/>
    </row>
    <row r="141" spans="1:31" ht="17.25" customHeight="1">
      <c r="A141" s="96"/>
      <c r="B141" s="96"/>
      <c r="C141" s="96"/>
      <c r="D141" s="96"/>
      <c r="E141" s="539" t="s">
        <v>124</v>
      </c>
      <c r="F141" s="540"/>
      <c r="G141" s="540"/>
      <c r="H141" s="541"/>
      <c r="I141" s="442">
        <f>AD142</f>
        <v>93.707247341336668</v>
      </c>
      <c r="J141" s="442"/>
      <c r="K141" s="442"/>
      <c r="L141" s="442"/>
      <c r="M141" s="443"/>
      <c r="O141" s="437" t="s">
        <v>114</v>
      </c>
      <c r="P141" s="437"/>
      <c r="Q141" s="437">
        <f>F44</f>
        <v>16.808124537037038</v>
      </c>
      <c r="R141" s="437"/>
      <c r="S141" s="437"/>
      <c r="T141" s="526" t="s">
        <v>71</v>
      </c>
      <c r="U141" s="437">
        <f>Q141*Outils!$F$10</f>
        <v>0.29335711425654393</v>
      </c>
      <c r="V141" s="437"/>
      <c r="W141" s="437"/>
      <c r="X141" s="526" t="s">
        <v>92</v>
      </c>
      <c r="AC141" s="6" t="s">
        <v>352</v>
      </c>
      <c r="AD141" s="6">
        <f>ACOS(AD140)</f>
        <v>1.6354999990870276</v>
      </c>
      <c r="AE141" s="6" t="s">
        <v>92</v>
      </c>
    </row>
    <row r="142" spans="1:31" ht="17.25" customHeight="1" thickBot="1">
      <c r="C142" s="96"/>
      <c r="D142" s="96"/>
      <c r="E142" s="542"/>
      <c r="F142" s="543"/>
      <c r="G142" s="543"/>
      <c r="H142" s="544"/>
      <c r="I142" s="444"/>
      <c r="J142" s="444"/>
      <c r="K142" s="444"/>
      <c r="L142" s="444"/>
      <c r="M142" s="445"/>
      <c r="N142" s="130" t="s">
        <v>181</v>
      </c>
      <c r="O142" s="437" t="s">
        <v>115</v>
      </c>
      <c r="P142" s="437"/>
      <c r="Q142" s="437">
        <f>F35</f>
        <v>48.875500000000002</v>
      </c>
      <c r="R142" s="437"/>
      <c r="S142" s="437"/>
      <c r="T142" s="526"/>
      <c r="U142" s="437">
        <f>Q142*Outils!$F$10</f>
        <v>0.85303839855848862</v>
      </c>
      <c r="V142" s="437"/>
      <c r="W142" s="437"/>
      <c r="X142" s="526"/>
      <c r="AC142" s="6"/>
      <c r="AD142" s="6">
        <f>AD141*Outils!$F$11</f>
        <v>93.707247341336668</v>
      </c>
      <c r="AE142" s="6" t="s">
        <v>71</v>
      </c>
    </row>
    <row r="143" spans="1:31" ht="17.25" customHeight="1" thickTop="1" thickBot="1">
      <c r="C143" s="96"/>
      <c r="D143" s="96"/>
      <c r="E143" s="545"/>
      <c r="F143" s="546"/>
      <c r="G143" s="546"/>
      <c r="H143" s="547"/>
      <c r="I143" s="447" t="str" cm="1">
        <f t="array" ref="I143">angleDecimal2Txt(I141)</f>
        <v>+93°42.43 (+93.7072) [+93°42'26.09]</v>
      </c>
      <c r="J143" s="448"/>
      <c r="K143" s="448"/>
      <c r="L143" s="448"/>
      <c r="M143" s="448"/>
      <c r="O143" s="437" t="s">
        <v>51</v>
      </c>
      <c r="P143" s="437"/>
      <c r="Q143" s="437">
        <f>F81</f>
        <v>290.15083935185186</v>
      </c>
      <c r="R143" s="437"/>
      <c r="S143" s="437"/>
      <c r="T143" s="526"/>
      <c r="U143" s="437">
        <f>Q143*Outils!$F$10</f>
        <v>5.0640874741149444</v>
      </c>
      <c r="V143" s="437"/>
      <c r="W143" s="437"/>
      <c r="X143" s="526"/>
    </row>
    <row r="144" spans="1:31" ht="17.25" customHeight="1" thickTop="1">
      <c r="C144" s="96"/>
      <c r="D144" s="96"/>
      <c r="E144" s="98"/>
      <c r="F144" s="98"/>
      <c r="G144" s="98"/>
    </row>
    <row r="145" spans="2:30" ht="17.25" customHeight="1">
      <c r="C145" s="98"/>
      <c r="D145" s="98"/>
      <c r="F145" s="98"/>
      <c r="G145" s="98"/>
      <c r="I145" s="439" t="s">
        <v>239</v>
      </c>
      <c r="J145" s="440"/>
      <c r="K145" s="440"/>
      <c r="L145" s="440"/>
      <c r="M145" s="440"/>
      <c r="N145" s="441"/>
      <c r="O145" s="439" t="s">
        <v>240</v>
      </c>
      <c r="P145" s="440"/>
      <c r="Q145" s="440"/>
      <c r="R145" s="440"/>
      <c r="S145" s="440"/>
      <c r="T145" s="441"/>
    </row>
    <row r="146" spans="2:30" ht="17.25" customHeight="1">
      <c r="F146" s="98"/>
      <c r="G146" s="98"/>
      <c r="I146" s="680"/>
      <c r="J146" s="528" t="s">
        <v>182</v>
      </c>
      <c r="K146" s="529"/>
      <c r="L146" s="530"/>
      <c r="M146" s="492" t="s">
        <v>183</v>
      </c>
      <c r="N146" s="493"/>
      <c r="O146" s="680"/>
      <c r="P146" s="528" t="s">
        <v>182</v>
      </c>
      <c r="Q146" s="529"/>
      <c r="R146" s="530"/>
      <c r="S146" s="492" t="s">
        <v>184</v>
      </c>
      <c r="T146" s="493"/>
    </row>
    <row r="147" spans="2:30" ht="17.25" customHeight="1">
      <c r="F147" s="98"/>
      <c r="G147" s="98"/>
      <c r="I147" s="681"/>
      <c r="J147" s="489" t="s">
        <v>118</v>
      </c>
      <c r="K147" s="490"/>
      <c r="L147" s="491"/>
      <c r="M147" s="494" t="s">
        <v>119</v>
      </c>
      <c r="N147" s="495"/>
      <c r="O147" s="681"/>
      <c r="P147" s="489" t="s">
        <v>118</v>
      </c>
      <c r="Q147" s="490"/>
      <c r="R147" s="491"/>
      <c r="S147" s="494" t="s">
        <v>120</v>
      </c>
      <c r="T147" s="495"/>
    </row>
    <row r="148" spans="2:30" ht="17.25" customHeight="1">
      <c r="F148" s="96"/>
      <c r="G148" s="96"/>
      <c r="H148" s="96"/>
      <c r="I148" s="96"/>
      <c r="J148" s="96"/>
      <c r="K148" s="96"/>
      <c r="Q148" s="96"/>
      <c r="R148" s="96"/>
      <c r="S148" s="96"/>
      <c r="T148" s="496"/>
      <c r="U148" s="496"/>
      <c r="V148" s="496"/>
      <c r="W148" s="96"/>
      <c r="X148" s="496"/>
      <c r="Y148" s="496"/>
      <c r="Z148" s="496"/>
    </row>
    <row r="149" spans="2:30" ht="17.25" customHeight="1">
      <c r="F149" s="96"/>
      <c r="N149" s="523"/>
      <c r="O149" s="523"/>
      <c r="Q149" s="496"/>
      <c r="R149" s="496"/>
      <c r="S149" s="496"/>
      <c r="T149" s="496"/>
      <c r="U149" s="496"/>
      <c r="V149" s="496"/>
      <c r="W149" s="96"/>
      <c r="X149" s="496"/>
      <c r="Y149" s="496"/>
      <c r="Z149" s="496"/>
    </row>
    <row r="150" spans="2:30" ht="17.25" customHeight="1">
      <c r="I150" s="437" t="s">
        <v>115</v>
      </c>
      <c r="J150" s="437"/>
      <c r="K150" s="141">
        <f>F35</f>
        <v>48.875500000000002</v>
      </c>
      <c r="L150" s="438" t="str">
        <f>CONCATENATE("Sens: ",IF(Q142&gt;0,"Nord","Sud"))</f>
        <v>Sens: Nord</v>
      </c>
      <c r="M150" s="438"/>
    </row>
    <row r="151" spans="2:30" ht="17.25" customHeight="1" thickBot="1">
      <c r="I151" s="437" t="s">
        <v>51</v>
      </c>
      <c r="J151" s="437"/>
      <c r="K151" s="141">
        <f>Q143</f>
        <v>290.15083935185186</v>
      </c>
      <c r="L151" s="438" t="str">
        <f>CONCATENATE("Is &gt; 180? ", IF(Q143&gt;180,"Y", "N"))</f>
        <v>Is &gt; 180? Y</v>
      </c>
      <c r="M151" s="438"/>
      <c r="O151" s="417" t="s">
        <v>125</v>
      </c>
      <c r="P151" s="418"/>
      <c r="Q151" s="418"/>
      <c r="R151" s="418"/>
      <c r="S151" s="418"/>
      <c r="T151" s="451">
        <f>ABS(IF(Q130&gt;0,IF(Q131&gt;180,I141,360-I141),IF(Q131&gt;180,180-I141,180+I141)))</f>
        <v>93.707247341336668</v>
      </c>
      <c r="U151" s="452"/>
      <c r="V151" s="132" t="s">
        <v>34</v>
      </c>
      <c r="W151" s="96"/>
    </row>
    <row r="152" spans="2:30" ht="17.25" customHeight="1" thickTop="1" thickBot="1">
      <c r="I152" s="462" t="s">
        <v>185</v>
      </c>
      <c r="J152" s="463"/>
      <c r="K152" s="464"/>
      <c r="L152" s="438" t="str">
        <f>IF(K150&gt;0,IF(K151&gt;180,M146,M147),IF(K151&gt;180,S146,S147))</f>
        <v>Zn = Z</v>
      </c>
      <c r="M152" s="438"/>
      <c r="T152" s="450" t="str" cm="1">
        <f t="array" ref="T152">angleDecimal2Txt(T151)</f>
        <v>+93°42.43 (+93.7072) [+93°42'26.09]</v>
      </c>
      <c r="U152" s="450"/>
      <c r="V152" s="450"/>
      <c r="W152" s="450"/>
      <c r="X152" s="450"/>
      <c r="Y152" s="450"/>
    </row>
    <row r="153" spans="2:30" ht="17.25" customHeight="1" thickTop="1"/>
    <row r="154" spans="2:30" ht="17.25" customHeight="1" thickBot="1"/>
    <row r="155" spans="2:30" ht="17.25" customHeight="1" thickBot="1">
      <c r="B155" s="107" t="s">
        <v>441</v>
      </c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83"/>
      <c r="AB155" s="146"/>
    </row>
    <row r="157" spans="2:30" ht="17.25" customHeight="1" thickBot="1">
      <c r="C157" s="461" t="s">
        <v>442</v>
      </c>
      <c r="D157" s="461"/>
      <c r="E157" s="461"/>
      <c r="F157" s="461"/>
      <c r="G157" s="239"/>
      <c r="H157" s="461" t="s">
        <v>443</v>
      </c>
      <c r="I157" s="461"/>
      <c r="J157" s="461"/>
      <c r="L157" s="465" t="s">
        <v>429</v>
      </c>
      <c r="M157" s="465"/>
      <c r="N157" s="465"/>
      <c r="Q157" s="420" t="s">
        <v>444</v>
      </c>
      <c r="R157" s="420"/>
      <c r="S157" s="420"/>
      <c r="T157" s="420"/>
      <c r="U157" s="189"/>
      <c r="AC157" t="s">
        <v>392</v>
      </c>
      <c r="AD157" s="218">
        <f>I158/60</f>
        <v>-0.23621303107054814</v>
      </c>
    </row>
    <row r="158" spans="2:30" ht="17.25" customHeight="1" thickTop="1" thickBot="1">
      <c r="D158" s="243" t="s">
        <v>49</v>
      </c>
      <c r="E158" s="466">
        <f>F35</f>
        <v>48.875500000000002</v>
      </c>
      <c r="F158" s="466"/>
      <c r="I158" s="466">
        <f>V134</f>
        <v>-14.172781864232888</v>
      </c>
      <c r="J158" s="466"/>
      <c r="K158" s="98" t="s">
        <v>146</v>
      </c>
      <c r="M158" s="466">
        <f>T151</f>
        <v>93.707247341336668</v>
      </c>
      <c r="N158" s="466"/>
      <c r="R158" s="241" t="s">
        <v>49</v>
      </c>
      <c r="S158" s="419">
        <f>AD160</f>
        <v>48.890773188312849</v>
      </c>
      <c r="T158" s="419"/>
      <c r="U158" s="415" t="str" cm="1">
        <f t="array" ref="U158">latitudeDecimal2Txt(S158)</f>
        <v>N 48°53.44 (N 48.8907) [N 48°53'26.78]</v>
      </c>
      <c r="V158" s="415"/>
      <c r="W158" s="415"/>
      <c r="X158" s="415"/>
      <c r="Y158" s="415"/>
      <c r="Z158" s="415"/>
      <c r="AC158" t="s">
        <v>419</v>
      </c>
      <c r="AD158" s="218">
        <f>M158</f>
        <v>93.707247341336668</v>
      </c>
    </row>
    <row r="159" spans="2:30" ht="17.25" customHeight="1" thickTop="1" thickBot="1">
      <c r="D159" s="243" t="s">
        <v>50</v>
      </c>
      <c r="E159" s="466">
        <f>F40</f>
        <v>2.0945</v>
      </c>
      <c r="F159" s="466"/>
      <c r="R159" s="241" t="s">
        <v>50</v>
      </c>
      <c r="S159" s="419">
        <f>AD162</f>
        <v>1.7360452926151542</v>
      </c>
      <c r="T159" s="419"/>
      <c r="U159" s="415" t="str" cm="1">
        <f t="array" ref="U159">longitudeDecimal2Txt(S159)</f>
        <v>E 01°44.16 (E 01.7360) [E 01°44'09.76]</v>
      </c>
      <c r="V159" s="415"/>
      <c r="W159" s="415"/>
      <c r="X159" s="415"/>
      <c r="Y159" s="415"/>
      <c r="Z159" s="415"/>
      <c r="AC159" s="98"/>
      <c r="AD159" s="98"/>
    </row>
    <row r="160" spans="2:30" ht="17.25" customHeight="1" thickTop="1">
      <c r="D160" s="98"/>
      <c r="AC160" t="s">
        <v>446</v>
      </c>
      <c r="AD160">
        <f>E158+AD157*COS(AD158*Outils!$F$10)</f>
        <v>48.890773188312849</v>
      </c>
    </row>
    <row r="161" spans="2:33" ht="17.25" customHeight="1">
      <c r="C161"/>
      <c r="D161"/>
      <c r="E161"/>
      <c r="Q161" s="420" t="s">
        <v>445</v>
      </c>
      <c r="R161" s="420"/>
      <c r="S161" s="420"/>
      <c r="AC161" t="s">
        <v>447</v>
      </c>
      <c r="AD161">
        <f>(E158+AD160)/2</f>
        <v>48.883136594156426</v>
      </c>
    </row>
    <row r="162" spans="2:33" ht="17.25" customHeight="1">
      <c r="R162" s="419">
        <f>M158-90</f>
        <v>3.707247341336668</v>
      </c>
      <c r="S162" s="419"/>
      <c r="T162" s="132" t="s">
        <v>34</v>
      </c>
      <c r="AC162" t="s">
        <v>448</v>
      </c>
      <c r="AD162">
        <f>E159+(AD157*SIN(M158*Outils!$F$10)/COS(AD161*Outils!$F$10))</f>
        <v>1.7360452926151542</v>
      </c>
    </row>
    <row r="163" spans="2:33" customFormat="1" ht="17.25" customHeight="1"/>
    <row r="164" spans="2:33" customFormat="1" ht="17.25" customHeight="1" thickBot="1"/>
    <row r="165" spans="2:33" customFormat="1" ht="17.25" customHeight="1" thickBot="1">
      <c r="B165" s="245" t="s">
        <v>449</v>
      </c>
      <c r="C165" s="246"/>
      <c r="D165" s="246"/>
      <c r="E165" s="246"/>
      <c r="F165" s="246"/>
      <c r="G165" s="246"/>
      <c r="H165" s="246"/>
      <c r="I165" s="246"/>
      <c r="J165" s="246"/>
      <c r="K165" s="246"/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/>
      <c r="W165" s="246"/>
      <c r="X165" s="246"/>
      <c r="Y165" s="246"/>
      <c r="Z165" s="246"/>
      <c r="AA165" s="247"/>
    </row>
    <row r="166" spans="2:33" customFormat="1" ht="17.25" customHeight="1">
      <c r="AD166" s="218"/>
    </row>
    <row r="167" spans="2:33" customFormat="1" ht="17.25" customHeight="1" thickBot="1">
      <c r="C167" s="460" t="s">
        <v>444</v>
      </c>
      <c r="D167" s="460"/>
      <c r="E167" s="460"/>
      <c r="F167" s="460"/>
      <c r="G167" s="189"/>
      <c r="H167" s="98"/>
      <c r="I167" s="98"/>
      <c r="J167" s="98"/>
      <c r="K167" s="98"/>
      <c r="L167" s="98"/>
      <c r="Q167" s="240" t="s">
        <v>450</v>
      </c>
      <c r="R167" s="240"/>
      <c r="S167" s="240"/>
      <c r="T167" s="240"/>
      <c r="U167" s="240"/>
      <c r="V167" s="240"/>
      <c r="W167" s="240"/>
      <c r="AC167" t="s">
        <v>509</v>
      </c>
      <c r="AD167" s="218"/>
      <c r="AE167" t="b">
        <f>(ABS(D172-90)&lt;0.1)</f>
        <v>0</v>
      </c>
    </row>
    <row r="168" spans="2:33" customFormat="1" ht="17.25" customHeight="1" thickTop="1" thickBot="1">
      <c r="D168" s="242" t="s">
        <v>49</v>
      </c>
      <c r="E168" s="459">
        <v>46</v>
      </c>
      <c r="F168" s="459"/>
      <c r="G168" s="415" t="str" cm="1">
        <f t="array" ref="G168">latitudeDecimal2Txt(E168)</f>
        <v>N 46°00.00 (N 46.0000) [N 46°00'00.00]</v>
      </c>
      <c r="H168" s="415"/>
      <c r="I168" s="415"/>
      <c r="J168" s="415"/>
      <c r="K168" s="415"/>
      <c r="L168" s="415"/>
      <c r="R168" s="241" t="s">
        <v>49</v>
      </c>
      <c r="S168" s="419">
        <f>AG172</f>
        <v>-39.758012601892773</v>
      </c>
      <c r="T168" s="419"/>
      <c r="U168" s="415" t="str" cm="1">
        <f t="array" ref="U168">latitudeDecimal2Txt(S168)</f>
        <v>S 39°45.48 (S 39.7580) [S 39°45'28.84]</v>
      </c>
      <c r="V168" s="415"/>
      <c r="W168" s="415"/>
      <c r="X168" s="415"/>
      <c r="Y168" s="415"/>
      <c r="Z168" s="415"/>
      <c r="AC168" s="269" t="s">
        <v>510</v>
      </c>
      <c r="AD168" s="270">
        <f>R162</f>
        <v>3.707247341336668</v>
      </c>
    </row>
    <row r="169" spans="2:33" customFormat="1" ht="17.25" customHeight="1" thickTop="1" thickBot="1">
      <c r="D169" s="242" t="s">
        <v>50</v>
      </c>
      <c r="E169" s="459">
        <v>-7</v>
      </c>
      <c r="F169" s="459"/>
      <c r="G169" s="415" t="str" cm="1">
        <f t="array" ref="G169">longitudeDecimal2Txt(E169)</f>
        <v>W 07°00.00 (W 07.0000) [W 07°00'00.00]</v>
      </c>
      <c r="H169" s="415"/>
      <c r="I169" s="415"/>
      <c r="J169" s="415"/>
      <c r="K169" s="415"/>
      <c r="L169" s="415"/>
      <c r="R169" s="241" t="s">
        <v>50</v>
      </c>
      <c r="S169" s="419">
        <f>AG173</f>
        <v>-6.9999999999999849</v>
      </c>
      <c r="T169" s="419"/>
      <c r="U169" s="415" t="str" cm="1">
        <f t="array" ref="U169">longitudeDecimal2Txt(S169)</f>
        <v>W 06°59.99 (W 06.9999) [W 06°59'59.99]</v>
      </c>
      <c r="V169" s="415"/>
      <c r="W169" s="415"/>
      <c r="X169" s="415"/>
      <c r="Y169" s="415"/>
      <c r="Z169" s="415"/>
      <c r="AC169" s="271" t="s">
        <v>512</v>
      </c>
      <c r="AD169" s="270">
        <f>S158</f>
        <v>48.890773188312849</v>
      </c>
    </row>
    <row r="170" spans="2:33" customFormat="1" ht="17.25" customHeight="1" thickTop="1"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AC170" s="269" t="s">
        <v>513</v>
      </c>
      <c r="AD170" s="270">
        <f>S159</f>
        <v>1.7360452926151542</v>
      </c>
    </row>
    <row r="171" spans="2:33" customFormat="1" ht="17.25" customHeight="1">
      <c r="C171" s="460" t="s">
        <v>445</v>
      </c>
      <c r="D171" s="460"/>
      <c r="E171" s="460"/>
      <c r="F171" s="244"/>
      <c r="G171" s="98"/>
      <c r="H171" s="98"/>
      <c r="I171" s="98"/>
      <c r="J171" s="98"/>
      <c r="K171" s="98"/>
      <c r="L171" s="98"/>
      <c r="AC171" s="269" t="s">
        <v>459</v>
      </c>
      <c r="AD171" s="269">
        <f>TAN(AD168*Outils!F10) * (1 / COS(AD169*Outils!F10))</f>
        <v>9.854669993213086E-2</v>
      </c>
    </row>
    <row r="172" spans="2:33" customFormat="1" ht="17.25" customHeight="1">
      <c r="D172" s="459">
        <v>180</v>
      </c>
      <c r="E172" s="459"/>
      <c r="F172" s="248" t="s">
        <v>34</v>
      </c>
      <c r="G172" s="98"/>
      <c r="H172" s="98"/>
      <c r="I172" s="98"/>
      <c r="J172" s="98"/>
      <c r="K172" s="98"/>
      <c r="L172" s="98"/>
      <c r="AC172" s="269" t="s">
        <v>460</v>
      </c>
      <c r="AD172" s="269">
        <f>AD170-AD169*AD171</f>
        <v>-3.0819790622233807</v>
      </c>
      <c r="AE172" s="416" t="s">
        <v>517</v>
      </c>
      <c r="AF172" s="416"/>
      <c r="AG172" s="272">
        <f>(AD177-AD172)/(AD171-AD176)</f>
        <v>-39.758012601892773</v>
      </c>
    </row>
    <row r="173" spans="2:33" customFormat="1" ht="15">
      <c r="AC173" s="266" t="s">
        <v>511</v>
      </c>
      <c r="AD173" s="267">
        <f>D172</f>
        <v>180</v>
      </c>
      <c r="AE173" s="416"/>
      <c r="AF173" s="416"/>
      <c r="AG173" s="272">
        <f>AD171*AG172+AD172</f>
        <v>-6.9999999999999849</v>
      </c>
    </row>
    <row r="174" spans="2:33" customFormat="1" ht="18.75">
      <c r="S174" s="98"/>
      <c r="T174" s="98"/>
      <c r="AC174" s="268" t="s">
        <v>512</v>
      </c>
      <c r="AD174" s="267">
        <f>E168</f>
        <v>46</v>
      </c>
    </row>
    <row r="175" spans="2:33" customFormat="1" ht="18">
      <c r="AC175" s="266" t="s">
        <v>513</v>
      </c>
      <c r="AD175" s="267">
        <f>E169</f>
        <v>-7</v>
      </c>
      <c r="AE175" s="416" t="s">
        <v>518</v>
      </c>
      <c r="AF175" s="416"/>
      <c r="AG175" s="273">
        <f>E168</f>
        <v>46</v>
      </c>
    </row>
    <row r="176" spans="2:33" customFormat="1" ht="17.25" customHeight="1">
      <c r="P176" s="98"/>
      <c r="Q176" s="98"/>
      <c r="AC176" s="266" t="s">
        <v>514</v>
      </c>
      <c r="AD176" s="266">
        <f>TAN(AD173*Outils!F10) * (1 / COS(AD174*Outils!F10))</f>
        <v>-1.7636704702760584E-16</v>
      </c>
      <c r="AE176" s="416"/>
      <c r="AF176" s="416"/>
      <c r="AG176" s="272">
        <f>E169+(E168-S158)*TAN(R162*Outils!F10)/COS(Outils!F10*S158)</f>
        <v>-7.2848761579605155</v>
      </c>
    </row>
    <row r="177" spans="11:33" customFormat="1" ht="17.25" customHeight="1">
      <c r="AC177" s="266" t="s">
        <v>515</v>
      </c>
      <c r="AD177" s="266">
        <f>AD175-AD174*AD176</f>
        <v>-6.999999999999992</v>
      </c>
    </row>
    <row r="178" spans="11:33" customFormat="1" ht="15">
      <c r="K178" s="98"/>
      <c r="L178" s="98"/>
      <c r="AE178" s="416" t="s">
        <v>516</v>
      </c>
      <c r="AF178" s="416"/>
      <c r="AG178" s="272">
        <f>IF($AE$167,AG175,AG172)</f>
        <v>-39.758012601892773</v>
      </c>
    </row>
    <row r="179" spans="11:33" customFormat="1" ht="15">
      <c r="K179" s="98"/>
      <c r="L179" s="98"/>
      <c r="AC179" s="266"/>
      <c r="AE179" s="416"/>
      <c r="AF179" s="416"/>
      <c r="AG179" s="272">
        <f>IF($AE$167,AG176,AG173)</f>
        <v>-6.9999999999999849</v>
      </c>
    </row>
    <row r="180" spans="11:33" customFormat="1" ht="15">
      <c r="K180" s="98"/>
      <c r="L180" s="98"/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s="16" customFormat="1" ht="15">
      <c r="AA185" s="31"/>
      <c r="AB185"/>
      <c r="AC185"/>
      <c r="AD185"/>
    </row>
  </sheetData>
  <sheetProtection selectLockedCells="1"/>
  <protectedRanges>
    <protectedRange sqref="I11:Y11" name="Heure visee" securityDescriptor="O:WDG:WDD:(A;;CC;;;WD)"/>
  </protectedRanges>
  <dataConsolidate link="1"/>
  <mergeCells count="337">
    <mergeCell ref="S135:S136"/>
    <mergeCell ref="T135:U135"/>
    <mergeCell ref="T136:U136"/>
    <mergeCell ref="V135:W135"/>
    <mergeCell ref="V136:W136"/>
    <mergeCell ref="X135:AC135"/>
    <mergeCell ref="X136:AC136"/>
    <mergeCell ref="P26:X26"/>
    <mergeCell ref="C19:I19"/>
    <mergeCell ref="C22:I22"/>
    <mergeCell ref="C21:I21"/>
    <mergeCell ref="J21:L21"/>
    <mergeCell ref="A35:C35"/>
    <mergeCell ref="C20:I20"/>
    <mergeCell ref="C23:D23"/>
    <mergeCell ref="C45:F45"/>
    <mergeCell ref="P19:X19"/>
    <mergeCell ref="E33:H34"/>
    <mergeCell ref="F85:H85"/>
    <mergeCell ref="I82:L82"/>
    <mergeCell ref="I47:L48"/>
    <mergeCell ref="M51:O52"/>
    <mergeCell ref="P51:P52"/>
    <mergeCell ref="Q51:T52"/>
    <mergeCell ref="AC63:AC64"/>
    <mergeCell ref="AC45:AC46"/>
    <mergeCell ref="AC86:AC87"/>
    <mergeCell ref="C82:H82"/>
    <mergeCell ref="I57:L58"/>
    <mergeCell ref="M57:O58"/>
    <mergeCell ref="I55:L56"/>
    <mergeCell ref="M55:O56"/>
    <mergeCell ref="Q75:T76"/>
    <mergeCell ref="V57:Y58"/>
    <mergeCell ref="Q57:T58"/>
    <mergeCell ref="P55:T56"/>
    <mergeCell ref="U59:Y59"/>
    <mergeCell ref="U77:Y77"/>
    <mergeCell ref="P77:T77"/>
    <mergeCell ref="J87:L87"/>
    <mergeCell ref="S85:U85"/>
    <mergeCell ref="V85:Z85"/>
    <mergeCell ref="H88:N88"/>
    <mergeCell ref="O100:R100"/>
    <mergeCell ref="G109:H110"/>
    <mergeCell ref="E12:H12"/>
    <mergeCell ref="U67:Y68"/>
    <mergeCell ref="U69:Y70"/>
    <mergeCell ref="C18:I18"/>
    <mergeCell ref="F71:K71"/>
    <mergeCell ref="F67:H70"/>
    <mergeCell ref="F59:K59"/>
    <mergeCell ref="J20:L20"/>
    <mergeCell ref="D24:I26"/>
    <mergeCell ref="P17:X17"/>
    <mergeCell ref="P15:X15"/>
    <mergeCell ref="P59:T59"/>
    <mergeCell ref="F57:H58"/>
    <mergeCell ref="J17:L17"/>
    <mergeCell ref="I67:L70"/>
    <mergeCell ref="M65:O66"/>
    <mergeCell ref="U55:Y56"/>
    <mergeCell ref="P49:P50"/>
    <mergeCell ref="Q49:T50"/>
    <mergeCell ref="I49:L52"/>
    <mergeCell ref="M49:O50"/>
    <mergeCell ref="O105:R105"/>
    <mergeCell ref="M85:N85"/>
    <mergeCell ref="O123:P123"/>
    <mergeCell ref="AD105:AE105"/>
    <mergeCell ref="AD106:AE106"/>
    <mergeCell ref="AD107:AE107"/>
    <mergeCell ref="AD109:AE109"/>
    <mergeCell ref="D85:E85"/>
    <mergeCell ref="I146:I147"/>
    <mergeCell ref="O146:O147"/>
    <mergeCell ref="S100:U100"/>
    <mergeCell ref="S101:U101"/>
    <mergeCell ref="U88:Z88"/>
    <mergeCell ref="H100:N100"/>
    <mergeCell ref="O88:R88"/>
    <mergeCell ref="O111:R112"/>
    <mergeCell ref="U115:Z115"/>
    <mergeCell ref="U106:Z106"/>
    <mergeCell ref="U89:Z89"/>
    <mergeCell ref="M91:P91"/>
    <mergeCell ref="U92:Z92"/>
    <mergeCell ref="U96:Z96"/>
    <mergeCell ref="O89:R89"/>
    <mergeCell ref="H101:N101"/>
    <mergeCell ref="I65:L66"/>
    <mergeCell ref="M69:O70"/>
    <mergeCell ref="M67:O68"/>
    <mergeCell ref="G63:I63"/>
    <mergeCell ref="P65:T66"/>
    <mergeCell ref="P67:P68"/>
    <mergeCell ref="Q67:T68"/>
    <mergeCell ref="P69:P70"/>
    <mergeCell ref="Q69:T70"/>
    <mergeCell ref="J81:L81"/>
    <mergeCell ref="G86:I86"/>
    <mergeCell ref="I83:N83"/>
    <mergeCell ref="F87:I87"/>
    <mergeCell ref="E8:G8"/>
    <mergeCell ref="U49:Y50"/>
    <mergeCell ref="M21:O21"/>
    <mergeCell ref="F44:H44"/>
    <mergeCell ref="I35:I36"/>
    <mergeCell ref="F53:K53"/>
    <mergeCell ref="C27:I30"/>
    <mergeCell ref="J23:L26"/>
    <mergeCell ref="M23:O26"/>
    <mergeCell ref="P23:R24"/>
    <mergeCell ref="J27:L30"/>
    <mergeCell ref="M27:O30"/>
    <mergeCell ref="P27:R28"/>
    <mergeCell ref="I40:I41"/>
    <mergeCell ref="V11:Y11"/>
    <mergeCell ref="L11:P11"/>
    <mergeCell ref="Q11:U11"/>
    <mergeCell ref="J19:L19"/>
    <mergeCell ref="J18:L18"/>
    <mergeCell ref="F49:H52"/>
    <mergeCell ref="C15:I15"/>
    <mergeCell ref="J15:L15"/>
    <mergeCell ref="M15:O15"/>
    <mergeCell ref="V9:Y10"/>
    <mergeCell ref="U51:Y52"/>
    <mergeCell ref="M22:O22"/>
    <mergeCell ref="J22:L22"/>
    <mergeCell ref="O35:X36"/>
    <mergeCell ref="O40:X41"/>
    <mergeCell ref="F35:H36"/>
    <mergeCell ref="F40:H41"/>
    <mergeCell ref="E38:H39"/>
    <mergeCell ref="F47:H48"/>
    <mergeCell ref="P30:X30"/>
    <mergeCell ref="M20:O20"/>
    <mergeCell ref="J35:N36"/>
    <mergeCell ref="S29:X29"/>
    <mergeCell ref="P25:R25"/>
    <mergeCell ref="P29:R29"/>
    <mergeCell ref="I11:K11"/>
    <mergeCell ref="I9:K10"/>
    <mergeCell ref="L9:P10"/>
    <mergeCell ref="M19:O19"/>
    <mergeCell ref="M18:O18"/>
    <mergeCell ref="Q9:U10"/>
    <mergeCell ref="C17:I17"/>
    <mergeCell ref="G108:S108"/>
    <mergeCell ref="S109:S110"/>
    <mergeCell ref="U102:Z102"/>
    <mergeCell ref="H90:N90"/>
    <mergeCell ref="F65:H66"/>
    <mergeCell ref="U125:Z125"/>
    <mergeCell ref="W123:AA123"/>
    <mergeCell ref="I75:L76"/>
    <mergeCell ref="M75:O76"/>
    <mergeCell ref="F81:H81"/>
    <mergeCell ref="F75:H76"/>
    <mergeCell ref="N82:Q82"/>
    <mergeCell ref="O92:P92"/>
    <mergeCell ref="M81:O81"/>
    <mergeCell ref="M94:P94"/>
    <mergeCell ref="M95:P95"/>
    <mergeCell ref="O96:R96"/>
    <mergeCell ref="C86:F86"/>
    <mergeCell ref="R92:S92"/>
    <mergeCell ref="I109:N109"/>
    <mergeCell ref="I111:N111"/>
    <mergeCell ref="I110:N110"/>
    <mergeCell ref="S99:U99"/>
    <mergeCell ref="O104:R104"/>
    <mergeCell ref="H89:N89"/>
    <mergeCell ref="U90:Z90"/>
    <mergeCell ref="O109:R110"/>
    <mergeCell ref="S111:S112"/>
    <mergeCell ref="I112:N112"/>
    <mergeCell ref="E129:H131"/>
    <mergeCell ref="E133:H135"/>
    <mergeCell ref="Q129:S129"/>
    <mergeCell ref="Q130:S130"/>
    <mergeCell ref="H97:N97"/>
    <mergeCell ref="O97:R97"/>
    <mergeCell ref="O101:R101"/>
    <mergeCell ref="H102:N102"/>
    <mergeCell ref="O102:R102"/>
    <mergeCell ref="H106:N106"/>
    <mergeCell ref="O106:R106"/>
    <mergeCell ref="H115:N115"/>
    <mergeCell ref="O115:R115"/>
    <mergeCell ref="H125:N125"/>
    <mergeCell ref="O125:R125"/>
    <mergeCell ref="F117:I117"/>
    <mergeCell ref="H104:N104"/>
    <mergeCell ref="O113:R113"/>
    <mergeCell ref="L122:M122"/>
    <mergeCell ref="L123:M123"/>
    <mergeCell ref="O122:P122"/>
    <mergeCell ref="E141:H143"/>
    <mergeCell ref="X141:X143"/>
    <mergeCell ref="O142:P142"/>
    <mergeCell ref="Q142:S142"/>
    <mergeCell ref="U142:W142"/>
    <mergeCell ref="O143:P143"/>
    <mergeCell ref="Q143:S143"/>
    <mergeCell ref="U143:W143"/>
    <mergeCell ref="O141:P141"/>
    <mergeCell ref="Q141:S141"/>
    <mergeCell ref="T141:T143"/>
    <mergeCell ref="U141:W141"/>
    <mergeCell ref="O128:AA128"/>
    <mergeCell ref="O140:AA140"/>
    <mergeCell ref="U119:V119"/>
    <mergeCell ref="U120:V120"/>
    <mergeCell ref="U121:V121"/>
    <mergeCell ref="K121:K122"/>
    <mergeCell ref="N121:N122"/>
    <mergeCell ref="Q121:Q122"/>
    <mergeCell ref="T148:V148"/>
    <mergeCell ref="T149:V149"/>
    <mergeCell ref="T152:Y152"/>
    <mergeCell ref="X149:Z149"/>
    <mergeCell ref="I150:J150"/>
    <mergeCell ref="I151:J151"/>
    <mergeCell ref="N149:O149"/>
    <mergeCell ref="U129:W129"/>
    <mergeCell ref="U130:W130"/>
    <mergeCell ref="U131:W131"/>
    <mergeCell ref="O129:P129"/>
    <mergeCell ref="O130:P130"/>
    <mergeCell ref="O131:P131"/>
    <mergeCell ref="O134:S134"/>
    <mergeCell ref="X129:X131"/>
    <mergeCell ref="T129:T131"/>
    <mergeCell ref="I131:M131"/>
    <mergeCell ref="X134:Y134"/>
    <mergeCell ref="X148:Z148"/>
    <mergeCell ref="J146:L146"/>
    <mergeCell ref="J147:L147"/>
    <mergeCell ref="M146:N146"/>
    <mergeCell ref="M147:N147"/>
    <mergeCell ref="P146:R146"/>
    <mergeCell ref="P147:R147"/>
    <mergeCell ref="S146:T146"/>
    <mergeCell ref="S147:T147"/>
    <mergeCell ref="Q149:S149"/>
    <mergeCell ref="G1:Y2"/>
    <mergeCell ref="C8:D8"/>
    <mergeCell ref="C9:D11"/>
    <mergeCell ref="G3:I4"/>
    <mergeCell ref="J3:L4"/>
    <mergeCell ref="C1:F4"/>
    <mergeCell ref="L62:M62"/>
    <mergeCell ref="C63:F63"/>
    <mergeCell ref="F62:H62"/>
    <mergeCell ref="M47:O48"/>
    <mergeCell ref="E9:H10"/>
    <mergeCell ref="G45:I45"/>
    <mergeCell ref="M17:O17"/>
    <mergeCell ref="U57:U58"/>
    <mergeCell ref="F55:H56"/>
    <mergeCell ref="P20:X20"/>
    <mergeCell ref="J40:N41"/>
    <mergeCell ref="P47:T48"/>
    <mergeCell ref="P57:P58"/>
    <mergeCell ref="S25:X25"/>
    <mergeCell ref="F77:K77"/>
    <mergeCell ref="V75:Y76"/>
    <mergeCell ref="U75:U76"/>
    <mergeCell ref="P75:P76"/>
    <mergeCell ref="P73:T74"/>
    <mergeCell ref="U73:Y74"/>
    <mergeCell ref="I73:L74"/>
    <mergeCell ref="F73:H74"/>
    <mergeCell ref="M73:O74"/>
    <mergeCell ref="E169:F169"/>
    <mergeCell ref="G169:L169"/>
    <mergeCell ref="C171:E171"/>
    <mergeCell ref="D172:E172"/>
    <mergeCell ref="C157:F157"/>
    <mergeCell ref="L152:M152"/>
    <mergeCell ref="I152:K152"/>
    <mergeCell ref="H157:J157"/>
    <mergeCell ref="L157:N157"/>
    <mergeCell ref="E158:F158"/>
    <mergeCell ref="E159:F159"/>
    <mergeCell ref="I158:J158"/>
    <mergeCell ref="M158:N158"/>
    <mergeCell ref="C167:F167"/>
    <mergeCell ref="E168:F168"/>
    <mergeCell ref="N3:P4"/>
    <mergeCell ref="Q3:S4"/>
    <mergeCell ref="I8:K8"/>
    <mergeCell ref="L8:O8"/>
    <mergeCell ref="Q131:S131"/>
    <mergeCell ref="L150:M150"/>
    <mergeCell ref="L151:M151"/>
    <mergeCell ref="O145:T145"/>
    <mergeCell ref="I145:N145"/>
    <mergeCell ref="I141:M142"/>
    <mergeCell ref="O90:R90"/>
    <mergeCell ref="H96:N96"/>
    <mergeCell ref="I143:M143"/>
    <mergeCell ref="I133:M134"/>
    <mergeCell ref="I135:M135"/>
    <mergeCell ref="I129:M130"/>
    <mergeCell ref="T151:U151"/>
    <mergeCell ref="T7:V7"/>
    <mergeCell ref="U97:Z97"/>
    <mergeCell ref="H92:N92"/>
    <mergeCell ref="J117:L117"/>
    <mergeCell ref="H105:N105"/>
    <mergeCell ref="I113:N113"/>
    <mergeCell ref="E11:H11"/>
    <mergeCell ref="X7:Y7"/>
    <mergeCell ref="AC28:AN28"/>
    <mergeCell ref="G168:L168"/>
    <mergeCell ref="AE172:AF173"/>
    <mergeCell ref="AE175:AF176"/>
    <mergeCell ref="AE178:AF179"/>
    <mergeCell ref="O151:S151"/>
    <mergeCell ref="S169:T169"/>
    <mergeCell ref="U169:Z169"/>
    <mergeCell ref="S158:T158"/>
    <mergeCell ref="S159:T159"/>
    <mergeCell ref="R162:S162"/>
    <mergeCell ref="Q157:T157"/>
    <mergeCell ref="Q161:S161"/>
    <mergeCell ref="U158:Z158"/>
    <mergeCell ref="U159:Z159"/>
    <mergeCell ref="S168:T168"/>
    <mergeCell ref="U168:Z168"/>
    <mergeCell ref="P16:X16"/>
    <mergeCell ref="M16:O16"/>
    <mergeCell ref="J16:L16"/>
    <mergeCell ref="C16:I16"/>
  </mergeCells>
  <dataValidations count="7">
    <dataValidation type="list" allowBlank="1" showInputMessage="1" showErrorMessage="1" sqref="G45:I45" xr:uid="{00000000-0002-0000-0000-000001000000}">
      <formula1>$AD$45:$AD$46</formula1>
    </dataValidation>
    <dataValidation type="list" allowBlank="1" showInputMessage="1" showErrorMessage="1" sqref="G63:I63" xr:uid="{50D1CF2E-A52D-457F-A9A8-4919FA8F17C2}">
      <formula1>$AD$63:$AD$64</formula1>
    </dataValidation>
    <dataValidation type="list" allowBlank="1" showInputMessage="1" showErrorMessage="1" sqref="G86:I86" xr:uid="{00000000-0002-0000-0000-000005000000}">
      <formula1>$AD$86:$AD$87</formula1>
    </dataValidation>
    <dataValidation type="list" allowBlank="1" showInputMessage="1" showErrorMessage="1" sqref="M21:O21" xr:uid="{00000000-0002-0000-0000-000000000000}">
      <formula1>$AD$22:$AF$22</formula1>
    </dataValidation>
    <dataValidation type="list" allowBlank="1" showInputMessage="1" showErrorMessage="1" sqref="M22:O22" xr:uid="{00000000-0002-0000-0000-000004000000}">
      <formula1>$AD$26:$AF$26</formula1>
    </dataValidation>
    <dataValidation type="list" allowBlank="1" showInputMessage="1" showErrorMessage="1" sqref="I35:I36 P80 P49:P52 U57:U58 P57:P58 U80" xr:uid="{00000000-0002-0000-0000-000002000000}">
      <formula1>$A$37:$A$38</formula1>
    </dataValidation>
    <dataValidation type="list" allowBlank="1" showInputMessage="1" showErrorMessage="1" sqref="M42 U75 P67 P69 P75 R42 I40 I42" xr:uid="{00000000-0002-0000-0000-000003000000}">
      <formula1>$B$37:$B$38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11" zoomScaleNormal="100" workbookViewId="0">
      <selection activeCell="E11" sqref="E11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74" customWidth="1"/>
    <col min="29" max="30" width="16.140625" customWidth="1"/>
    <col min="33" max="33" width="9.5703125" bestFit="1" customWidth="1"/>
  </cols>
  <sheetData>
    <row r="1" spans="1:66" s="98" customFormat="1" ht="17.25" customHeight="1"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  <c r="AB1" s="26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  <c r="AB2" s="26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506"/>
      <c r="D3" s="506"/>
      <c r="E3" s="506"/>
      <c r="F3" s="506"/>
      <c r="G3" s="502" t="s">
        <v>233</v>
      </c>
      <c r="H3" s="502"/>
      <c r="I3" s="502"/>
      <c r="J3" s="504" t="s">
        <v>232</v>
      </c>
      <c r="K3" s="504"/>
      <c r="L3" s="504"/>
      <c r="N3" s="434" t="s">
        <v>435</v>
      </c>
      <c r="O3" s="434"/>
      <c r="P3" s="434"/>
      <c r="Q3" s="435" t="s">
        <v>353</v>
      </c>
      <c r="R3" s="435"/>
      <c r="S3" s="435"/>
      <c r="AB3" s="26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506"/>
      <c r="D4" s="506"/>
      <c r="E4" s="506"/>
      <c r="F4" s="506"/>
      <c r="G4" s="503"/>
      <c r="H4" s="503"/>
      <c r="I4" s="503"/>
      <c r="J4" s="505"/>
      <c r="K4" s="505"/>
      <c r="L4" s="505"/>
      <c r="N4" s="434"/>
      <c r="O4" s="434"/>
      <c r="P4" s="434"/>
      <c r="Q4" s="435"/>
      <c r="R4" s="435"/>
      <c r="S4" s="435"/>
      <c r="AB4" s="26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488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64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498" t="s">
        <v>1</v>
      </c>
      <c r="D8" s="499"/>
      <c r="E8" s="632" t="s">
        <v>436</v>
      </c>
      <c r="F8" s="633"/>
      <c r="G8" s="633"/>
      <c r="H8"/>
      <c r="I8"/>
      <c r="J8"/>
      <c r="K8"/>
      <c r="L8"/>
      <c r="M8"/>
      <c r="N8"/>
      <c r="O8"/>
      <c r="AB8" s="14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731" t="s">
        <v>7</v>
      </c>
      <c r="F9" s="731"/>
      <c r="G9" s="731"/>
      <c r="H9" s="731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6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731"/>
      <c r="F10" s="731"/>
      <c r="G10" s="731"/>
      <c r="H10" s="731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6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725" t="s">
        <v>41</v>
      </c>
      <c r="B11" s="726"/>
      <c r="C11" s="727"/>
      <c r="D11" s="96"/>
      <c r="E11" s="96"/>
      <c r="F11" s="598">
        <f>AD12</f>
        <v>46.1</v>
      </c>
      <c r="G11" s="621"/>
      <c r="H11" s="621"/>
      <c r="I11" s="517" t="s">
        <v>3</v>
      </c>
      <c r="J11" s="519" t="s">
        <v>506</v>
      </c>
      <c r="K11" s="517"/>
      <c r="L11" s="517"/>
      <c r="M11" s="517"/>
      <c r="N11" s="517"/>
      <c r="O11" s="448" t="str" cm="1">
        <f t="array" ref="O11">angleDecimal2Txt(F11)</f>
        <v>+46°06.00 (+46.1000) [+46°06'00.00]</v>
      </c>
      <c r="P11" s="448"/>
      <c r="Q11" s="448"/>
      <c r="R11" s="448"/>
      <c r="S11" s="448"/>
      <c r="T11" s="448"/>
      <c r="U11" s="448"/>
      <c r="V11" s="448"/>
      <c r="W11" s="448"/>
      <c r="X11" s="448"/>
      <c r="Y11" s="96"/>
      <c r="Z11" s="96"/>
      <c r="AB11" s="263"/>
      <c r="AC11" s="261" t="s">
        <v>325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621"/>
      <c r="G12" s="621"/>
      <c r="H12" s="621"/>
      <c r="I12" s="517"/>
      <c r="J12" s="517"/>
      <c r="K12" s="517"/>
      <c r="L12" s="517"/>
      <c r="M12" s="517"/>
      <c r="N12" s="517"/>
      <c r="O12" s="448"/>
      <c r="P12" s="448"/>
      <c r="Q12" s="448"/>
      <c r="R12" s="448"/>
      <c r="S12" s="448"/>
      <c r="T12" s="448"/>
      <c r="U12" s="448"/>
      <c r="V12" s="448"/>
      <c r="W12" s="448"/>
      <c r="X12" s="448"/>
      <c r="Y12" s="96"/>
      <c r="Z12" s="96"/>
      <c r="AB12" s="263"/>
      <c r="AC12" s="261" t="s">
        <v>326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6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622" t="s">
        <v>8</v>
      </c>
      <c r="F14" s="622"/>
      <c r="G14" s="622"/>
      <c r="H14" s="62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6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622"/>
      <c r="F15" s="622"/>
      <c r="G15" s="622"/>
      <c r="H15" s="62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6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598">
        <f>AD17</f>
        <v>-7.083333333333333</v>
      </c>
      <c r="G16" s="621"/>
      <c r="H16" s="621"/>
      <c r="I16" s="517" t="s">
        <v>6</v>
      </c>
      <c r="J16" s="519" t="s">
        <v>507</v>
      </c>
      <c r="K16" s="517"/>
      <c r="L16" s="517"/>
      <c r="M16" s="517"/>
      <c r="N16" s="517"/>
      <c r="O16" s="448" t="str" cm="1">
        <f t="array" ref="O16">angleDecimal2Txt(F16)</f>
        <v>-07°05.00 (-07.0833) [-07°05'00.00]</v>
      </c>
      <c r="P16" s="448"/>
      <c r="Q16" s="448"/>
      <c r="R16" s="448"/>
      <c r="S16" s="448"/>
      <c r="T16" s="448"/>
      <c r="U16" s="448"/>
      <c r="V16" s="448"/>
      <c r="W16" s="448"/>
      <c r="X16" s="448"/>
      <c r="Y16" s="96"/>
      <c r="Z16" s="96"/>
      <c r="AB16" s="263"/>
      <c r="AC16" s="261" t="s">
        <v>327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621"/>
      <c r="G17" s="621"/>
      <c r="H17" s="621"/>
      <c r="I17" s="517"/>
      <c r="J17" s="517"/>
      <c r="K17" s="517"/>
      <c r="L17" s="517"/>
      <c r="M17" s="517"/>
      <c r="N17" s="517"/>
      <c r="O17" s="448"/>
      <c r="P17" s="448"/>
      <c r="Q17" s="448"/>
      <c r="R17" s="448"/>
      <c r="S17" s="448"/>
      <c r="T17" s="448"/>
      <c r="U17" s="448"/>
      <c r="V17" s="448"/>
      <c r="W17" s="448"/>
      <c r="X17" s="448"/>
      <c r="Y17" s="96"/>
      <c r="Z17" s="96"/>
      <c r="AB17" s="263"/>
      <c r="AC17" s="261" t="s">
        <v>328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622" t="s">
        <v>473</v>
      </c>
      <c r="F19" s="622"/>
      <c r="G19" s="622"/>
      <c r="H19" s="62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622"/>
      <c r="F20" s="622"/>
      <c r="G20" s="622"/>
      <c r="H20" s="622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598">
        <f>heureConvert2Decimal(I21)</f>
        <v>10.340277777777779</v>
      </c>
      <c r="G21" s="621"/>
      <c r="H21" s="621"/>
      <c r="I21" s="834" t="s">
        <v>383</v>
      </c>
      <c r="J21" s="665"/>
      <c r="K21" s="665"/>
      <c r="L21" s="665"/>
      <c r="M21" s="665"/>
      <c r="N21" s="821"/>
      <c r="O21" s="448" t="str">
        <f>heureDecimal2Txt(F21)</f>
        <v>10:20:25.00(10.3402)</v>
      </c>
      <c r="P21" s="448"/>
      <c r="Q21" s="448"/>
      <c r="R21" s="448"/>
      <c r="S21" s="448"/>
      <c r="T21" s="448"/>
      <c r="U21" s="448"/>
      <c r="V21" s="448"/>
      <c r="W21" s="448"/>
      <c r="X21" s="448"/>
    </row>
    <row r="22" spans="2:66" ht="12" customHeight="1" thickTop="1" thickBot="1">
      <c r="E22" s="96"/>
      <c r="F22" s="621"/>
      <c r="G22" s="621"/>
      <c r="H22" s="621"/>
      <c r="I22" s="595"/>
      <c r="J22" s="596"/>
      <c r="K22" s="596"/>
      <c r="L22" s="596"/>
      <c r="M22" s="596"/>
      <c r="N22" s="823"/>
      <c r="O22" s="448"/>
      <c r="P22" s="448"/>
      <c r="Q22" s="448"/>
      <c r="R22" s="448"/>
      <c r="S22" s="448"/>
      <c r="T22" s="448"/>
      <c r="U22" s="448"/>
      <c r="V22" s="448"/>
      <c r="W22" s="448"/>
      <c r="X22" s="448"/>
    </row>
    <row r="23" spans="2:66" ht="15.75" thickTop="1"/>
    <row r="24" spans="2:66" ht="15.75" thickBot="1"/>
    <row r="25" spans="2:66" s="98" customFormat="1" ht="17.25" customHeight="1" thickBot="1">
      <c r="B25" s="107" t="s">
        <v>489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64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808" t="s">
        <v>492</v>
      </c>
      <c r="F26" s="809"/>
      <c r="G26" s="809"/>
      <c r="H26" s="809"/>
      <c r="I26" s="809"/>
      <c r="J26" s="809"/>
      <c r="K26" s="810"/>
    </row>
    <row r="27" spans="2:66" ht="12.75" customHeight="1" thickBot="1">
      <c r="E27" s="811"/>
      <c r="F27" s="812"/>
      <c r="G27" s="812"/>
      <c r="H27" s="812"/>
      <c r="I27" s="812"/>
      <c r="J27" s="812"/>
      <c r="K27" s="813"/>
    </row>
    <row r="28" spans="2:66" ht="12.75" customHeight="1" thickTop="1" thickBot="1">
      <c r="F28" s="597">
        <f>angleConvert2Decimal(I28)</f>
        <v>260</v>
      </c>
      <c r="G28" s="817"/>
      <c r="H28" s="817"/>
      <c r="I28" s="819">
        <v>260</v>
      </c>
      <c r="J28" s="820"/>
      <c r="K28" s="820"/>
      <c r="L28" s="665"/>
      <c r="M28" s="665"/>
      <c r="N28" s="821"/>
      <c r="O28" s="448" t="str" cm="1">
        <f t="array" ref="O28">angleDecimal2Txt(F28)</f>
        <v>+260°00.00 (+260.0000) [+260°00'00.00]</v>
      </c>
      <c r="P28" s="448"/>
      <c r="Q28" s="448"/>
      <c r="R28" s="448"/>
      <c r="S28" s="448"/>
      <c r="T28" s="448"/>
      <c r="U28" s="448"/>
      <c r="V28" s="448"/>
      <c r="W28" s="448"/>
      <c r="X28" s="448"/>
    </row>
    <row r="29" spans="2:66" ht="12.75" customHeight="1" thickTop="1" thickBot="1">
      <c r="F29" s="818"/>
      <c r="G29" s="818"/>
      <c r="H29" s="818"/>
      <c r="I29" s="822"/>
      <c r="J29" s="820"/>
      <c r="K29" s="820"/>
      <c r="L29" s="596"/>
      <c r="M29" s="596"/>
      <c r="N29" s="823"/>
      <c r="O29" s="448"/>
      <c r="P29" s="448"/>
      <c r="Q29" s="448"/>
      <c r="R29" s="448"/>
      <c r="S29" s="448"/>
      <c r="T29" s="448"/>
      <c r="U29" s="448"/>
      <c r="V29" s="448"/>
      <c r="W29" s="448"/>
      <c r="X29" s="448"/>
    </row>
    <row r="30" spans="2:66" ht="12.75" customHeight="1" thickTop="1">
      <c r="E30" s="477" t="s">
        <v>493</v>
      </c>
      <c r="F30" s="478"/>
      <c r="G30" s="478"/>
      <c r="H30" s="478"/>
      <c r="I30" s="478"/>
      <c r="J30" s="478"/>
      <c r="K30" s="479"/>
    </row>
    <row r="31" spans="2:66" ht="12.75" customHeight="1" thickBot="1">
      <c r="E31" s="480"/>
      <c r="F31" s="481"/>
      <c r="G31" s="481"/>
      <c r="H31" s="481"/>
      <c r="I31" s="481"/>
      <c r="J31" s="481"/>
      <c r="K31" s="482"/>
    </row>
    <row r="32" spans="2:66" ht="12.75" customHeight="1" thickTop="1" thickBot="1">
      <c r="F32" s="597">
        <f>I32</f>
        <v>5</v>
      </c>
      <c r="G32" s="817"/>
      <c r="H32" s="817"/>
      <c r="I32" s="819">
        <v>5</v>
      </c>
      <c r="J32" s="820"/>
      <c r="K32" s="820"/>
      <c r="L32" s="665"/>
      <c r="M32" s="665"/>
      <c r="N32" s="821"/>
      <c r="O32" s="448" t="str" cm="1">
        <f t="array" ref="O32">angleDecimal2Txt(F32)</f>
        <v>+05°00.00 (+05.0000) [+05°00'00.00]</v>
      </c>
      <c r="P32" s="448"/>
      <c r="Q32" s="448"/>
      <c r="R32" s="448"/>
      <c r="S32" s="448"/>
      <c r="T32" s="448"/>
      <c r="U32" s="448"/>
      <c r="V32" s="448"/>
      <c r="W32" s="448"/>
      <c r="X32" s="448"/>
    </row>
    <row r="33" spans="2:30" ht="12.75" customHeight="1" thickTop="1" thickBot="1">
      <c r="F33" s="818"/>
      <c r="G33" s="818"/>
      <c r="H33" s="818"/>
      <c r="I33" s="822"/>
      <c r="J33" s="820"/>
      <c r="K33" s="820"/>
      <c r="L33" s="820"/>
      <c r="M33" s="820"/>
      <c r="N33" s="823"/>
      <c r="O33" s="448"/>
      <c r="P33" s="448"/>
      <c r="Q33" s="448"/>
      <c r="R33" s="448"/>
      <c r="S33" s="448"/>
      <c r="T33" s="448"/>
      <c r="U33" s="448"/>
      <c r="V33" s="448"/>
      <c r="W33" s="448"/>
      <c r="X33" s="448"/>
    </row>
    <row r="34" spans="2:30" ht="12.75" customHeight="1" thickTop="1">
      <c r="E34" s="802" t="s">
        <v>491</v>
      </c>
      <c r="F34" s="803"/>
      <c r="G34" s="803"/>
      <c r="H34" s="803"/>
      <c r="I34" s="803"/>
      <c r="J34" s="803"/>
      <c r="K34" s="803"/>
      <c r="L34" s="803"/>
      <c r="M34" s="804"/>
    </row>
    <row r="35" spans="2:30" ht="12.75" customHeight="1" thickBot="1">
      <c r="E35" s="805"/>
      <c r="F35" s="806"/>
      <c r="G35" s="806"/>
      <c r="H35" s="806"/>
      <c r="I35" s="806"/>
      <c r="J35" s="806"/>
      <c r="K35" s="806"/>
      <c r="L35" s="806"/>
      <c r="M35" s="807"/>
    </row>
    <row r="36" spans="2:30" s="277" customFormat="1" ht="12.75" customHeight="1" thickTop="1" thickBot="1">
      <c r="F36" s="844">
        <f>AD37</f>
        <v>46.1</v>
      </c>
      <c r="G36" s="845"/>
      <c r="H36" s="845"/>
      <c r="I36" s="839" t="str">
        <f>I11</f>
        <v>N</v>
      </c>
      <c r="J36" s="841" t="str">
        <f>J11</f>
        <v>46°06</v>
      </c>
      <c r="K36" s="839"/>
      <c r="L36" s="839"/>
      <c r="M36" s="839"/>
      <c r="N36" s="840"/>
      <c r="O36" s="847" t="str" cm="1">
        <f t="array" ref="O36">angleDecimal2Txt(F36)</f>
        <v>+46°06.00 (+46.1000) [+46°06'00.00]</v>
      </c>
      <c r="P36" s="847"/>
      <c r="Q36" s="847"/>
      <c r="R36" s="847"/>
      <c r="S36" s="847"/>
      <c r="T36" s="847"/>
      <c r="U36" s="847"/>
      <c r="V36" s="847"/>
      <c r="W36" s="847"/>
      <c r="X36" s="847"/>
      <c r="AB36" s="278"/>
      <c r="AC36" s="262" t="s">
        <v>325</v>
      </c>
      <c r="AD36" s="256">
        <f>VLOOKUP(I36,$A$13:$C$14,3)</f>
        <v>1</v>
      </c>
    </row>
    <row r="37" spans="2:30" s="277" customFormat="1" ht="12.75" customHeight="1" thickTop="1" thickBot="1">
      <c r="F37" s="846"/>
      <c r="G37" s="846"/>
      <c r="H37" s="846"/>
      <c r="I37" s="840"/>
      <c r="J37" s="840"/>
      <c r="K37" s="840"/>
      <c r="L37" s="840"/>
      <c r="M37" s="840"/>
      <c r="N37" s="840"/>
      <c r="O37" s="847"/>
      <c r="P37" s="847"/>
      <c r="Q37" s="847"/>
      <c r="R37" s="847"/>
      <c r="S37" s="847"/>
      <c r="T37" s="847"/>
      <c r="U37" s="847"/>
      <c r="V37" s="847"/>
      <c r="W37" s="847"/>
      <c r="X37" s="847"/>
      <c r="AB37" s="278"/>
      <c r="AC37" s="262" t="s">
        <v>326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74"/>
      <c r="AC38"/>
      <c r="AD38"/>
    </row>
    <row r="39" spans="2:30" ht="15.75" thickBot="1"/>
    <row r="40" spans="2:30" ht="15.75" thickBot="1">
      <c r="B40" s="107" t="s">
        <v>490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64"/>
    </row>
    <row r="41" spans="2:30" ht="12" customHeight="1">
      <c r="E41" s="835" t="s">
        <v>474</v>
      </c>
      <c r="F41" s="836"/>
      <c r="G41" s="836"/>
      <c r="H41" s="836"/>
      <c r="I41" s="836"/>
      <c r="J41" s="836"/>
      <c r="K41" s="83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837"/>
      <c r="F42" s="838"/>
      <c r="G42" s="838"/>
      <c r="H42" s="838"/>
      <c r="I42" s="838"/>
      <c r="J42" s="838"/>
      <c r="K42" s="838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598">
        <f>heureConvert2Decimal(I43)</f>
        <v>12.051666666666668</v>
      </c>
      <c r="G43" s="621"/>
      <c r="H43" s="621"/>
      <c r="I43" s="834" t="s">
        <v>475</v>
      </c>
      <c r="J43" s="665"/>
      <c r="K43" s="665"/>
      <c r="L43" s="665"/>
      <c r="M43" s="665"/>
      <c r="N43" s="821"/>
      <c r="O43" s="448" t="str">
        <f>heureDecimal2Txt(F43)</f>
        <v>12:03:06.00(12.0516)</v>
      </c>
      <c r="P43" s="448"/>
      <c r="Q43" s="448"/>
      <c r="R43" s="448"/>
      <c r="S43" s="448"/>
      <c r="T43" s="448"/>
      <c r="U43" s="448"/>
      <c r="V43" s="448"/>
      <c r="W43" s="448"/>
      <c r="X43" s="448"/>
    </row>
    <row r="44" spans="2:30" ht="12" customHeight="1" thickTop="1" thickBot="1">
      <c r="E44" s="96"/>
      <c r="F44" s="621"/>
      <c r="G44" s="621"/>
      <c r="H44" s="621"/>
      <c r="I44" s="595"/>
      <c r="J44" s="596"/>
      <c r="K44" s="596"/>
      <c r="L44" s="596"/>
      <c r="M44" s="596"/>
      <c r="N44" s="823"/>
      <c r="O44" s="448"/>
      <c r="P44" s="448"/>
      <c r="Q44" s="448"/>
      <c r="R44" s="448"/>
      <c r="S44" s="448"/>
      <c r="T44" s="448"/>
      <c r="U44" s="448"/>
      <c r="V44" s="448"/>
      <c r="W44" s="448"/>
      <c r="X44" s="448"/>
    </row>
    <row r="45" spans="2:30" ht="15.75" thickTop="1"/>
    <row r="46" spans="2:30" ht="15.75" thickBot="1"/>
    <row r="47" spans="2:30" ht="15.75" thickBot="1">
      <c r="B47" s="797" t="s">
        <v>496</v>
      </c>
      <c r="C47" s="798"/>
      <c r="D47" s="798"/>
      <c r="E47" s="798"/>
      <c r="F47" s="798"/>
      <c r="G47" s="798"/>
      <c r="H47" s="798"/>
      <c r="I47" s="798"/>
      <c r="J47" s="798"/>
      <c r="K47" s="798"/>
      <c r="L47" s="798"/>
      <c r="M47" s="798"/>
      <c r="N47" s="798"/>
      <c r="O47" s="798"/>
      <c r="P47" s="798"/>
      <c r="Q47" s="798"/>
      <c r="R47" s="798"/>
      <c r="S47" s="798"/>
      <c r="T47" s="798"/>
      <c r="U47" s="798"/>
      <c r="V47" s="798"/>
      <c r="W47" s="798"/>
      <c r="X47" s="798"/>
      <c r="Y47" s="798"/>
      <c r="Z47" s="798"/>
      <c r="AA47" s="798"/>
      <c r="AB47" s="264"/>
    </row>
    <row r="49" spans="3:27">
      <c r="C49" s="814" t="s">
        <v>494</v>
      </c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6"/>
    </row>
    <row r="50" spans="3:27">
      <c r="C50" s="740" t="s">
        <v>148</v>
      </c>
      <c r="D50" s="740"/>
      <c r="E50" s="740">
        <f>F28</f>
        <v>260</v>
      </c>
      <c r="F50" s="740"/>
      <c r="G50" s="740"/>
      <c r="I50" s="832" t="s">
        <v>495</v>
      </c>
      <c r="J50" s="832"/>
      <c r="K50" s="795" t="b">
        <f>IF(E50&lt;180,TRUE,FALSE)</f>
        <v>0</v>
      </c>
      <c r="L50" s="795"/>
      <c r="N50" s="824" t="s">
        <v>469</v>
      </c>
      <c r="O50" s="824"/>
      <c r="P50" s="826">
        <f>E51*ABS(SIN(Outils!$F$10*Meridienne!E50))*(IF(K50,1,-1))</f>
        <v>-4.9240387650610398</v>
      </c>
      <c r="Q50" s="827"/>
      <c r="R50" s="830" t="s">
        <v>468</v>
      </c>
    </row>
    <row r="51" spans="3:27">
      <c r="C51" s="437" t="s">
        <v>147</v>
      </c>
      <c r="D51" s="437"/>
      <c r="E51" s="437">
        <f>F32</f>
        <v>5</v>
      </c>
      <c r="F51" s="437"/>
      <c r="G51" s="437"/>
      <c r="I51" s="833"/>
      <c r="J51" s="833"/>
      <c r="K51" s="796"/>
      <c r="L51" s="796"/>
      <c r="N51" s="825"/>
      <c r="O51" s="825"/>
      <c r="P51" s="828"/>
      <c r="Q51" s="829"/>
      <c r="R51" s="831"/>
    </row>
    <row r="54" spans="3:27">
      <c r="C54" s="814" t="s">
        <v>471</v>
      </c>
      <c r="D54" s="815"/>
      <c r="E54" s="815"/>
      <c r="F54" s="815"/>
      <c r="G54" s="815"/>
      <c r="H54" s="815"/>
      <c r="I54" s="815"/>
      <c r="J54" s="815"/>
      <c r="K54" s="852"/>
      <c r="L54" s="852"/>
      <c r="M54" s="852"/>
      <c r="N54" s="852"/>
      <c r="O54" s="853"/>
    </row>
    <row r="55" spans="3:27">
      <c r="C55" s="740" t="s">
        <v>447</v>
      </c>
      <c r="D55" s="740"/>
      <c r="E55" s="740">
        <f>F36</f>
        <v>46.1</v>
      </c>
      <c r="F55" s="740"/>
      <c r="G55" s="740"/>
      <c r="I55" s="857" t="s">
        <v>470</v>
      </c>
      <c r="J55" s="857"/>
      <c r="K55" s="854" t="s">
        <v>102</v>
      </c>
      <c r="L55" s="855">
        <f>$P$50/(60 * COS($E$55*Outils!$F$10))</f>
        <v>-0.11835462412189314</v>
      </c>
      <c r="M55" s="855"/>
      <c r="N55" s="855"/>
      <c r="O55" s="856" t="s">
        <v>472</v>
      </c>
      <c r="P55" s="825" t="str">
        <f>IF(K50,"Vers l'Est","Vers l'Ouest")</f>
        <v>Vers l'Ouest</v>
      </c>
      <c r="Q55" s="825"/>
      <c r="R55" s="825"/>
      <c r="U55" s="858" t="s">
        <v>499</v>
      </c>
      <c r="V55" s="859"/>
      <c r="W55" s="860"/>
      <c r="X55" s="864">
        <f>IF(K50,-1*ABS(L55),ABS(L55))</f>
        <v>0.11835462412189314</v>
      </c>
      <c r="Y55" s="865"/>
      <c r="Z55" s="865"/>
      <c r="AA55" s="800" t="s">
        <v>472</v>
      </c>
    </row>
    <row r="56" spans="3:27">
      <c r="C56" s="437" t="str">
        <f>N50</f>
        <v>VLong.</v>
      </c>
      <c r="D56" s="437"/>
      <c r="E56" s="437">
        <f>P50</f>
        <v>-4.9240387650610398</v>
      </c>
      <c r="F56" s="437"/>
      <c r="G56" s="437"/>
      <c r="I56" s="857"/>
      <c r="J56" s="857"/>
      <c r="K56" s="854"/>
      <c r="L56" s="855"/>
      <c r="M56" s="855"/>
      <c r="N56" s="855"/>
      <c r="O56" s="856"/>
      <c r="P56" s="825"/>
      <c r="Q56" s="825"/>
      <c r="R56" s="825"/>
      <c r="U56" s="861"/>
      <c r="V56" s="862"/>
      <c r="W56" s="863"/>
      <c r="X56" s="866"/>
      <c r="Y56" s="867"/>
      <c r="Z56" s="867"/>
      <c r="AA56" s="801"/>
    </row>
    <row r="59" spans="3:27" ht="18.75" customHeight="1">
      <c r="C59" s="849" t="s">
        <v>498</v>
      </c>
      <c r="D59" s="850"/>
      <c r="E59" s="850"/>
      <c r="F59" s="850"/>
      <c r="G59" s="850"/>
      <c r="H59" s="850"/>
      <c r="I59" s="850"/>
      <c r="J59" s="850"/>
      <c r="K59" s="850"/>
      <c r="L59" s="850"/>
      <c r="M59" s="850"/>
      <c r="N59" s="850"/>
      <c r="O59" s="851"/>
    </row>
    <row r="60" spans="3:27" ht="15" customHeight="1">
      <c r="C60" s="740" t="s">
        <v>328</v>
      </c>
      <c r="D60" s="740"/>
      <c r="E60" s="740">
        <f>F16</f>
        <v>-7.083333333333333</v>
      </c>
      <c r="F60" s="740"/>
      <c r="G60" s="740"/>
      <c r="I60" s="842" t="s">
        <v>476</v>
      </c>
      <c r="J60" s="843"/>
      <c r="K60" s="848">
        <f>longitude2LongitudeHoraire(E60)</f>
        <v>7.083333333333333</v>
      </c>
      <c r="L60" s="848"/>
      <c r="M60" s="848"/>
      <c r="N60" s="848"/>
      <c r="O60" s="258" t="s">
        <v>34</v>
      </c>
    </row>
    <row r="63" spans="3:27">
      <c r="C63" s="799" t="s">
        <v>477</v>
      </c>
      <c r="D63" s="799"/>
      <c r="E63" s="799"/>
      <c r="F63" s="799"/>
      <c r="G63" s="799"/>
      <c r="H63" s="799"/>
      <c r="I63" s="799"/>
      <c r="J63" s="799"/>
      <c r="K63" s="799"/>
      <c r="L63" s="799"/>
      <c r="M63" s="799"/>
      <c r="N63" s="799"/>
      <c r="O63" s="799"/>
    </row>
    <row r="64" spans="3:27" ht="15" customHeight="1" thickBot="1">
      <c r="C64" s="793" t="s">
        <v>497</v>
      </c>
      <c r="D64" s="793"/>
      <c r="E64" s="793"/>
      <c r="F64" s="793"/>
      <c r="G64" s="793"/>
      <c r="H64" s="793"/>
      <c r="I64" s="793"/>
      <c r="J64" s="793"/>
      <c r="K64" s="793"/>
      <c r="L64" s="793"/>
      <c r="M64" s="793"/>
      <c r="N64" s="793"/>
      <c r="O64" s="793"/>
      <c r="P64" s="279" t="s">
        <v>501</v>
      </c>
      <c r="Q64" s="794" t="s">
        <v>500</v>
      </c>
      <c r="R64" s="794"/>
      <c r="S64" s="794"/>
      <c r="T64" s="794"/>
      <c r="U64" s="794"/>
      <c r="V64" s="259">
        <v>15.002000000000001</v>
      </c>
      <c r="W64" s="260" t="s">
        <v>472</v>
      </c>
    </row>
    <row r="65" spans="2:66" ht="15.75" thickTop="1">
      <c r="C65" s="793"/>
      <c r="D65" s="793"/>
      <c r="E65" s="793"/>
      <c r="F65" s="793"/>
      <c r="G65" s="793"/>
      <c r="H65" s="793"/>
      <c r="I65" s="793"/>
      <c r="J65" s="793"/>
      <c r="K65" s="793"/>
      <c r="L65" s="793"/>
      <c r="M65" s="793"/>
      <c r="N65" s="793"/>
      <c r="O65" s="793"/>
    </row>
    <row r="66" spans="2:66">
      <c r="C66" s="793"/>
      <c r="D66" s="793"/>
      <c r="E66" s="793"/>
      <c r="F66" s="793"/>
      <c r="G66" s="793"/>
      <c r="H66" s="793"/>
      <c r="I66" s="793"/>
      <c r="J66" s="793"/>
      <c r="K66" s="793"/>
      <c r="L66" s="793"/>
      <c r="M66" s="793"/>
      <c r="N66" s="793"/>
      <c r="O66" s="793"/>
    </row>
    <row r="70" spans="2:66" ht="15" customHeight="1">
      <c r="H70" s="787" t="s">
        <v>502</v>
      </c>
      <c r="I70" s="787"/>
      <c r="J70" s="787"/>
      <c r="K70" s="787"/>
      <c r="L70" s="787"/>
      <c r="M70" s="787"/>
      <c r="N70" s="787"/>
      <c r="O70" s="787"/>
      <c r="P70" s="787"/>
      <c r="Q70" s="787"/>
      <c r="R70" s="787"/>
      <c r="S70" s="787"/>
      <c r="T70" s="787"/>
      <c r="U70" s="787"/>
      <c r="V70" s="785">
        <f>$K$60/($V$64-$L$55)</f>
        <v>0.46846343947734581</v>
      </c>
      <c r="W70" s="785"/>
      <c r="X70" s="785" t="s">
        <v>487</v>
      </c>
    </row>
    <row r="71" spans="2:66">
      <c r="H71" s="787"/>
      <c r="I71" s="787"/>
      <c r="J71" s="787"/>
      <c r="K71" s="787"/>
      <c r="L71" s="787"/>
      <c r="M71" s="787"/>
      <c r="N71" s="787"/>
      <c r="O71" s="787"/>
      <c r="P71" s="787"/>
      <c r="Q71" s="787"/>
      <c r="R71" s="787"/>
      <c r="S71" s="787"/>
      <c r="T71" s="787"/>
      <c r="U71" s="787"/>
      <c r="V71" s="785"/>
      <c r="W71" s="785"/>
      <c r="X71" s="786"/>
    </row>
    <row r="72" spans="2:66">
      <c r="H72" s="788" t="s">
        <v>503</v>
      </c>
      <c r="I72" s="788"/>
      <c r="J72" s="788"/>
      <c r="K72" s="788"/>
      <c r="L72" s="788"/>
      <c r="M72" s="788"/>
      <c r="N72" s="788"/>
      <c r="O72" s="788"/>
      <c r="P72" s="788"/>
      <c r="Q72" s="788"/>
      <c r="R72" s="788"/>
      <c r="S72" s="788"/>
      <c r="T72" s="788"/>
      <c r="U72" s="788"/>
      <c r="V72" s="791">
        <f>F43+V70</f>
        <v>12.520130106144013</v>
      </c>
      <c r="W72" s="792"/>
      <c r="X72" s="789" t="str">
        <f>heureDecimal2Txt(V72)</f>
        <v>12:31:12.46(12.5201)</v>
      </c>
      <c r="Y72" s="790"/>
      <c r="Z72" s="790"/>
      <c r="AA72" s="790"/>
      <c r="AB72" s="790"/>
      <c r="AC72" s="790"/>
    </row>
    <row r="73" spans="2:66">
      <c r="H73" s="788"/>
      <c r="I73" s="788"/>
      <c r="J73" s="788"/>
      <c r="K73" s="788"/>
      <c r="L73" s="788"/>
      <c r="M73" s="788"/>
      <c r="N73" s="788"/>
      <c r="O73" s="788"/>
      <c r="P73" s="788"/>
      <c r="Q73" s="788"/>
      <c r="R73" s="788"/>
      <c r="S73" s="788"/>
      <c r="T73" s="788"/>
      <c r="U73" s="788"/>
      <c r="V73" s="792"/>
      <c r="W73" s="792"/>
      <c r="X73" s="789"/>
      <c r="Y73" s="790"/>
      <c r="Z73" s="790"/>
      <c r="AA73" s="790"/>
      <c r="AB73" s="790"/>
      <c r="AC73" s="790"/>
    </row>
    <row r="74" spans="2:66">
      <c r="H74" s="787" t="s">
        <v>504</v>
      </c>
      <c r="I74" s="787"/>
      <c r="J74" s="787"/>
      <c r="K74" s="787"/>
      <c r="L74" s="787"/>
      <c r="M74" s="787"/>
      <c r="N74" s="787"/>
      <c r="O74" s="787"/>
      <c r="P74" s="787"/>
      <c r="Q74" s="787"/>
      <c r="R74" s="787"/>
      <c r="S74" s="787"/>
      <c r="T74" s="787"/>
      <c r="U74" s="787"/>
      <c r="V74" s="784">
        <f>V72-F21</f>
        <v>2.1798523283662341</v>
      </c>
      <c r="W74" s="785"/>
      <c r="X74" s="785" t="s">
        <v>487</v>
      </c>
    </row>
    <row r="75" spans="2:66">
      <c r="H75" s="787"/>
      <c r="I75" s="787"/>
      <c r="J75" s="787"/>
      <c r="K75" s="787"/>
      <c r="L75" s="787"/>
      <c r="M75" s="787"/>
      <c r="N75" s="787"/>
      <c r="O75" s="787"/>
      <c r="P75" s="787"/>
      <c r="Q75" s="787"/>
      <c r="R75" s="787"/>
      <c r="S75" s="787"/>
      <c r="T75" s="787"/>
      <c r="U75" s="787"/>
      <c r="V75" s="785"/>
      <c r="W75" s="785"/>
      <c r="X75" s="786"/>
    </row>
    <row r="76" spans="2:66">
      <c r="H76" s="788" t="s">
        <v>508</v>
      </c>
      <c r="I76" s="788"/>
      <c r="J76" s="788"/>
      <c r="K76" s="788"/>
      <c r="L76" s="788"/>
      <c r="M76" s="788"/>
      <c r="N76" s="788"/>
      <c r="O76" s="788"/>
      <c r="P76" s="788"/>
      <c r="Q76" s="788"/>
      <c r="R76" s="788"/>
      <c r="S76" s="788"/>
      <c r="T76" s="788"/>
      <c r="U76" s="788"/>
      <c r="V76" s="791">
        <f>V74*E51</f>
        <v>10.899261641831171</v>
      </c>
      <c r="W76" s="792"/>
      <c r="X76" s="782" t="s">
        <v>146</v>
      </c>
    </row>
    <row r="77" spans="2:66">
      <c r="H77" s="788"/>
      <c r="I77" s="788"/>
      <c r="J77" s="788"/>
      <c r="K77" s="788"/>
      <c r="L77" s="788"/>
      <c r="M77" s="788"/>
      <c r="N77" s="788"/>
      <c r="O77" s="788"/>
      <c r="P77" s="788"/>
      <c r="Q77" s="788"/>
      <c r="R77" s="788"/>
      <c r="S77" s="788"/>
      <c r="T77" s="788"/>
      <c r="U77" s="788"/>
      <c r="V77" s="792"/>
      <c r="W77" s="792"/>
      <c r="X77" s="783"/>
    </row>
    <row r="79" spans="2:66" ht="15.75" thickBot="1"/>
    <row r="80" spans="2:66" s="98" customFormat="1" ht="17.25" customHeight="1" thickBot="1">
      <c r="B80" s="107" t="s">
        <v>0</v>
      </c>
      <c r="C80" s="108"/>
      <c r="D80" s="108"/>
      <c r="E80" s="230" t="str">
        <f>N7</f>
        <v>2025/6/30 [YYYY/MM/DD]</v>
      </c>
      <c r="F80" s="230"/>
      <c r="G80" s="231"/>
      <c r="H80" s="232"/>
      <c r="I80" s="230" t="str">
        <f>heureDecimal2Txt(E84)</f>
        <v>12:31:12.46(12.5201)</v>
      </c>
      <c r="J80" s="230"/>
      <c r="K80" s="230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83"/>
      <c r="AB80" s="146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06"/>
    </row>
    <row r="81" spans="2:66" s="98" customFormat="1" ht="17.25" customHeight="1">
      <c r="C81" s="498" t="s">
        <v>1</v>
      </c>
      <c r="D81" s="499"/>
      <c r="E81" s="780" t="s">
        <v>436</v>
      </c>
      <c r="F81" s="781"/>
      <c r="G81" s="781"/>
      <c r="H81" s="143"/>
      <c r="AB81" s="145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06"/>
    </row>
    <row r="82" spans="2:66" s="98" customFormat="1" ht="17.25" customHeight="1">
      <c r="C82" s="477" t="s">
        <v>11</v>
      </c>
      <c r="D82" s="479"/>
      <c r="E82" s="477" t="s">
        <v>2</v>
      </c>
      <c r="F82" s="478"/>
      <c r="G82" s="478"/>
      <c r="H82" s="479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147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06"/>
    </row>
    <row r="83" spans="2:66" s="98" customFormat="1" ht="17.25" customHeight="1" thickBot="1">
      <c r="C83" s="500"/>
      <c r="D83" s="501"/>
      <c r="E83" s="480"/>
      <c r="F83" s="481"/>
      <c r="G83" s="481"/>
      <c r="H83" s="482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145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06"/>
    </row>
    <row r="84" spans="2:66" s="98" customFormat="1" ht="17.25" customHeight="1" thickTop="1" thickBot="1">
      <c r="C84" s="480"/>
      <c r="D84" s="482"/>
      <c r="E84" s="776">
        <f>V72</f>
        <v>12.520130106144013</v>
      </c>
      <c r="F84" s="776"/>
      <c r="G84" s="776"/>
      <c r="H84" s="776"/>
      <c r="I84" s="688" t="str" cm="1">
        <f t="array" ref="I84">heureDecimal2Txt(E84)</f>
        <v>12:31:12.46(12.5201)</v>
      </c>
      <c r="J84" s="689"/>
      <c r="K84" s="689"/>
      <c r="L84" s="690"/>
      <c r="M84"/>
      <c r="N84"/>
      <c r="O84"/>
      <c r="P84"/>
      <c r="Q84"/>
      <c r="R84"/>
      <c r="S84"/>
      <c r="T84"/>
      <c r="U84"/>
      <c r="V84"/>
      <c r="W84"/>
      <c r="X84"/>
      <c r="Y84"/>
      <c r="AB84" s="145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06"/>
    </row>
    <row r="85" spans="2:66" ht="17.25" customHeight="1" thickTop="1">
      <c r="B85" s="98"/>
      <c r="I85" s="41"/>
      <c r="J85" s="41"/>
      <c r="K85" s="41"/>
      <c r="V85" s="41"/>
      <c r="W85" s="41"/>
      <c r="X85" s="41"/>
      <c r="Y85" s="41"/>
      <c r="Z85" s="98"/>
      <c r="AA85" s="98"/>
      <c r="AB85" s="145"/>
      <c r="BN85" s="106"/>
    </row>
    <row r="86" spans="2:66" s="98" customFormat="1" ht="17.25" customHeight="1" thickBot="1">
      <c r="C86" s="97"/>
      <c r="D86" s="97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AB86" s="145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106"/>
    </row>
    <row r="87" spans="2:66" s="98" customFormat="1" ht="17.25" customHeight="1" thickBot="1">
      <c r="B87" s="107" t="s">
        <v>20</v>
      </c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46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106"/>
    </row>
    <row r="88" spans="2:66" s="98" customFormat="1" ht="18" customHeight="1" thickBot="1">
      <c r="B88"/>
      <c r="C88" s="430" t="s">
        <v>322</v>
      </c>
      <c r="D88" s="431"/>
      <c r="E88" s="431"/>
      <c r="F88" s="431"/>
      <c r="G88" s="431"/>
      <c r="H88" s="431"/>
      <c r="I88" s="432"/>
      <c r="J88" s="777" t="s">
        <v>324</v>
      </c>
      <c r="K88" s="778"/>
      <c r="L88" s="778"/>
      <c r="M88" s="778"/>
      <c r="N88" s="778"/>
      <c r="O88" s="779"/>
      <c r="P88"/>
      <c r="Q88"/>
      <c r="R88"/>
      <c r="S88"/>
      <c r="T88"/>
      <c r="U88"/>
      <c r="V88"/>
      <c r="W88"/>
      <c r="X88"/>
      <c r="Y88"/>
      <c r="Z88"/>
      <c r="AA88"/>
      <c r="AB88" s="145"/>
      <c r="AC88" s="152" t="s">
        <v>323</v>
      </c>
      <c r="AD88" s="152" t="s">
        <v>324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106"/>
    </row>
    <row r="89" spans="2:66" s="98" customFormat="1" ht="18" customHeight="1" thickTop="1" thickBot="1">
      <c r="B89" s="96"/>
      <c r="C89" s="430" t="s">
        <v>224</v>
      </c>
      <c r="D89" s="431"/>
      <c r="E89" s="431"/>
      <c r="F89" s="431"/>
      <c r="G89" s="431"/>
      <c r="H89" s="431"/>
      <c r="I89" s="432"/>
      <c r="J89" s="427" cm="1">
        <f t="array" ref="J89">angleConvert2Decimal(M89)</f>
        <v>0.9</v>
      </c>
      <c r="K89" s="428"/>
      <c r="L89" s="429"/>
      <c r="M89" s="424" t="s">
        <v>133</v>
      </c>
      <c r="N89" s="425"/>
      <c r="O89" s="426"/>
      <c r="P89" s="421" t="str" cm="1">
        <f t="array" ref="P89">angleDecimal2Txt(J89)</f>
        <v>+00°54.00 (+00.9000) [+00°54'00.00]</v>
      </c>
      <c r="Q89" s="422"/>
      <c r="R89" s="422"/>
      <c r="S89" s="422"/>
      <c r="T89" s="422"/>
      <c r="U89" s="422"/>
      <c r="V89" s="422"/>
      <c r="W89" s="422"/>
      <c r="X89" s="423"/>
      <c r="Y89" s="96"/>
      <c r="AB89" s="145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106"/>
    </row>
    <row r="90" spans="2:66" s="98" customFormat="1" ht="18" customHeight="1" thickTop="1" thickBot="1">
      <c r="C90" s="583" t="s">
        <v>223</v>
      </c>
      <c r="D90" s="583"/>
      <c r="E90" s="583"/>
      <c r="F90" s="583"/>
      <c r="G90" s="583"/>
      <c r="H90" s="583"/>
      <c r="I90" s="583"/>
      <c r="J90" s="599" cm="1">
        <f t="array" ref="J90">angleConvert2Decimal(M90)</f>
        <v>33.4</v>
      </c>
      <c r="K90" s="612"/>
      <c r="L90" s="580"/>
      <c r="M90" s="513" t="s">
        <v>374</v>
      </c>
      <c r="N90" s="514"/>
      <c r="O90" s="515"/>
      <c r="P90" s="450" t="str" cm="1">
        <f t="array" ref="P90">angleDecimal2Txt(J90)</f>
        <v>+33°24.00 (+33.3999) [+33°24'00.00]</v>
      </c>
      <c r="Q90" s="450"/>
      <c r="R90" s="450"/>
      <c r="S90" s="450"/>
      <c r="T90" s="450"/>
      <c r="U90" s="450"/>
      <c r="V90" s="450"/>
      <c r="W90" s="450"/>
      <c r="X90" s="450"/>
      <c r="Y90" s="96"/>
      <c r="AB90" s="145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106"/>
    </row>
    <row r="91" spans="2:66" s="98" customFormat="1" ht="18" customHeight="1" thickTop="1" thickBot="1">
      <c r="C91" s="583" t="s">
        <v>231</v>
      </c>
      <c r="D91" s="583"/>
      <c r="E91" s="583"/>
      <c r="F91" s="583"/>
      <c r="G91" s="583"/>
      <c r="H91" s="583"/>
      <c r="I91" s="583"/>
      <c r="J91" s="599" cm="1">
        <f t="array" ref="J91">angleConvert2Decimal(M91)</f>
        <v>16.25</v>
      </c>
      <c r="K91" s="612"/>
      <c r="L91" s="580"/>
      <c r="M91" s="513">
        <f>(J90-J89)/2</f>
        <v>16.25</v>
      </c>
      <c r="N91" s="514"/>
      <c r="O91" s="515"/>
      <c r="P91" s="450" t="str" cm="1">
        <f t="array" ref="P91">angleDecimal2Txt(J91)</f>
        <v>+16°15.00 (+16.2500) [+16°15'00.00]</v>
      </c>
      <c r="Q91" s="450"/>
      <c r="R91" s="450"/>
      <c r="S91" s="450"/>
      <c r="T91" s="450"/>
      <c r="U91" s="450"/>
      <c r="V91" s="450"/>
      <c r="W91" s="450"/>
      <c r="X91" s="450"/>
      <c r="Y91" s="96"/>
      <c r="AB91" s="145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106"/>
    </row>
    <row r="92" spans="2:66" s="98" customFormat="1" ht="18" customHeight="1" thickTop="1" thickBot="1">
      <c r="C92" s="691" t="s">
        <v>21</v>
      </c>
      <c r="D92" s="691"/>
      <c r="E92" s="691"/>
      <c r="F92" s="691"/>
      <c r="G92" s="691"/>
      <c r="H92" s="691"/>
      <c r="I92" s="691"/>
      <c r="J92" s="661">
        <f>M92</f>
        <v>2</v>
      </c>
      <c r="K92" s="662"/>
      <c r="L92" s="663"/>
      <c r="M92" s="625">
        <v>2</v>
      </c>
      <c r="N92" s="625"/>
      <c r="O92" s="625"/>
      <c r="P92" s="96"/>
      <c r="Q92" s="96"/>
      <c r="R92" s="96"/>
      <c r="S92" s="96"/>
      <c r="T92" s="96"/>
      <c r="U92" s="96"/>
      <c r="V92" s="96"/>
      <c r="W92" s="96"/>
      <c r="X92" s="96"/>
      <c r="Y92" s="96"/>
      <c r="AB92" s="145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106"/>
    </row>
    <row r="93" spans="2:66" s="98" customFormat="1" ht="18" customHeight="1" thickTop="1" thickBot="1">
      <c r="B93" s="96"/>
      <c r="C93" s="718" t="s">
        <v>22</v>
      </c>
      <c r="D93" s="719"/>
      <c r="E93" s="719"/>
      <c r="F93" s="719"/>
      <c r="G93" s="719"/>
      <c r="H93" s="719"/>
      <c r="I93" s="720"/>
      <c r="J93" s="599" cm="1">
        <f t="array" ref="J93">angleConvert2Decimal(M93)</f>
        <v>2.1666666666666667E-2</v>
      </c>
      <c r="K93" s="612"/>
      <c r="L93" s="580"/>
      <c r="M93" s="624" t="s">
        <v>467</v>
      </c>
      <c r="N93" s="625"/>
      <c r="O93" s="625"/>
      <c r="P93" s="450" t="str" cm="1">
        <f t="array" ref="P93">angleDecimal2Txt(J93)</f>
        <v>+00°01.30 (+00.0216) [+00°01'18.00]</v>
      </c>
      <c r="Q93" s="450"/>
      <c r="R93" s="450"/>
      <c r="S93" s="450"/>
      <c r="T93" s="450"/>
      <c r="U93" s="450"/>
      <c r="V93" s="450"/>
      <c r="W93" s="450"/>
      <c r="X93" s="450"/>
      <c r="Y93" s="96"/>
      <c r="AB93" s="145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106"/>
    </row>
    <row r="94" spans="2:66" s="98" customFormat="1" ht="18" customHeight="1" thickTop="1" thickBot="1">
      <c r="C94" s="728" t="s">
        <v>32</v>
      </c>
      <c r="D94" s="728"/>
      <c r="E94" s="728"/>
      <c r="F94" s="728"/>
      <c r="G94" s="728"/>
      <c r="H94" s="728"/>
      <c r="I94" s="728"/>
      <c r="J94" s="764" cm="1">
        <f t="array" ref="J94">IF(J88=AC88,J91,angleConvert2Decimal(M94))</f>
        <v>66.95</v>
      </c>
      <c r="K94" s="765"/>
      <c r="L94" s="766"/>
      <c r="M94" s="624" t="s">
        <v>478</v>
      </c>
      <c r="N94" s="625"/>
      <c r="O94" s="625"/>
      <c r="P94" s="450" t="str" cm="1">
        <f t="array" ref="P94">angleDecimal2Txt(J94)</f>
        <v>+66°57.00 (+66.9500) [+66°57'00.00]</v>
      </c>
      <c r="Q94" s="450"/>
      <c r="R94" s="450"/>
      <c r="S94" s="450"/>
      <c r="T94" s="450"/>
      <c r="U94" s="450"/>
      <c r="V94" s="450"/>
      <c r="W94" s="450"/>
      <c r="X94" s="450"/>
      <c r="Y94" s="96"/>
      <c r="AB94" s="145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106"/>
    </row>
    <row r="95" spans="2:66" s="98" customFormat="1" ht="18" customHeight="1" thickTop="1">
      <c r="C95" s="721" t="s">
        <v>37</v>
      </c>
      <c r="D95" s="721"/>
      <c r="E95" s="721"/>
      <c r="F95" s="721"/>
      <c r="G95" s="721"/>
      <c r="H95" s="721"/>
      <c r="I95" s="721"/>
      <c r="J95" s="722" t="str">
        <f>M95</f>
        <v>Soleil</v>
      </c>
      <c r="K95" s="723"/>
      <c r="L95" s="724"/>
      <c r="M95" s="773" t="s">
        <v>38</v>
      </c>
      <c r="N95" s="774"/>
      <c r="O95" s="775"/>
      <c r="P95" s="96"/>
      <c r="Q95" s="96"/>
      <c r="R95" s="96"/>
      <c r="S95" s="96"/>
      <c r="T95" s="96"/>
      <c r="U95" s="96"/>
      <c r="V95" s="96"/>
      <c r="W95" s="96"/>
      <c r="X95" s="96"/>
      <c r="Y95" s="96"/>
      <c r="AB95" s="145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106"/>
    </row>
    <row r="96" spans="2:66" s="98" customFormat="1" ht="18" customHeight="1">
      <c r="C96" s="721" t="s">
        <v>84</v>
      </c>
      <c r="D96" s="721"/>
      <c r="E96" s="721"/>
      <c r="F96" s="721"/>
      <c r="G96" s="721"/>
      <c r="H96" s="721"/>
      <c r="I96" s="721"/>
      <c r="J96" s="722" t="str">
        <f>M96</f>
        <v>BordInf</v>
      </c>
      <c r="K96" s="723"/>
      <c r="L96" s="724"/>
      <c r="M96" s="620" t="s">
        <v>85</v>
      </c>
      <c r="N96" s="620"/>
      <c r="O96" s="620"/>
      <c r="P96" s="96"/>
      <c r="Q96" s="96"/>
      <c r="R96" s="96"/>
      <c r="S96" s="96"/>
      <c r="T96" s="96"/>
      <c r="U96" s="96"/>
      <c r="V96" s="96"/>
      <c r="W96" s="96"/>
      <c r="X96" s="96"/>
      <c r="Y96" s="96"/>
      <c r="AB96" s="145"/>
      <c r="AC96" s="153" t="s">
        <v>347</v>
      </c>
      <c r="AD96" s="154" t="s">
        <v>39</v>
      </c>
      <c r="AE96" s="154" t="s">
        <v>40</v>
      </c>
      <c r="AF96" s="154" t="s">
        <v>38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106"/>
    </row>
    <row r="97" spans="1:66" s="98" customFormat="1" ht="17.25" customHeight="1">
      <c r="C97" s="729" t="s">
        <v>306</v>
      </c>
      <c r="D97" s="730"/>
      <c r="E97" s="109"/>
      <c r="F97" s="109"/>
      <c r="G97" s="109"/>
      <c r="H97" s="109"/>
      <c r="I97" s="110"/>
      <c r="J97" s="645" cm="1">
        <f t="array" ref="J97">angleConvert2Decimal(M97)</f>
        <v>2.8833333333333332E-3</v>
      </c>
      <c r="K97" s="442"/>
      <c r="L97" s="443"/>
      <c r="M97" s="651" t="str">
        <f>P99</f>
        <v>0.173'</v>
      </c>
      <c r="N97" s="652"/>
      <c r="O97" s="652"/>
      <c r="P97" s="657" t="s">
        <v>129</v>
      </c>
      <c r="Q97" s="657"/>
      <c r="R97" s="657"/>
      <c r="S97" s="96"/>
      <c r="T97" s="96"/>
      <c r="U97" s="96"/>
      <c r="V97" s="96"/>
      <c r="W97" s="96"/>
      <c r="X97" s="96"/>
      <c r="Y97" s="96"/>
      <c r="AB97" s="145"/>
      <c r="AC97" s="153" t="s">
        <v>131</v>
      </c>
      <c r="AD97" s="155" t="s">
        <v>132</v>
      </c>
      <c r="AE97" s="155" t="s">
        <v>133</v>
      </c>
      <c r="AF97" s="155" t="s">
        <v>104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106"/>
    </row>
    <row r="98" spans="1:66" s="98" customFormat="1" ht="17.25" customHeight="1" thickBot="1">
      <c r="C98" s="111"/>
      <c r="D98" s="694" t="s">
        <v>307</v>
      </c>
      <c r="E98" s="694"/>
      <c r="F98" s="694"/>
      <c r="G98" s="694"/>
      <c r="H98" s="694"/>
      <c r="I98" s="695"/>
      <c r="J98" s="646"/>
      <c r="K98" s="503"/>
      <c r="L98" s="647"/>
      <c r="M98" s="653"/>
      <c r="N98" s="654"/>
      <c r="O98" s="654"/>
      <c r="P98" s="657"/>
      <c r="Q98" s="657"/>
      <c r="R98" s="657"/>
      <c r="S98" s="96"/>
      <c r="T98" s="96"/>
      <c r="U98" s="96"/>
      <c r="V98" s="96"/>
      <c r="W98" s="96"/>
      <c r="X98" s="96"/>
      <c r="Y98" s="96"/>
      <c r="AB98" s="145"/>
      <c r="AC98" s="153" t="s">
        <v>135</v>
      </c>
      <c r="AD98" s="155" t="s">
        <v>132</v>
      </c>
      <c r="AE98" s="155" t="s">
        <v>136</v>
      </c>
      <c r="AF98" s="155" t="s">
        <v>103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106"/>
    </row>
    <row r="99" spans="1:66" s="98" customFormat="1" ht="17.25" customHeight="1" thickTop="1" thickBot="1">
      <c r="C99" s="111"/>
      <c r="D99" s="694"/>
      <c r="E99" s="694"/>
      <c r="F99" s="694"/>
      <c r="G99" s="694"/>
      <c r="H99" s="694"/>
      <c r="I99" s="695"/>
      <c r="J99" s="646"/>
      <c r="K99" s="503"/>
      <c r="L99" s="647"/>
      <c r="M99" s="653"/>
      <c r="N99" s="654"/>
      <c r="O99" s="654"/>
      <c r="P99" s="626" t="str">
        <f>HLOOKUP(M95,AD96:AF98,2,FALSE)</f>
        <v>0.173'</v>
      </c>
      <c r="Q99" s="626"/>
      <c r="R99" s="626"/>
      <c r="S99" s="521" t="str" cm="1">
        <f t="array" ref="S99">angleDecimal2Txt(angleConvert2Decimal(P99))</f>
        <v>+00°00.17 (+00.0028) [+00°00'10.37]</v>
      </c>
      <c r="T99" s="521"/>
      <c r="U99" s="521"/>
      <c r="V99" s="521"/>
      <c r="W99" s="521"/>
      <c r="X99" s="522"/>
      <c r="Y99" s="96"/>
      <c r="AB99" s="145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106"/>
    </row>
    <row r="100" spans="1:66" s="98" customFormat="1" ht="17.25" customHeight="1" thickTop="1" thickBot="1">
      <c r="C100" s="112"/>
      <c r="D100" s="696"/>
      <c r="E100" s="696"/>
      <c r="F100" s="696"/>
      <c r="G100" s="696"/>
      <c r="H100" s="696"/>
      <c r="I100" s="697"/>
      <c r="J100" s="772"/>
      <c r="K100" s="444"/>
      <c r="L100" s="445"/>
      <c r="M100" s="655"/>
      <c r="N100" s="656"/>
      <c r="O100" s="656"/>
      <c r="P100" s="623" t="str" cm="1">
        <f t="array" ref="P100">angleDecimal2Txt(J97)</f>
        <v>+00°00.17 (+00.0028) [+00°00'10.37]</v>
      </c>
      <c r="Q100" s="623"/>
      <c r="R100" s="623"/>
      <c r="S100" s="450"/>
      <c r="T100" s="450"/>
      <c r="U100" s="450"/>
      <c r="V100" s="450"/>
      <c r="W100" s="450"/>
      <c r="X100" s="450"/>
      <c r="Y100" s="96"/>
      <c r="AB100" s="145"/>
      <c r="AC100" s="153" t="s">
        <v>130</v>
      </c>
      <c r="AD100" s="154" t="s">
        <v>85</v>
      </c>
      <c r="AE100" s="154" t="s">
        <v>345</v>
      </c>
      <c r="AF100" s="154" t="s">
        <v>86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106"/>
    </row>
    <row r="101" spans="1:66" s="98" customFormat="1" ht="17.25" customHeight="1" thickTop="1">
      <c r="C101" s="637" t="s">
        <v>134</v>
      </c>
      <c r="D101" s="638"/>
      <c r="E101" s="638"/>
      <c r="F101" s="638"/>
      <c r="G101" s="638"/>
      <c r="H101" s="638"/>
      <c r="I101" s="639"/>
      <c r="J101" s="645" cm="1">
        <f t="array" ref="J101">angleConvert2Decimal(M101)</f>
        <v>0.53333333333333333</v>
      </c>
      <c r="K101" s="442"/>
      <c r="L101" s="443"/>
      <c r="M101" s="651" t="str">
        <f>P103</f>
        <v>32'</v>
      </c>
      <c r="N101" s="652"/>
      <c r="O101" s="652"/>
      <c r="P101" s="657" t="s">
        <v>129</v>
      </c>
      <c r="Q101" s="657"/>
      <c r="R101" s="657"/>
      <c r="S101" s="96"/>
      <c r="T101" s="96"/>
      <c r="U101" s="96"/>
      <c r="V101" s="96"/>
      <c r="W101" s="96"/>
      <c r="X101" s="96"/>
      <c r="Y101" s="96"/>
      <c r="AB101" s="145"/>
      <c r="AC101" s="153" t="s">
        <v>346</v>
      </c>
      <c r="AD101" s="156">
        <v>0.5</v>
      </c>
      <c r="AE101" s="156">
        <v>-0.5</v>
      </c>
      <c r="AF101" s="156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106"/>
    </row>
    <row r="102" spans="1:66" s="98" customFormat="1" ht="17.25" customHeight="1" thickBot="1">
      <c r="C102" s="640"/>
      <c r="D102" s="508"/>
      <c r="E102" s="508"/>
      <c r="F102" s="508"/>
      <c r="G102" s="508"/>
      <c r="H102" s="508"/>
      <c r="I102" s="641"/>
      <c r="J102" s="646"/>
      <c r="K102" s="503"/>
      <c r="L102" s="647"/>
      <c r="M102" s="653"/>
      <c r="N102" s="654"/>
      <c r="O102" s="654"/>
      <c r="P102" s="657"/>
      <c r="Q102" s="657"/>
      <c r="R102" s="657"/>
      <c r="S102" s="96"/>
      <c r="T102" s="96"/>
      <c r="U102" s="96"/>
      <c r="V102" s="96"/>
      <c r="W102" s="96"/>
      <c r="X102" s="96"/>
      <c r="Y102" s="96"/>
      <c r="AB102" s="145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106"/>
    </row>
    <row r="103" spans="1:66" s="98" customFormat="1" ht="17.25" customHeight="1" thickTop="1" thickBot="1">
      <c r="C103" s="640"/>
      <c r="D103" s="508"/>
      <c r="E103" s="508"/>
      <c r="F103" s="508"/>
      <c r="G103" s="508"/>
      <c r="H103" s="508"/>
      <c r="I103" s="641"/>
      <c r="J103" s="646"/>
      <c r="K103" s="503"/>
      <c r="L103" s="647"/>
      <c r="M103" s="653"/>
      <c r="N103" s="654"/>
      <c r="O103" s="654"/>
      <c r="P103" s="626" t="str">
        <f>HLOOKUP(M95,AD96:AF98,3,FALSE)</f>
        <v>32'</v>
      </c>
      <c r="Q103" s="626"/>
      <c r="R103" s="626"/>
      <c r="S103" s="521" t="str" cm="1">
        <f t="array" ref="S103">angleDecimal2Txt(angleConvert2Decimal(P103))</f>
        <v>+00°32.00 (+00.5333) [+00°32'00.00]</v>
      </c>
      <c r="T103" s="521"/>
      <c r="U103" s="521"/>
      <c r="V103" s="521"/>
      <c r="W103" s="521"/>
      <c r="X103" s="522"/>
      <c r="Y103" s="96"/>
      <c r="AB103" s="145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106"/>
    </row>
    <row r="104" spans="1:66" s="98" customFormat="1" ht="17.25" customHeight="1" thickTop="1" thickBot="1">
      <c r="C104" s="642"/>
      <c r="D104" s="643"/>
      <c r="E104" s="643"/>
      <c r="F104" s="643"/>
      <c r="G104" s="643"/>
      <c r="H104" s="643"/>
      <c r="I104" s="644"/>
      <c r="J104" s="648"/>
      <c r="K104" s="649"/>
      <c r="L104" s="650"/>
      <c r="M104" s="655"/>
      <c r="N104" s="656"/>
      <c r="O104" s="656"/>
      <c r="P104" s="623" t="str" cm="1">
        <f t="array" ref="P104">angleDecimal2Txt(J101)</f>
        <v>+00°32.00 (+00.5333) [+00°32'00.00]</v>
      </c>
      <c r="Q104" s="623"/>
      <c r="R104" s="623"/>
      <c r="S104" s="450"/>
      <c r="T104" s="450"/>
      <c r="U104" s="450"/>
      <c r="V104" s="450"/>
      <c r="W104" s="450"/>
      <c r="X104" s="450"/>
      <c r="Y104" s="96"/>
      <c r="AB104" s="14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106"/>
    </row>
    <row r="105" spans="1:66" s="98" customFormat="1" ht="17.25" customHeight="1" thickTop="1" thickBot="1"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AB105" s="14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106"/>
    </row>
    <row r="106" spans="1:66" s="98" customFormat="1" ht="17.25" customHeight="1" thickBot="1">
      <c r="B106" s="107" t="s">
        <v>362</v>
      </c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4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106"/>
    </row>
    <row r="107" spans="1:66" s="98" customFormat="1" ht="17.25" customHeight="1">
      <c r="C107" s="96"/>
      <c r="D107" s="96"/>
      <c r="E107" s="731" t="s">
        <v>7</v>
      </c>
      <c r="F107" s="731"/>
      <c r="G107" s="731"/>
      <c r="H107" s="731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AB107" s="145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106"/>
    </row>
    <row r="108" spans="1:66" s="98" customFormat="1" ht="17.25" customHeight="1">
      <c r="C108" s="96"/>
      <c r="D108" s="96"/>
      <c r="E108" s="731"/>
      <c r="F108" s="731"/>
      <c r="G108" s="731"/>
      <c r="H108" s="731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145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106"/>
    </row>
    <row r="109" spans="1:66" s="98" customFormat="1" ht="17.25" customHeight="1">
      <c r="A109"/>
      <c r="B109"/>
      <c r="C109"/>
      <c r="D109" s="96"/>
      <c r="E109" s="96"/>
      <c r="F109" s="770">
        <f>F36</f>
        <v>46.1</v>
      </c>
      <c r="G109" s="771"/>
      <c r="H109" s="771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96"/>
      <c r="Z109" s="96"/>
      <c r="AB109" s="145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113"/>
    </row>
    <row r="110" spans="1:66" s="98" customFormat="1" ht="17.25" customHeight="1">
      <c r="A110"/>
      <c r="B110"/>
      <c r="C110"/>
      <c r="D110" s="96"/>
      <c r="E110" s="96"/>
      <c r="F110" s="771"/>
      <c r="G110" s="771"/>
      <c r="H110" s="771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96"/>
      <c r="Z110" s="96"/>
      <c r="AB110" s="145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113"/>
    </row>
    <row r="111" spans="1:66" s="98" customFormat="1" ht="17.25" customHeight="1">
      <c r="A111"/>
      <c r="B111"/>
      <c r="C111"/>
      <c r="D111" s="96"/>
      <c r="E111" s="96"/>
      <c r="F111" s="96"/>
      <c r="G111" s="96"/>
      <c r="H111" s="96"/>
      <c r="AB111" s="145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113"/>
    </row>
    <row r="112" spans="1:66" s="98" customFormat="1" ht="17.25" customHeight="1" thickBot="1">
      <c r="C112" s="143"/>
      <c r="D112" s="143"/>
      <c r="E112" s="143"/>
      <c r="F112" s="143"/>
      <c r="G112" s="143"/>
      <c r="AB112" s="145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106"/>
    </row>
    <row r="113" spans="2:66" s="98" customFormat="1" ht="17.25" customHeight="1" thickBot="1">
      <c r="B113" s="107" t="s">
        <v>9</v>
      </c>
      <c r="C113" s="108"/>
      <c r="D113" s="108"/>
      <c r="E113" s="108"/>
      <c r="F113" s="510">
        <f>IF(G114=AD114,F118,F126)</f>
        <v>23.13413311648976</v>
      </c>
      <c r="G113" s="510"/>
      <c r="H113" s="510"/>
      <c r="I113" s="108"/>
      <c r="J113" s="108"/>
      <c r="K113" s="108" t="str" cm="1">
        <f t="array" ref="K113">angleDecimal2Txt(F113)</f>
        <v>+23°08.04 (+23.1341) [+23°08'02.87]</v>
      </c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48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115" customFormat="1" ht="17.25" customHeight="1">
      <c r="C114" s="508" t="s">
        <v>42</v>
      </c>
      <c r="D114" s="508"/>
      <c r="E114" s="508"/>
      <c r="F114" s="508"/>
      <c r="G114" s="512" t="s">
        <v>10</v>
      </c>
      <c r="H114" s="512"/>
      <c r="I114" s="512"/>
      <c r="AB114" s="149"/>
      <c r="AC114" s="706" t="s">
        <v>43</v>
      </c>
      <c r="AD114" s="152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98" customFormat="1" ht="17.25" customHeight="1">
      <c r="C115" s="116" t="s">
        <v>10</v>
      </c>
      <c r="D115" s="116"/>
      <c r="E115" s="117"/>
      <c r="F115" s="117"/>
      <c r="G115" s="96"/>
      <c r="H115" s="96"/>
      <c r="I115" s="96"/>
      <c r="AB115" s="145"/>
      <c r="AC115" s="706"/>
      <c r="AD115" s="152" t="s">
        <v>16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>
      <c r="C116" s="143"/>
      <c r="D116" s="143"/>
      <c r="E116" s="143"/>
      <c r="F116" s="518" t="s">
        <v>9</v>
      </c>
      <c r="G116" s="518"/>
      <c r="H116" s="518"/>
      <c r="I116" s="477" t="s">
        <v>12</v>
      </c>
      <c r="J116" s="478"/>
      <c r="K116" s="478"/>
      <c r="L116" s="479"/>
      <c r="M116" s="511" t="s">
        <v>13</v>
      </c>
      <c r="N116" s="511"/>
      <c r="O116" s="511"/>
      <c r="P116" s="520" t="s">
        <v>17</v>
      </c>
      <c r="Q116" s="520"/>
      <c r="R116" s="520"/>
      <c r="S116" s="520"/>
      <c r="T116" s="520"/>
      <c r="U116" s="96"/>
      <c r="AB116" s="145"/>
      <c r="AC116"/>
      <c r="AD116" s="157" t="s">
        <v>101</v>
      </c>
      <c r="AE116" s="6" t="s">
        <v>337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Bot="1">
      <c r="C117" s="143"/>
      <c r="D117" s="143"/>
      <c r="E117" s="143"/>
      <c r="F117" s="518"/>
      <c r="G117" s="518"/>
      <c r="H117" s="518"/>
      <c r="I117" s="480"/>
      <c r="J117" s="481"/>
      <c r="K117" s="481"/>
      <c r="L117" s="482"/>
      <c r="M117" s="511"/>
      <c r="N117" s="511"/>
      <c r="O117" s="511"/>
      <c r="P117" s="520"/>
      <c r="Q117" s="520"/>
      <c r="R117" s="520"/>
      <c r="S117" s="520"/>
      <c r="T117" s="520"/>
      <c r="U117" s="96"/>
      <c r="AB117" s="145"/>
      <c r="AC117" s="6" t="s">
        <v>329</v>
      </c>
      <c r="AD117" s="6">
        <f>VLOOKUP(P118,Outils!C15:E16,3)</f>
        <v>1</v>
      </c>
      <c r="AE117" s="6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s="98" customFormat="1" ht="17.25" customHeight="1" thickTop="1" thickBot="1">
      <c r="C118" s="143"/>
      <c r="D118" s="143"/>
      <c r="F118" s="597">
        <f>IF(G114=AD115,"---",AD122)</f>
        <v>23.13413311648976</v>
      </c>
      <c r="G118" s="597"/>
      <c r="H118" s="597"/>
      <c r="I118" s="588">
        <f>E84</f>
        <v>12.520130106144013</v>
      </c>
      <c r="J118" s="589"/>
      <c r="K118" s="589"/>
      <c r="L118" s="590"/>
      <c r="M118" s="700">
        <v>12</v>
      </c>
      <c r="N118" s="516"/>
      <c r="O118" s="516"/>
      <c r="P118" s="516" t="s">
        <v>3</v>
      </c>
      <c r="Q118" s="627" t="s">
        <v>479</v>
      </c>
      <c r="R118" s="698"/>
      <c r="S118" s="698"/>
      <c r="T118" s="698"/>
      <c r="U118" s="448" t="str" cm="1">
        <f t="array" ref="U118">angleDecimal2Txt(AE117)</f>
        <v>+23°08.09 (+23.1350) [+23°08'06.00]</v>
      </c>
      <c r="V118" s="619"/>
      <c r="W118" s="619"/>
      <c r="X118" s="619"/>
      <c r="Y118" s="619"/>
      <c r="AB118" s="145"/>
      <c r="AC118" s="6" t="s">
        <v>330</v>
      </c>
      <c r="AD118" s="6">
        <f>VLOOKUP(P120,Outils!C15:E16,3)</f>
        <v>1</v>
      </c>
      <c r="AE118" s="6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106"/>
    </row>
    <row r="119" spans="2:66" s="98" customFormat="1" ht="17.25" customHeight="1" thickTop="1" thickBot="1">
      <c r="C119" s="143"/>
      <c r="D119" s="143"/>
      <c r="E119" s="143"/>
      <c r="F119" s="598"/>
      <c r="G119" s="598"/>
      <c r="H119" s="598"/>
      <c r="I119" s="526"/>
      <c r="J119" s="591"/>
      <c r="K119" s="591"/>
      <c r="L119" s="592"/>
      <c r="M119" s="701"/>
      <c r="N119" s="517"/>
      <c r="O119" s="517"/>
      <c r="P119" s="517"/>
      <c r="Q119" s="699"/>
      <c r="R119" s="699"/>
      <c r="S119" s="699"/>
      <c r="T119" s="699"/>
      <c r="U119" s="619"/>
      <c r="V119" s="619"/>
      <c r="W119" s="619"/>
      <c r="X119" s="619"/>
      <c r="Y119" s="619"/>
      <c r="AB119" s="145"/>
      <c r="AC119" s="6" t="s">
        <v>45</v>
      </c>
      <c r="AD119" s="8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Top="1" thickBot="1">
      <c r="C120" s="143"/>
      <c r="D120" s="143"/>
      <c r="E120" s="143"/>
      <c r="F120" s="598"/>
      <c r="G120" s="598"/>
      <c r="H120" s="598"/>
      <c r="I120" s="526"/>
      <c r="J120" s="591"/>
      <c r="K120" s="591"/>
      <c r="L120" s="592"/>
      <c r="M120" s="701">
        <v>13</v>
      </c>
      <c r="N120" s="517"/>
      <c r="O120" s="517"/>
      <c r="P120" s="517" t="s">
        <v>3</v>
      </c>
      <c r="Q120" s="705" t="s">
        <v>482</v>
      </c>
      <c r="R120" s="699"/>
      <c r="S120" s="699"/>
      <c r="T120" s="699"/>
      <c r="U120" s="448" t="str" cm="1">
        <f t="array" ref="U120">angleDecimal2Txt((AE118))</f>
        <v>+23°08.00 (+23.1333) [+23°08'00.00]</v>
      </c>
      <c r="V120" s="619"/>
      <c r="W120" s="619"/>
      <c r="X120" s="619"/>
      <c r="Y120" s="619"/>
      <c r="AB120" s="145"/>
      <c r="AC120" s="6" t="s">
        <v>331</v>
      </c>
      <c r="AD120" s="8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7.25" customHeight="1" thickTop="1" thickBot="1">
      <c r="C121" s="143"/>
      <c r="D121" s="143"/>
      <c r="E121" s="143"/>
      <c r="F121" s="598"/>
      <c r="G121" s="598"/>
      <c r="H121" s="598"/>
      <c r="I121" s="686"/>
      <c r="J121" s="763"/>
      <c r="K121" s="763"/>
      <c r="L121" s="687"/>
      <c r="M121" s="701"/>
      <c r="N121" s="517"/>
      <c r="O121" s="517"/>
      <c r="P121" s="517"/>
      <c r="Q121" s="699"/>
      <c r="R121" s="699"/>
      <c r="S121" s="699"/>
      <c r="T121" s="699"/>
      <c r="U121" s="619"/>
      <c r="V121" s="619"/>
      <c r="W121" s="619"/>
      <c r="X121" s="619"/>
      <c r="Y121" s="619"/>
      <c r="AB121" s="145"/>
      <c r="AC121" s="6" t="s">
        <v>46</v>
      </c>
      <c r="AD121" s="8">
        <f>I118-M118</f>
        <v>0.52013010614401267</v>
      </c>
      <c r="AE121"/>
      <c r="AF121"/>
      <c r="AG121"/>
      <c r="AH121"/>
      <c r="AI121" s="4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7.25" customHeight="1" thickTop="1" thickBot="1">
      <c r="C122" s="143"/>
      <c r="D122" s="143"/>
      <c r="E122" s="143"/>
      <c r="F122" s="450" t="str" cm="1">
        <f t="array" ref="F122">angleDecimal2Txt(F118)</f>
        <v>+23°08.04 (+23.1341) [+23°08'02.87]</v>
      </c>
      <c r="G122" s="450"/>
      <c r="H122" s="450"/>
      <c r="I122" s="623"/>
      <c r="J122" s="623"/>
      <c r="K122" s="623"/>
      <c r="AA122" s="96"/>
      <c r="AB122" s="145"/>
      <c r="AC122" s="6" t="s">
        <v>44</v>
      </c>
      <c r="AD122" s="6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7.25" customHeight="1" thickTop="1">
      <c r="C123" s="116" t="s">
        <v>16</v>
      </c>
      <c r="D123" s="116"/>
      <c r="E123" s="117"/>
      <c r="F123" s="117"/>
      <c r="G123" s="96"/>
      <c r="H123" s="96"/>
      <c r="I123" s="96"/>
      <c r="AA123" s="96"/>
      <c r="AB123" s="14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7.25" customHeight="1">
      <c r="C124" s="96"/>
      <c r="D124" s="96"/>
      <c r="E124" s="96"/>
      <c r="F124" s="518" t="s">
        <v>9</v>
      </c>
      <c r="G124" s="518"/>
      <c r="H124" s="518"/>
      <c r="I124" s="477" t="s">
        <v>12</v>
      </c>
      <c r="J124" s="478"/>
      <c r="K124" s="478"/>
      <c r="L124" s="479"/>
      <c r="M124" s="511" t="s">
        <v>13</v>
      </c>
      <c r="N124" s="511"/>
      <c r="O124" s="511"/>
      <c r="P124" s="520" t="s">
        <v>18</v>
      </c>
      <c r="Q124" s="520"/>
      <c r="R124" s="520"/>
      <c r="S124" s="520"/>
      <c r="T124" s="520"/>
      <c r="U124" s="520" t="s">
        <v>227</v>
      </c>
      <c r="V124" s="520"/>
      <c r="W124" s="520"/>
      <c r="X124" s="520"/>
      <c r="Y124" s="520"/>
      <c r="AA124" s="96"/>
      <c r="AB124" s="145"/>
      <c r="AC124" s="6" t="s">
        <v>332</v>
      </c>
      <c r="AD124" s="6">
        <f>VLOOKUP(P126,Outils!C15:E16,3)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7.25" customHeight="1">
      <c r="C125" s="143"/>
      <c r="D125" s="143"/>
      <c r="E125" s="143"/>
      <c r="F125" s="518"/>
      <c r="G125" s="518"/>
      <c r="H125" s="518"/>
      <c r="I125" s="480"/>
      <c r="J125" s="481"/>
      <c r="K125" s="481"/>
      <c r="L125" s="482"/>
      <c r="M125" s="511"/>
      <c r="N125" s="511"/>
      <c r="O125" s="511"/>
      <c r="P125" s="520"/>
      <c r="Q125" s="520"/>
      <c r="R125" s="520"/>
      <c r="S125" s="520"/>
      <c r="T125" s="520"/>
      <c r="U125" s="520"/>
      <c r="V125" s="520"/>
      <c r="W125" s="520"/>
      <c r="X125" s="520"/>
      <c r="Y125" s="520"/>
      <c r="Z125" s="96"/>
      <c r="AA125" s="96"/>
      <c r="AB125" s="145"/>
      <c r="AC125" s="6" t="s">
        <v>333</v>
      </c>
      <c r="AD125" s="6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7.25" customHeight="1">
      <c r="C126" s="143"/>
      <c r="D126" s="143"/>
      <c r="F126" s="597" t="str">
        <f>IF(G114=AD115,AD128,"---")</f>
        <v>---</v>
      </c>
      <c r="G126" s="597"/>
      <c r="H126" s="597"/>
      <c r="I126" s="588">
        <f>E84</f>
        <v>12.520130106144013</v>
      </c>
      <c r="J126" s="589"/>
      <c r="K126" s="589"/>
      <c r="L126" s="590"/>
      <c r="M126" s="700">
        <v>0</v>
      </c>
      <c r="N126" s="516"/>
      <c r="O126" s="516"/>
      <c r="P126" s="516" t="s">
        <v>4</v>
      </c>
      <c r="Q126" s="711" t="s">
        <v>221</v>
      </c>
      <c r="R126" s="516"/>
      <c r="S126" s="516"/>
      <c r="T126" s="516"/>
      <c r="U126" s="516" t="s">
        <v>3</v>
      </c>
      <c r="V126" s="711" t="s">
        <v>170</v>
      </c>
      <c r="W126" s="516"/>
      <c r="X126" s="516"/>
      <c r="Y126" s="516"/>
      <c r="Z126" s="96"/>
      <c r="AB126" s="145"/>
      <c r="AC126" s="6" t="s">
        <v>334</v>
      </c>
      <c r="AD126" s="6">
        <f>VLOOKUP(U126,Outils!C15:E16,3)</f>
        <v>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7.25" customHeight="1" collapsed="1" thickBot="1">
      <c r="C127" s="143"/>
      <c r="D127" s="143"/>
      <c r="E127" s="143"/>
      <c r="F127" s="598"/>
      <c r="G127" s="598"/>
      <c r="H127" s="598"/>
      <c r="I127" s="686"/>
      <c r="J127" s="763"/>
      <c r="K127" s="763"/>
      <c r="L127" s="687"/>
      <c r="M127" s="701"/>
      <c r="N127" s="517"/>
      <c r="O127" s="517"/>
      <c r="P127" s="517"/>
      <c r="Q127" s="517"/>
      <c r="R127" s="517"/>
      <c r="S127" s="517"/>
      <c r="T127" s="517"/>
      <c r="U127" s="517"/>
      <c r="V127" s="517"/>
      <c r="W127" s="517"/>
      <c r="X127" s="517"/>
      <c r="Y127" s="517"/>
      <c r="Z127" s="96"/>
      <c r="AB127" s="145"/>
      <c r="AC127" s="6" t="s">
        <v>335</v>
      </c>
      <c r="AD127" s="6" cm="1">
        <f t="array" ref="AD127">angleConvert2Decimal(V126)*AD126</f>
        <v>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7.25" customHeight="1" thickTop="1" thickBot="1">
      <c r="C128" s="143"/>
      <c r="D128" s="143"/>
      <c r="E128" s="143"/>
      <c r="F128" s="450" t="e" cm="1">
        <f t="array" ref="F128">angleDecimal2Txt(F126)</f>
        <v>#VALUE!</v>
      </c>
      <c r="G128" s="450"/>
      <c r="H128" s="450"/>
      <c r="I128" s="623"/>
      <c r="J128" s="623"/>
      <c r="K128" s="623"/>
      <c r="P128" s="450" t="str" cm="1">
        <f t="array" ref="P128">angleDecimal2Txt(AD125)</f>
        <v>-12°14.40 (-12.2400) [-12°14'24.00]</v>
      </c>
      <c r="Q128" s="450"/>
      <c r="R128" s="450"/>
      <c r="S128" s="450"/>
      <c r="T128" s="450"/>
      <c r="U128" s="450" t="str" cm="1">
        <f t="array" ref="U128">angleDecimal2Txt(AD127)</f>
        <v>+00°00.96 (+00.0160) [+00°00'57.60]</v>
      </c>
      <c r="V128" s="630"/>
      <c r="W128" s="630"/>
      <c r="X128" s="630"/>
      <c r="Y128" s="630"/>
      <c r="AB128" s="145"/>
      <c r="AC128" s="6" t="s">
        <v>336</v>
      </c>
      <c r="AD128" s="6">
        <f>AD125+AD127*(I126-M126)</f>
        <v>-12.039677918301695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7" s="98" customFormat="1" ht="17.25" customHeight="1" thickTop="1">
      <c r="C129" s="143"/>
      <c r="D129" s="143"/>
      <c r="E129" s="143"/>
      <c r="F129" s="143"/>
      <c r="G129" s="143"/>
      <c r="S129" s="96"/>
      <c r="T129" s="96"/>
      <c r="U129" s="96"/>
      <c r="V129" s="96"/>
      <c r="W129" s="96"/>
      <c r="X129" s="96"/>
      <c r="AB129" s="145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7" s="98" customFormat="1" ht="17.25" customHeight="1" thickBot="1">
      <c r="C130" s="143"/>
      <c r="D130" s="143"/>
      <c r="E130" s="143"/>
      <c r="F130" s="143"/>
      <c r="G130" s="143"/>
      <c r="S130" s="96"/>
      <c r="T130" s="96"/>
      <c r="U130" s="96"/>
      <c r="V130" s="96"/>
      <c r="W130" s="96"/>
      <c r="X130" s="96"/>
      <c r="AB130" s="145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7" s="98" customFormat="1" ht="17.25" customHeight="1" thickBot="1">
      <c r="B131" s="107" t="s">
        <v>25</v>
      </c>
      <c r="C131" s="108"/>
      <c r="D131" s="675" t="s">
        <v>100</v>
      </c>
      <c r="E131" s="679"/>
      <c r="F131" s="510">
        <f>IF(G132=AD132,O171,O161)</f>
        <v>67.147622184360216</v>
      </c>
      <c r="G131" s="510"/>
      <c r="H131" s="510"/>
      <c r="I131" s="108"/>
      <c r="J131" s="108"/>
      <c r="K131" s="108"/>
      <c r="L131" s="108" t="s">
        <v>88</v>
      </c>
      <c r="M131" s="675">
        <f>O134</f>
        <v>66.95</v>
      </c>
      <c r="N131" s="675"/>
      <c r="O131" s="108"/>
      <c r="P131" s="144"/>
      <c r="Q131" s="108" t="s">
        <v>127</v>
      </c>
      <c r="R131" s="108"/>
      <c r="S131" s="714">
        <f>-O148+O143+O152</f>
        <v>0.260725308404401</v>
      </c>
      <c r="T131" s="715"/>
      <c r="U131" s="716"/>
      <c r="V131" s="767" t="str" cm="1">
        <f t="array" ref="V131">angleDecimal2Txt(S131)</f>
        <v>+00°15.64 (+00.2607) [+00°15'38.61]</v>
      </c>
      <c r="W131" s="768"/>
      <c r="X131" s="768"/>
      <c r="Y131" s="768"/>
      <c r="Z131" s="769"/>
      <c r="AA131" s="108"/>
      <c r="AB131" s="148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7" s="98" customFormat="1" ht="17.25" customHeight="1">
      <c r="C132" s="508" t="s">
        <v>42</v>
      </c>
      <c r="D132" s="508"/>
      <c r="E132" s="508"/>
      <c r="F132" s="508"/>
      <c r="G132" s="629" t="s">
        <v>59</v>
      </c>
      <c r="H132" s="629"/>
      <c r="I132" s="629"/>
      <c r="P132" s="98" t="s">
        <v>97</v>
      </c>
      <c r="V132" s="96"/>
      <c r="W132" s="96"/>
      <c r="X132" s="96"/>
      <c r="Y132" s="96"/>
      <c r="Z132" s="96"/>
      <c r="AB132" s="145"/>
      <c r="AC132" s="706" t="s">
        <v>43</v>
      </c>
      <c r="AD132" s="152" t="s">
        <v>58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7" s="98" customFormat="1" ht="17.25" customHeight="1" thickBot="1">
      <c r="C133" s="115"/>
      <c r="D133" s="115"/>
      <c r="E133" s="115"/>
      <c r="F133" s="581" t="s">
        <v>90</v>
      </c>
      <c r="G133" s="581"/>
      <c r="H133" s="631"/>
      <c r="I133" s="631"/>
      <c r="J133" s="764">
        <f>IF(G132=AD132,"---",O161)</f>
        <v>67.147622184360216</v>
      </c>
      <c r="K133" s="765"/>
      <c r="L133" s="766"/>
      <c r="M133" s="233"/>
      <c r="N133" s="233"/>
      <c r="O133" s="233"/>
      <c r="P133" s="233"/>
      <c r="Q133" s="233"/>
      <c r="R133" s="233"/>
      <c r="S133" s="233"/>
      <c r="T133" s="233"/>
      <c r="U133" s="233"/>
      <c r="V133" s="234"/>
      <c r="W133" s="234"/>
      <c r="X133" s="234"/>
      <c r="Y133" s="234"/>
      <c r="Z133" s="234"/>
      <c r="AB133" s="145"/>
      <c r="AC133" s="706"/>
      <c r="AD133" s="152" t="s">
        <v>59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7" s="98" customFormat="1" ht="17.25" customHeight="1" thickTop="1" thickBot="1">
      <c r="H134" s="759" t="s">
        <v>55</v>
      </c>
      <c r="I134" s="760"/>
      <c r="J134" s="760"/>
      <c r="K134" s="760"/>
      <c r="L134" s="760"/>
      <c r="M134" s="760"/>
      <c r="N134" s="761"/>
      <c r="O134" s="437">
        <f>J94</f>
        <v>66.95</v>
      </c>
      <c r="P134" s="437"/>
      <c r="Q134" s="437"/>
      <c r="R134" s="437"/>
      <c r="S134" s="98" t="s">
        <v>71</v>
      </c>
      <c r="U134" s="421" t="str" cm="1">
        <f t="array" ref="U134">angleDecimal2Txt(O134)</f>
        <v>+66°57.00 (+66.9500) [+66°57'00.00]</v>
      </c>
      <c r="V134" s="422"/>
      <c r="W134" s="422"/>
      <c r="X134" s="422"/>
      <c r="Y134" s="422"/>
      <c r="Z134" s="423"/>
      <c r="AB134" s="145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7" s="98" customFormat="1" ht="17.25" customHeight="1" thickTop="1" thickBot="1">
      <c r="H135" s="759" t="s">
        <v>26</v>
      </c>
      <c r="I135" s="760"/>
      <c r="J135" s="760"/>
      <c r="K135" s="760"/>
      <c r="L135" s="760"/>
      <c r="M135" s="760"/>
      <c r="N135" s="761"/>
      <c r="O135" s="437">
        <f>J93</f>
        <v>2.1666666666666667E-2</v>
      </c>
      <c r="P135" s="437"/>
      <c r="Q135" s="437"/>
      <c r="R135" s="437"/>
      <c r="S135" s="98" t="s">
        <v>71</v>
      </c>
      <c r="U135" s="421" t="str" cm="1">
        <f t="array" ref="U135">angleDecimal2Txt(O135)</f>
        <v>+00°01.30 (+00.0216) [+00°01'18.00]</v>
      </c>
      <c r="V135" s="422"/>
      <c r="W135" s="422"/>
      <c r="X135" s="422"/>
      <c r="Y135" s="422"/>
      <c r="Z135" s="423"/>
      <c r="AB135" s="145"/>
      <c r="AC135" s="6" t="s">
        <v>87</v>
      </c>
      <c r="AD135" s="8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7" s="98" customFormat="1" ht="17.25" customHeight="1" thickTop="1" thickBot="1">
      <c r="C136" s="143"/>
      <c r="D136" s="143"/>
      <c r="E136" s="143"/>
      <c r="F136" s="143"/>
      <c r="H136" s="759" t="s">
        <v>96</v>
      </c>
      <c r="I136" s="760"/>
      <c r="J136" s="760"/>
      <c r="K136" s="760"/>
      <c r="L136" s="760"/>
      <c r="M136" s="760"/>
      <c r="N136" s="761"/>
      <c r="O136" s="446">
        <f>AD137</f>
        <v>4.1436457377531689E-2</v>
      </c>
      <c r="P136" s="446"/>
      <c r="Q136" s="446"/>
      <c r="R136" s="446"/>
      <c r="S136" s="98" t="s">
        <v>71</v>
      </c>
      <c r="U136" s="421" t="str" cm="1">
        <f t="array" ref="U136">angleDecimal2Txt(O136)</f>
        <v>+00°02.48 (+00.0414) [+00°02'29.17]</v>
      </c>
      <c r="V136" s="422"/>
      <c r="W136" s="422"/>
      <c r="X136" s="422"/>
      <c r="Y136" s="422"/>
      <c r="Z136" s="423"/>
      <c r="AB136" s="145"/>
      <c r="AC136" s="6" t="s">
        <v>54</v>
      </c>
      <c r="AD136" s="6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7" s="98" customFormat="1" ht="17.25" customHeight="1" thickTop="1" thickBot="1">
      <c r="C137" s="143"/>
      <c r="D137" s="143"/>
      <c r="E137" s="143"/>
      <c r="F137" s="143"/>
      <c r="G137" s="143"/>
      <c r="K137" s="96"/>
      <c r="L137" s="96"/>
      <c r="M137" s="685" t="s">
        <v>175</v>
      </c>
      <c r="N137" s="685"/>
      <c r="O137" s="685"/>
      <c r="P137" s="685"/>
      <c r="Q137" s="96"/>
      <c r="R137" s="96"/>
      <c r="U137" s="96"/>
      <c r="V137" s="96"/>
      <c r="W137" s="96"/>
      <c r="X137" s="96"/>
      <c r="Y137" s="96"/>
      <c r="Z137" s="96"/>
      <c r="AB137" s="145"/>
      <c r="AC137" s="158" t="s">
        <v>95</v>
      </c>
      <c r="AD137" s="6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7" s="98" customFormat="1" ht="17.25" customHeight="1" thickTop="1" thickBot="1">
      <c r="C138" s="143"/>
      <c r="D138" s="143"/>
      <c r="E138" s="143"/>
      <c r="F138" s="143"/>
      <c r="H138" s="762" t="s">
        <v>56</v>
      </c>
      <c r="I138" s="569"/>
      <c r="J138" s="569"/>
      <c r="K138" s="569"/>
      <c r="L138" s="569"/>
      <c r="M138" s="569"/>
      <c r="N138" s="570"/>
      <c r="O138" s="599">
        <f>O134-O135-O136</f>
        <v>66.886896875955813</v>
      </c>
      <c r="P138" s="580"/>
      <c r="Q138" s="98" t="s">
        <v>71</v>
      </c>
      <c r="R138" s="605">
        <f>O138*Outils!F10</f>
        <v>1.1673965769273382</v>
      </c>
      <c r="S138" s="605"/>
      <c r="T138" s="119" t="s">
        <v>92</v>
      </c>
      <c r="U138" s="421" t="str" cm="1">
        <f t="array" ref="U138">angleDecimal2Txt(O138)</f>
        <v>+66°53.21 (+66.8868) [+66°53'12.82]</v>
      </c>
      <c r="V138" s="422"/>
      <c r="W138" s="422"/>
      <c r="X138" s="422"/>
      <c r="Y138" s="422"/>
      <c r="Z138" s="423"/>
      <c r="AB138" s="14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7" s="98" customFormat="1" ht="17.25" customHeight="1" thickTop="1"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U139" s="96"/>
      <c r="V139" s="96"/>
      <c r="W139" s="96"/>
      <c r="X139" s="96"/>
      <c r="Y139" s="96"/>
      <c r="Z139" s="96"/>
      <c r="AB139" s="145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7" s="98" customFormat="1" ht="17.25" customHeight="1">
      <c r="C140" s="143"/>
      <c r="D140" s="143"/>
      <c r="E140" s="143"/>
      <c r="F140" s="143"/>
      <c r="H140" s="96"/>
      <c r="I140" s="96"/>
      <c r="J140" s="96"/>
      <c r="K140" s="96"/>
      <c r="L140" s="96"/>
      <c r="M140" s="601" t="s">
        <v>89</v>
      </c>
      <c r="N140" s="601"/>
      <c r="O140" s="601"/>
      <c r="P140" s="601"/>
      <c r="Q140" s="96"/>
      <c r="R140" s="96"/>
      <c r="U140" s="96"/>
      <c r="V140" s="96"/>
      <c r="W140" s="96"/>
      <c r="X140" s="96"/>
      <c r="Y140" s="96"/>
      <c r="Z140" s="96"/>
      <c r="AB140" s="14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7" s="98" customFormat="1" ht="17.25" customHeight="1" thickBot="1">
      <c r="M141" s="602" t="s">
        <v>235</v>
      </c>
      <c r="N141" s="602"/>
      <c r="O141" s="601"/>
      <c r="P141" s="601"/>
      <c r="AB141" s="14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7" ht="17.25" customHeight="1" thickTop="1" thickBot="1">
      <c r="A142" s="96"/>
      <c r="B142" s="96"/>
      <c r="C142" s="96"/>
      <c r="D142" s="96"/>
      <c r="E142" s="96"/>
      <c r="F142" s="98"/>
      <c r="G142" s="98"/>
      <c r="H142" s="722" t="s">
        <v>60</v>
      </c>
      <c r="I142" s="723"/>
      <c r="J142" s="723"/>
      <c r="K142" s="723"/>
      <c r="L142" s="723"/>
      <c r="M142" s="723"/>
      <c r="N142" s="724"/>
      <c r="O142" s="603">
        <f>J97</f>
        <v>2.8833333333333332E-3</v>
      </c>
      <c r="P142" s="604"/>
      <c r="Q142" s="604"/>
      <c r="R142" s="604"/>
      <c r="S142" s="98" t="s">
        <v>71</v>
      </c>
      <c r="T142" s="98"/>
      <c r="U142" s="421" t="str" cm="1">
        <f t="array" ref="U142">angleDecimal2Txt(O142)</f>
        <v>+00°00.17 (+00.0028) [+00°00'10.37]</v>
      </c>
      <c r="V142" s="422"/>
      <c r="W142" s="422"/>
      <c r="X142" s="422"/>
      <c r="Y142" s="422"/>
      <c r="Z142" s="423"/>
      <c r="AA142" s="98"/>
      <c r="AB142" s="145"/>
      <c r="AC142" s="6" t="s">
        <v>340</v>
      </c>
      <c r="AD142" s="6">
        <f>O142*COS(R138)</f>
        <v>1.1318451843031962E-3</v>
      </c>
      <c r="BN142" s="106"/>
      <c r="BO142" s="98"/>
    </row>
    <row r="143" spans="1:67" ht="17.25" customHeight="1" thickTop="1" thickBot="1">
      <c r="A143" s="96"/>
      <c r="B143" s="96"/>
      <c r="C143" s="96"/>
      <c r="D143" s="96"/>
      <c r="E143" s="96"/>
      <c r="F143" s="98"/>
      <c r="G143" s="98"/>
      <c r="H143" s="568" t="s">
        <v>236</v>
      </c>
      <c r="I143" s="569"/>
      <c r="J143" s="569"/>
      <c r="K143" s="569"/>
      <c r="L143" s="569"/>
      <c r="M143" s="569"/>
      <c r="N143" s="570"/>
      <c r="O143" s="438">
        <f>AD142</f>
        <v>1.1318451843031962E-3</v>
      </c>
      <c r="P143" s="438"/>
      <c r="Q143" s="438"/>
      <c r="R143" s="438"/>
      <c r="S143" s="98" t="s">
        <v>71</v>
      </c>
      <c r="T143" s="98"/>
      <c r="U143" s="421" t="str" cm="1">
        <f t="array" ref="U143">angleDecimal2Txt(O143)</f>
        <v>+00°00.06 (+00.0011) [+00°00'04.07]</v>
      </c>
      <c r="V143" s="422"/>
      <c r="W143" s="422"/>
      <c r="X143" s="422"/>
      <c r="Y143" s="422"/>
      <c r="Z143" s="423"/>
      <c r="AA143" s="98"/>
      <c r="AB143" s="145"/>
      <c r="BN143" s="106"/>
      <c r="BO143" s="98"/>
    </row>
    <row r="144" spans="1:67" ht="17.25" customHeight="1" thickTop="1">
      <c r="A144" s="96"/>
      <c r="B144" s="96"/>
      <c r="C144" s="96"/>
      <c r="D144" s="96"/>
      <c r="E144" s="96"/>
      <c r="F144" s="98"/>
      <c r="G144" s="98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8"/>
      <c r="AB144" s="145"/>
      <c r="BN144" s="106"/>
      <c r="BO144" s="98"/>
    </row>
    <row r="145" spans="1:67" ht="17.25" customHeight="1">
      <c r="A145" s="96"/>
      <c r="B145" s="96"/>
      <c r="C145" s="96"/>
      <c r="D145" s="96"/>
      <c r="E145" s="143"/>
      <c r="F145" s="98"/>
      <c r="G145" s="98"/>
      <c r="H145" s="96"/>
      <c r="I145" s="96"/>
      <c r="J145" s="96"/>
      <c r="K145" s="96"/>
      <c r="L145" s="96"/>
      <c r="M145" s="96"/>
      <c r="N145" s="96"/>
      <c r="O145" s="96"/>
      <c r="P145" s="98"/>
      <c r="Q145" s="98"/>
      <c r="R145" s="98"/>
      <c r="S145" s="554" t="s">
        <v>191</v>
      </c>
      <c r="T145" s="555"/>
      <c r="U145" s="556"/>
      <c r="V145" s="98"/>
      <c r="W145" s="98"/>
      <c r="X145" s="98"/>
      <c r="Y145" s="96"/>
      <c r="Z145" s="96"/>
      <c r="AA145" s="98"/>
      <c r="AB145" s="145"/>
      <c r="AC145" s="6" t="s">
        <v>57</v>
      </c>
      <c r="AD145" s="6" t="s">
        <v>342</v>
      </c>
      <c r="BN145" s="106"/>
      <c r="BO145" s="98"/>
    </row>
    <row r="146" spans="1:67" ht="17.25" customHeight="1">
      <c r="A146" s="96"/>
      <c r="B146" s="96"/>
      <c r="C146" s="96"/>
      <c r="D146" s="96"/>
      <c r="E146" s="143"/>
      <c r="F146" s="98"/>
      <c r="G146" s="98"/>
      <c r="H146" s="722" t="s">
        <v>93</v>
      </c>
      <c r="I146" s="723"/>
      <c r="J146" s="723"/>
      <c r="K146" s="723"/>
      <c r="L146" s="723"/>
      <c r="M146" s="723"/>
      <c r="N146" s="724"/>
      <c r="O146" s="571">
        <f>S146</f>
        <v>10</v>
      </c>
      <c r="P146" s="572"/>
      <c r="Q146" s="572"/>
      <c r="R146" s="572"/>
      <c r="S146" s="682">
        <v>10</v>
      </c>
      <c r="T146" s="683"/>
      <c r="U146" s="684"/>
      <c r="V146" s="98"/>
      <c r="W146" s="98"/>
      <c r="X146" s="98"/>
      <c r="Y146" s="96"/>
      <c r="Z146" s="96"/>
      <c r="AA146" s="98"/>
      <c r="AB146" s="145"/>
      <c r="AC146" s="6" t="s">
        <v>343</v>
      </c>
      <c r="AD146" s="6">
        <f>1/TAN((O138 + 7.31 / (O138 + 4.4)) * Outils!F10)</f>
        <v>0.4246923427253872</v>
      </c>
      <c r="BN146" s="106"/>
      <c r="BO146" s="98"/>
    </row>
    <row r="147" spans="1:67" ht="17.25" customHeight="1" thickBot="1">
      <c r="A147" s="96"/>
      <c r="B147" s="96"/>
      <c r="C147" s="96"/>
      <c r="D147" s="96"/>
      <c r="E147" s="96"/>
      <c r="F147" s="98"/>
      <c r="G147" s="98"/>
      <c r="H147" s="722" t="s">
        <v>94</v>
      </c>
      <c r="I147" s="723"/>
      <c r="J147" s="723"/>
      <c r="K147" s="723"/>
      <c r="L147" s="723"/>
      <c r="M147" s="723"/>
      <c r="N147" s="724"/>
      <c r="O147" s="571">
        <f>S147</f>
        <v>1010</v>
      </c>
      <c r="P147" s="572"/>
      <c r="Q147" s="572"/>
      <c r="R147" s="572"/>
      <c r="S147" s="682">
        <v>1010</v>
      </c>
      <c r="T147" s="683"/>
      <c r="U147" s="684"/>
      <c r="V147" s="98"/>
      <c r="W147" s="98"/>
      <c r="X147" s="98"/>
      <c r="Y147" s="96"/>
      <c r="Z147" s="96"/>
      <c r="AA147" s="98"/>
      <c r="AB147" s="145"/>
      <c r="AC147" s="6" t="s">
        <v>344</v>
      </c>
      <c r="AD147" s="6">
        <f>AD146/60</f>
        <v>7.0782057120897862E-3</v>
      </c>
      <c r="BN147" s="106"/>
      <c r="BO147" s="98"/>
    </row>
    <row r="148" spans="1:67" ht="17.25" customHeight="1" thickTop="1" thickBot="1">
      <c r="A148" s="96"/>
      <c r="B148" s="96"/>
      <c r="C148" s="96"/>
      <c r="D148" s="96"/>
      <c r="E148" s="96"/>
      <c r="F148" s="98"/>
      <c r="G148" s="98"/>
      <c r="H148" s="568" t="s">
        <v>237</v>
      </c>
      <c r="I148" s="569"/>
      <c r="J148" s="569"/>
      <c r="K148" s="569"/>
      <c r="L148" s="569"/>
      <c r="M148" s="569"/>
      <c r="N148" s="570"/>
      <c r="O148" s="438">
        <f>AD149</f>
        <v>7.0732034465688749E-3</v>
      </c>
      <c r="P148" s="438"/>
      <c r="Q148" s="438"/>
      <c r="R148" s="438"/>
      <c r="S148" s="98" t="s">
        <v>71</v>
      </c>
      <c r="T148" s="98"/>
      <c r="U148" s="421" t="str" cm="1">
        <f t="array" ref="U148">angleDecimal2Txt(O148)</f>
        <v>+00°00.42 (+00.0070) [+00°00'25.46]</v>
      </c>
      <c r="V148" s="422"/>
      <c r="W148" s="422"/>
      <c r="X148" s="422"/>
      <c r="Y148" s="422"/>
      <c r="Z148" s="423"/>
      <c r="AA148" s="98"/>
      <c r="AB148" s="145"/>
      <c r="AC148" s="6" t="s">
        <v>128</v>
      </c>
      <c r="AD148" s="6">
        <f xml:space="preserve"> 0.28 * O147 / (273 + O146)</f>
        <v>0.99929328621908131</v>
      </c>
      <c r="BN148" s="106"/>
      <c r="BO148" s="98"/>
    </row>
    <row r="149" spans="1:67" ht="17.25" customHeight="1" thickTop="1">
      <c r="A149" s="96"/>
      <c r="B149" s="96"/>
      <c r="C149" s="96"/>
      <c r="D149" s="96"/>
      <c r="E149" s="96"/>
      <c r="F149" s="98"/>
      <c r="G149" s="98"/>
      <c r="H149" s="96"/>
      <c r="I149" s="96"/>
      <c r="J149" s="96"/>
      <c r="K149" s="96"/>
      <c r="L149" s="96"/>
      <c r="M149" s="96"/>
      <c r="N149" s="96"/>
      <c r="O149" s="96"/>
      <c r="P149" s="98"/>
      <c r="Q149" s="98"/>
      <c r="R149" s="98"/>
      <c r="S149" s="98"/>
      <c r="T149" s="98"/>
      <c r="U149" s="98"/>
      <c r="V149" s="98"/>
      <c r="W149" s="98"/>
      <c r="X149" s="98"/>
      <c r="Y149" s="96"/>
      <c r="Z149" s="96"/>
      <c r="AA149" s="98"/>
      <c r="AB149" s="145"/>
      <c r="AC149" s="6" t="s">
        <v>341</v>
      </c>
      <c r="AD149" s="6">
        <f>AD148*AD147</f>
        <v>7.0732034465688749E-3</v>
      </c>
      <c r="BN149" s="106"/>
      <c r="BO149" s="98"/>
    </row>
    <row r="150" spans="1:67" ht="17.25" customHeight="1">
      <c r="A150" s="96"/>
      <c r="B150" s="96"/>
      <c r="C150" s="96"/>
      <c r="D150" s="96"/>
      <c r="E150" s="96"/>
      <c r="F150" s="98"/>
      <c r="G150" s="98"/>
      <c r="H150" s="722" t="s">
        <v>134</v>
      </c>
      <c r="I150" s="723"/>
      <c r="J150" s="723"/>
      <c r="K150" s="723"/>
      <c r="L150" s="723"/>
      <c r="M150" s="723"/>
      <c r="N150" s="724"/>
      <c r="O150" s="557">
        <f>J101</f>
        <v>0.53333333333333333</v>
      </c>
      <c r="P150" s="557"/>
      <c r="Q150" s="557"/>
      <c r="R150" s="557"/>
      <c r="S150" s="98"/>
      <c r="T150" s="98"/>
      <c r="U150" s="98"/>
      <c r="V150" s="98"/>
      <c r="W150" s="98"/>
      <c r="X150" s="98"/>
      <c r="Y150" s="98"/>
      <c r="Z150" s="98"/>
      <c r="AA150" s="98"/>
      <c r="AB150" s="145"/>
      <c r="BN150" s="106"/>
      <c r="BO150" s="98"/>
    </row>
    <row r="151" spans="1:67" ht="17.25" customHeight="1" thickBot="1">
      <c r="A151" s="98"/>
      <c r="B151" s="96"/>
      <c r="C151" s="96"/>
      <c r="D151" s="96"/>
      <c r="E151" s="143"/>
      <c r="F151" s="143"/>
      <c r="G151" s="143"/>
      <c r="H151" s="722" t="s">
        <v>98</v>
      </c>
      <c r="I151" s="723"/>
      <c r="J151" s="723"/>
      <c r="K151" s="723"/>
      <c r="L151" s="723"/>
      <c r="M151" s="723"/>
      <c r="N151" s="724"/>
      <c r="O151" s="557" t="str">
        <f>J96</f>
        <v>BordInf</v>
      </c>
      <c r="P151" s="557"/>
      <c r="Q151" s="557"/>
      <c r="R151" s="557"/>
      <c r="S151" s="98"/>
      <c r="T151" s="98"/>
      <c r="U151" s="98"/>
      <c r="V151" s="98"/>
      <c r="W151" s="98"/>
      <c r="X151" s="98"/>
      <c r="Y151" s="98"/>
      <c r="Z151" s="98"/>
      <c r="AA151" s="98"/>
      <c r="AB151" s="145"/>
      <c r="AC151" s="6" t="s">
        <v>37</v>
      </c>
      <c r="AD151" s="419" t="str">
        <f>J95</f>
        <v>Soleil</v>
      </c>
      <c r="AE151" s="419"/>
      <c r="BN151" s="106"/>
      <c r="BO151" s="98"/>
    </row>
    <row r="152" spans="1:67" ht="17.25" customHeight="1" thickTop="1" thickBot="1">
      <c r="A152" s="98"/>
      <c r="B152" s="98"/>
      <c r="C152" s="143"/>
      <c r="D152" s="143"/>
      <c r="E152" s="143"/>
      <c r="F152" s="143"/>
      <c r="G152" s="143"/>
      <c r="H152" s="568" t="s">
        <v>99</v>
      </c>
      <c r="I152" s="569"/>
      <c r="J152" s="569"/>
      <c r="K152" s="569"/>
      <c r="L152" s="569"/>
      <c r="M152" s="569"/>
      <c r="N152" s="570"/>
      <c r="O152" s="576">
        <f>AD155</f>
        <v>0.26666666666666666</v>
      </c>
      <c r="P152" s="576"/>
      <c r="Q152" s="576"/>
      <c r="R152" s="576"/>
      <c r="S152" s="98" t="s">
        <v>71</v>
      </c>
      <c r="T152" s="98"/>
      <c r="U152" s="421" t="str" cm="1">
        <f t="array" ref="U152">angleDecimal2Txt(O152)</f>
        <v>+00°16.00 (+00.2666) [+00°16'00.00]</v>
      </c>
      <c r="V152" s="422"/>
      <c r="W152" s="422"/>
      <c r="X152" s="422"/>
      <c r="Y152" s="422"/>
      <c r="Z152" s="423"/>
      <c r="AA152" s="98"/>
      <c r="AB152" s="145"/>
      <c r="AC152" s="6" t="s">
        <v>348</v>
      </c>
      <c r="AD152" s="419" t="str">
        <f>O151</f>
        <v>BordInf</v>
      </c>
      <c r="AE152" s="419"/>
      <c r="BN152" s="106"/>
      <c r="BO152" s="98"/>
    </row>
    <row r="153" spans="1:67" ht="17.25" customHeight="1" thickTop="1">
      <c r="A153" s="98"/>
      <c r="B153" s="98"/>
      <c r="C153" s="143"/>
      <c r="D153" s="143"/>
      <c r="E153" s="143"/>
      <c r="F153" s="143"/>
      <c r="G153" s="143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8"/>
      <c r="AB153" s="145"/>
      <c r="AC153" s="6" t="s">
        <v>349</v>
      </c>
      <c r="AD153" s="678">
        <f>HLOOKUP(AD152,AD100:AF101,2)</f>
        <v>0.5</v>
      </c>
      <c r="AE153" s="678"/>
      <c r="BN153" s="106"/>
      <c r="BO153" s="98"/>
    </row>
    <row r="154" spans="1:67" ht="17.25" customHeight="1">
      <c r="A154" s="98"/>
      <c r="B154" s="98"/>
      <c r="C154" s="143"/>
      <c r="D154" s="143"/>
      <c r="E154" s="143"/>
      <c r="F154" s="143"/>
      <c r="G154" s="584" t="s">
        <v>167</v>
      </c>
      <c r="H154" s="585"/>
      <c r="I154" s="585"/>
      <c r="J154" s="585"/>
      <c r="K154" s="585"/>
      <c r="L154" s="585"/>
      <c r="M154" s="585"/>
      <c r="N154" s="585"/>
      <c r="O154" s="585"/>
      <c r="P154" s="585"/>
      <c r="Q154" s="585"/>
      <c r="R154" s="585"/>
      <c r="S154" s="586"/>
      <c r="T154" s="96"/>
      <c r="U154" s="96"/>
      <c r="V154" s="96"/>
      <c r="W154" s="96"/>
      <c r="X154" s="96"/>
      <c r="Y154" s="96"/>
      <c r="Z154" s="96"/>
      <c r="AA154" s="98"/>
      <c r="AB154" s="145"/>
      <c r="AC154" s="6" t="s">
        <v>134</v>
      </c>
      <c r="AD154" s="6" t="str">
        <f>HLOOKUP(AD151,AD96:AF98,3)</f>
        <v>32'</v>
      </c>
      <c r="AE154" s="6" cm="1">
        <f t="array" ref="AE154">angleConvert2Decimal(AD154)</f>
        <v>0.53333333333333333</v>
      </c>
      <c r="BN154" s="106"/>
      <c r="BO154" s="98"/>
    </row>
    <row r="155" spans="1:67" ht="17.25" customHeight="1">
      <c r="A155" s="98"/>
      <c r="B155" s="98"/>
      <c r="C155" s="143"/>
      <c r="D155" s="143"/>
      <c r="E155" s="143"/>
      <c r="F155" s="143"/>
      <c r="G155" s="588" t="s">
        <v>180</v>
      </c>
      <c r="H155" s="590"/>
      <c r="I155" s="606" t="s">
        <v>172</v>
      </c>
      <c r="J155" s="607"/>
      <c r="K155" s="607"/>
      <c r="L155" s="607"/>
      <c r="M155" s="607"/>
      <c r="N155" s="608"/>
      <c r="O155" s="559">
        <f>(O143-O148-O136+O150/2) * 60</f>
        <v>13.157331061612158</v>
      </c>
      <c r="P155" s="560"/>
      <c r="Q155" s="560"/>
      <c r="R155" s="560"/>
      <c r="S155" s="563" t="s">
        <v>168</v>
      </c>
      <c r="T155" s="96"/>
      <c r="U155" s="96"/>
      <c r="V155" s="96"/>
      <c r="W155" s="96"/>
      <c r="X155" s="96"/>
      <c r="Y155" s="96"/>
      <c r="Z155" s="96"/>
      <c r="AA155" s="98"/>
      <c r="AB155" s="145"/>
      <c r="AC155" s="6" t="s">
        <v>349</v>
      </c>
      <c r="AD155" s="678">
        <f>AE154*AD153</f>
        <v>0.26666666666666666</v>
      </c>
      <c r="AE155" s="678"/>
      <c r="BN155" s="106"/>
      <c r="BO155" s="98"/>
    </row>
    <row r="156" spans="1:67" ht="17.25" customHeight="1">
      <c r="A156" s="98"/>
      <c r="B156" s="98"/>
      <c r="C156" s="143"/>
      <c r="D156" s="143"/>
      <c r="E156" s="143"/>
      <c r="F156" s="143"/>
      <c r="G156" s="686"/>
      <c r="H156" s="687"/>
      <c r="I156" s="565" t="s">
        <v>176</v>
      </c>
      <c r="J156" s="566"/>
      <c r="K156" s="566"/>
      <c r="L156" s="566"/>
      <c r="M156" s="566"/>
      <c r="N156" s="567"/>
      <c r="O156" s="561"/>
      <c r="P156" s="562"/>
      <c r="Q156" s="562"/>
      <c r="R156" s="562"/>
      <c r="S156" s="564"/>
      <c r="T156" s="96"/>
      <c r="U156" s="96"/>
      <c r="V156" s="96"/>
      <c r="W156" s="96"/>
      <c r="X156" s="96"/>
      <c r="Y156" s="96"/>
      <c r="Z156" s="96"/>
      <c r="AA156" s="98"/>
      <c r="AB156" s="145"/>
      <c r="BN156" s="106"/>
      <c r="BO156" s="98"/>
    </row>
    <row r="157" spans="1:67" ht="17.25" customHeight="1">
      <c r="A157" s="98"/>
      <c r="B157" s="98"/>
      <c r="C157" s="143"/>
      <c r="D157" s="143"/>
      <c r="E157" s="143"/>
      <c r="F157" s="143"/>
      <c r="G157" s="143"/>
      <c r="H157" s="96"/>
      <c r="I157" s="606" t="s">
        <v>173</v>
      </c>
      <c r="J157" s="607"/>
      <c r="K157" s="607"/>
      <c r="L157" s="607"/>
      <c r="M157" s="607"/>
      <c r="N157" s="608"/>
      <c r="O157" s="560">
        <f>(O143-O148+O150/2)*60</f>
        <v>15.64351850426406</v>
      </c>
      <c r="P157" s="560"/>
      <c r="Q157" s="560"/>
      <c r="R157" s="560"/>
      <c r="S157" s="563" t="s">
        <v>168</v>
      </c>
      <c r="T157" s="96"/>
      <c r="U157" s="96"/>
      <c r="V157" s="96"/>
      <c r="W157" s="96"/>
      <c r="X157" s="96"/>
      <c r="Y157" s="96"/>
      <c r="Z157" s="96"/>
      <c r="AA157" s="98"/>
      <c r="AB157" s="145"/>
      <c r="BN157" s="106"/>
      <c r="BO157" s="98"/>
    </row>
    <row r="158" spans="1:67" ht="17.25" customHeight="1">
      <c r="A158" s="98"/>
      <c r="B158" s="98"/>
      <c r="C158" s="143"/>
      <c r="D158" s="143"/>
      <c r="E158" s="143"/>
      <c r="F158" s="143"/>
      <c r="G158" s="143"/>
      <c r="H158" s="96"/>
      <c r="I158" s="565" t="s">
        <v>174</v>
      </c>
      <c r="J158" s="566"/>
      <c r="K158" s="566"/>
      <c r="L158" s="566"/>
      <c r="M158" s="566"/>
      <c r="N158" s="567"/>
      <c r="O158" s="562"/>
      <c r="P158" s="562"/>
      <c r="Q158" s="562"/>
      <c r="R158" s="562"/>
      <c r="S158" s="564"/>
      <c r="T158" s="96"/>
      <c r="U158" s="96"/>
      <c r="V158" s="96"/>
      <c r="W158" s="96"/>
      <c r="X158" s="96"/>
      <c r="Y158" s="96"/>
      <c r="Z158" s="96"/>
      <c r="AA158" s="98"/>
      <c r="AB158" s="145"/>
      <c r="BN158" s="106"/>
      <c r="BO158" s="98"/>
    </row>
    <row r="159" spans="1:67" ht="17.25" customHeight="1">
      <c r="A159" s="98"/>
      <c r="B159" s="98"/>
      <c r="C159" s="143"/>
      <c r="D159" s="143"/>
      <c r="E159" s="143"/>
      <c r="F159" s="143"/>
      <c r="G159" s="143"/>
      <c r="H159" s="96"/>
      <c r="I159" s="734" t="s">
        <v>99</v>
      </c>
      <c r="J159" s="735"/>
      <c r="K159" s="735"/>
      <c r="L159" s="735"/>
      <c r="M159" s="735"/>
      <c r="N159" s="736"/>
      <c r="O159" s="531">
        <f>O152*60</f>
        <v>16</v>
      </c>
      <c r="P159" s="532"/>
      <c r="Q159" s="532"/>
      <c r="R159" s="532"/>
      <c r="S159" s="159" t="s">
        <v>168</v>
      </c>
      <c r="T159" s="96"/>
      <c r="U159" s="96"/>
      <c r="V159" s="96"/>
      <c r="W159" s="96"/>
      <c r="X159" s="96"/>
      <c r="Y159" s="96"/>
      <c r="Z159" s="96"/>
      <c r="AA159" s="98"/>
      <c r="AB159" s="145"/>
      <c r="BN159" s="106"/>
      <c r="BO159" s="98"/>
    </row>
    <row r="160" spans="1:67" ht="17.25" customHeight="1" thickBot="1">
      <c r="A160" s="98"/>
      <c r="B160" s="98"/>
      <c r="C160" s="143"/>
      <c r="D160" s="143"/>
      <c r="E160" s="143"/>
      <c r="F160" s="143"/>
      <c r="G160" s="143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8"/>
      <c r="T160" s="98"/>
      <c r="U160" s="98"/>
      <c r="V160" s="98"/>
      <c r="W160" s="98"/>
      <c r="X160" s="98"/>
      <c r="Y160" s="98"/>
      <c r="Z160" s="98"/>
      <c r="AA160" s="98"/>
      <c r="AB160" s="145"/>
      <c r="BN160" s="106"/>
      <c r="BO160" s="98"/>
    </row>
    <row r="161" spans="1:67" ht="17.25" customHeight="1" thickTop="1" thickBot="1">
      <c r="A161" s="98"/>
      <c r="B161" s="98"/>
      <c r="C161" s="143"/>
      <c r="D161" s="143"/>
      <c r="E161" s="143"/>
      <c r="F161" s="143"/>
      <c r="G161" s="143"/>
      <c r="H161" s="577" t="s">
        <v>238</v>
      </c>
      <c r="I161" s="578"/>
      <c r="J161" s="578"/>
      <c r="K161" s="578"/>
      <c r="L161" s="578"/>
      <c r="M161" s="578"/>
      <c r="N161" s="579"/>
      <c r="O161" s="580">
        <f>O138-O148+O143+O152</f>
        <v>67.147622184360216</v>
      </c>
      <c r="P161" s="438"/>
      <c r="Q161" s="438"/>
      <c r="R161" s="438"/>
      <c r="S161" s="98" t="s">
        <v>71</v>
      </c>
      <c r="T161" s="98"/>
      <c r="U161" s="421" t="str" cm="1">
        <f t="array" ref="U161">angleDecimal2Txt(O161)</f>
        <v>+67°08.85 (+67.1476) [+67°08'51.43]</v>
      </c>
      <c r="V161" s="422"/>
      <c r="W161" s="422"/>
      <c r="X161" s="422"/>
      <c r="Y161" s="422"/>
      <c r="Z161" s="423"/>
      <c r="AA161" s="98"/>
      <c r="AB161" s="145"/>
      <c r="BN161" s="106"/>
      <c r="BO161" s="98"/>
    </row>
    <row r="162" spans="1:67" ht="17.25" customHeight="1" thickTop="1">
      <c r="A162" s="98"/>
      <c r="B162" s="98"/>
      <c r="C162" s="143"/>
      <c r="D162" s="143"/>
      <c r="E162" s="143"/>
      <c r="F162" s="143"/>
      <c r="G162" s="143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145"/>
      <c r="BN162" s="106"/>
      <c r="BO162" s="98"/>
    </row>
    <row r="163" spans="1:67" ht="17.25" customHeight="1">
      <c r="A163" s="98"/>
      <c r="B163" s="98"/>
      <c r="C163" s="143"/>
      <c r="D163" s="143"/>
      <c r="E163" s="143"/>
      <c r="F163" s="581" t="s">
        <v>91</v>
      </c>
      <c r="G163" s="581"/>
      <c r="H163" s="581"/>
      <c r="I163" s="581"/>
      <c r="J163" s="599" t="str">
        <f>IF(G132=AD132,O171,"---")</f>
        <v>---</v>
      </c>
      <c r="K163" s="612"/>
      <c r="L163" s="580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3"/>
      <c r="Y163" s="233"/>
      <c r="Z163" s="233"/>
      <c r="AA163" s="98"/>
      <c r="AB163" s="145"/>
      <c r="BN163" s="106"/>
      <c r="BO163" s="98"/>
    </row>
    <row r="164" spans="1:67" ht="17.25" customHeight="1">
      <c r="A164" s="98"/>
      <c r="B164" s="98"/>
      <c r="C164" s="143"/>
      <c r="D164" s="143"/>
      <c r="E164" s="143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145"/>
      <c r="BN164" s="106"/>
      <c r="BO164" s="98"/>
    </row>
    <row r="165" spans="1:67" ht="17.25" customHeight="1">
      <c r="A165" s="98"/>
      <c r="B165" s="98"/>
      <c r="C165" s="143"/>
      <c r="D165" s="143"/>
      <c r="E165" s="143"/>
      <c r="M165" s="98"/>
      <c r="N165" s="98"/>
      <c r="O165" s="98"/>
      <c r="P165" s="98"/>
      <c r="Q165" s="98"/>
      <c r="R165" s="98"/>
      <c r="S165" s="98"/>
      <c r="T165" s="236" t="s">
        <v>112</v>
      </c>
      <c r="U165" s="551" t="s">
        <v>40</v>
      </c>
      <c r="V165" s="551"/>
      <c r="W165" s="98"/>
      <c r="X165" s="98"/>
      <c r="Y165" s="98"/>
      <c r="Z165" s="98"/>
      <c r="AA165" s="98"/>
      <c r="AB165" s="145"/>
      <c r="BN165" s="106"/>
      <c r="BO165" s="98"/>
    </row>
    <row r="166" spans="1:67" ht="17.25" customHeight="1">
      <c r="A166" s="98"/>
      <c r="B166" s="98"/>
      <c r="C166" s="143"/>
      <c r="D166" s="143"/>
      <c r="E166" s="143"/>
      <c r="F166" s="143"/>
      <c r="G166" s="143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237" t="s">
        <v>108</v>
      </c>
      <c r="U166" s="551" t="s">
        <v>110</v>
      </c>
      <c r="V166" s="551"/>
      <c r="W166" s="98"/>
      <c r="X166" s="98"/>
      <c r="Y166" s="98"/>
      <c r="Z166" s="98"/>
      <c r="AA166" s="98"/>
      <c r="AB166" s="145"/>
      <c r="BN166" s="106"/>
      <c r="BO166" s="98"/>
    </row>
    <row r="167" spans="1:67" ht="17.25" customHeight="1">
      <c r="A167" s="98"/>
      <c r="B167" s="98"/>
      <c r="C167" s="143"/>
      <c r="D167" s="143"/>
      <c r="E167" s="143"/>
      <c r="F167" s="143"/>
      <c r="G167" s="143"/>
      <c r="H167" s="98" t="s">
        <v>100</v>
      </c>
      <c r="I167" s="122" t="s">
        <v>102</v>
      </c>
      <c r="J167" s="98" t="s">
        <v>88</v>
      </c>
      <c r="K167" s="553" t="s">
        <v>105</v>
      </c>
      <c r="L167" s="98" t="s">
        <v>87</v>
      </c>
      <c r="M167" s="98"/>
      <c r="N167" s="553" t="s">
        <v>107</v>
      </c>
      <c r="O167" s="122" t="s">
        <v>439</v>
      </c>
      <c r="P167" s="98"/>
      <c r="Q167" s="553" t="s">
        <v>107</v>
      </c>
      <c r="R167" s="98" t="s">
        <v>440</v>
      </c>
      <c r="S167" s="98"/>
      <c r="T167" s="235" t="s">
        <v>109</v>
      </c>
      <c r="U167" s="552" t="s">
        <v>111</v>
      </c>
      <c r="V167" s="552"/>
      <c r="W167" s="98"/>
      <c r="X167" s="98"/>
      <c r="Y167" s="98"/>
      <c r="AB167" s="145"/>
      <c r="BN167" s="106"/>
      <c r="BO167" s="98"/>
    </row>
    <row r="168" spans="1:67" ht="17.25" customHeight="1" thickBot="1">
      <c r="A168" s="98"/>
      <c r="B168" s="98"/>
      <c r="C168" s="143"/>
      <c r="D168" s="143"/>
      <c r="E168" s="143"/>
      <c r="F168" s="143"/>
      <c r="G168" s="143"/>
      <c r="H168" s="98"/>
      <c r="I168" s="122"/>
      <c r="J168" s="124">
        <f>O134</f>
        <v>66.95</v>
      </c>
      <c r="K168" s="553"/>
      <c r="L168" s="533">
        <f>O135</f>
        <v>2.1666666666666667E-2</v>
      </c>
      <c r="M168" s="534"/>
      <c r="N168" s="553"/>
      <c r="O168" s="537" t="s">
        <v>242</v>
      </c>
      <c r="P168" s="538"/>
      <c r="Q168" s="553"/>
      <c r="R168" s="238" t="s">
        <v>109</v>
      </c>
      <c r="S168" s="98"/>
      <c r="T168" s="98"/>
      <c r="U168" s="98"/>
      <c r="AB168" s="145"/>
      <c r="BN168" s="106"/>
      <c r="BO168" s="98"/>
    </row>
    <row r="169" spans="1:67" ht="17.25" customHeight="1" thickTop="1" thickBot="1">
      <c r="A169" s="98"/>
      <c r="B169" s="98"/>
      <c r="C169" s="143"/>
      <c r="D169" s="143"/>
      <c r="E169" s="143"/>
      <c r="F169" s="143"/>
      <c r="G169" s="143"/>
      <c r="H169" s="98"/>
      <c r="I169" s="122"/>
      <c r="K169" s="122" t="s">
        <v>438</v>
      </c>
      <c r="L169" s="535" cm="1">
        <f t="array" ref="L169">angleConvert2Decimal(L168)</f>
        <v>2.1666666666666699E-2</v>
      </c>
      <c r="M169" s="536"/>
      <c r="N169" s="98"/>
      <c r="O169" s="676" cm="1">
        <f t="array" ref="O169">angleConvert2Decimal(O168)</f>
        <v>0.17166666666666669</v>
      </c>
      <c r="P169" s="677"/>
      <c r="Q169" s="41"/>
      <c r="R169" s="228" cm="1">
        <f t="array" ref="R169">angleConvert2Decimal(R168)</f>
        <v>-0.53333333333333333</v>
      </c>
      <c r="T169" s="13" t="s">
        <v>139</v>
      </c>
      <c r="U169" s="13"/>
      <c r="V169" s="13">
        <f>R169+O169</f>
        <v>-0.36166666666666664</v>
      </c>
      <c r="W169" s="421" t="str" cm="1">
        <f t="array" ref="W169">angleDecimal2Txt(V169)</f>
        <v>-00°21.69 (-00.3616) [-00°21'42.00]</v>
      </c>
      <c r="X169" s="422"/>
      <c r="Y169" s="422"/>
      <c r="Z169" s="422"/>
      <c r="AA169" s="423"/>
      <c r="AB169" s="145"/>
      <c r="BN169" s="106"/>
      <c r="BO169" s="98"/>
    </row>
    <row r="170" spans="1:67" ht="17.25" customHeight="1" thickTop="1" thickBot="1">
      <c r="A170" s="98"/>
      <c r="B170" s="98"/>
      <c r="C170" s="143"/>
      <c r="D170" s="143"/>
      <c r="E170" s="143"/>
      <c r="F170" s="143"/>
      <c r="G170" s="143"/>
      <c r="H170" s="98"/>
      <c r="I170" s="122"/>
      <c r="J170" s="98"/>
      <c r="K170" s="122"/>
      <c r="L170" s="98"/>
      <c r="M170" s="98"/>
      <c r="N170" s="122"/>
      <c r="O170" s="98"/>
      <c r="P170" s="98"/>
      <c r="Q170" s="122"/>
      <c r="R170" s="127"/>
      <c r="S170" s="98"/>
      <c r="T170" s="98"/>
      <c r="U170" s="98"/>
      <c r="V170" s="98"/>
      <c r="W170" s="98"/>
      <c r="X170" s="98"/>
      <c r="Y170" s="98"/>
      <c r="Z170" s="98"/>
      <c r="AA170" s="98"/>
      <c r="AB170" s="145"/>
      <c r="BN170" s="106"/>
      <c r="BO170" s="98"/>
    </row>
    <row r="171" spans="1:67" ht="17.25" customHeight="1" thickTop="1" thickBot="1">
      <c r="A171" s="98"/>
      <c r="B171" s="98"/>
      <c r="C171" s="143"/>
      <c r="D171" s="143"/>
      <c r="E171" s="143"/>
      <c r="F171" s="143"/>
      <c r="G171" s="143"/>
      <c r="H171" s="577" t="s">
        <v>241</v>
      </c>
      <c r="I171" s="578"/>
      <c r="J171" s="578"/>
      <c r="K171" s="578"/>
      <c r="L171" s="578"/>
      <c r="M171" s="578"/>
      <c r="N171" s="579"/>
      <c r="O171" s="580">
        <f>J168-L169+O169+R169</f>
        <v>66.566666666666677</v>
      </c>
      <c r="P171" s="438"/>
      <c r="Q171" s="438"/>
      <c r="R171" s="438"/>
      <c r="S171" s="98" t="s">
        <v>71</v>
      </c>
      <c r="T171" s="98"/>
      <c r="U171" s="421" t="str" cm="1">
        <f t="array" ref="U171">angleDecimal2Txt(O171)</f>
        <v>+66°34.00 (+66.5666) [+66°34'00.00]</v>
      </c>
      <c r="V171" s="422"/>
      <c r="W171" s="422"/>
      <c r="X171" s="422"/>
      <c r="Y171" s="422"/>
      <c r="Z171" s="423"/>
      <c r="AA171" s="98"/>
      <c r="AB171" s="145"/>
      <c r="BN171" s="106"/>
      <c r="BO171" s="98"/>
    </row>
    <row r="172" spans="1:67" ht="17.25" customHeight="1" thickTop="1" thickBot="1">
      <c r="A172" s="98"/>
      <c r="B172" s="98"/>
      <c r="C172" s="143"/>
      <c r="D172" s="128"/>
      <c r="E172" s="143"/>
      <c r="F172" s="143"/>
      <c r="G172" s="143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145"/>
      <c r="BN172" s="106"/>
      <c r="BO172" s="98"/>
    </row>
    <row r="173" spans="1:67" ht="17.25" customHeight="1" thickBot="1">
      <c r="A173" s="98"/>
      <c r="B173" s="754" t="s">
        <v>480</v>
      </c>
      <c r="C173" s="755"/>
      <c r="D173" s="755"/>
      <c r="E173" s="755"/>
      <c r="F173" s="755"/>
      <c r="G173" s="755"/>
      <c r="H173" s="755"/>
      <c r="I173" s="755"/>
      <c r="J173" s="755"/>
      <c r="K173" s="755"/>
      <c r="L173" s="755"/>
      <c r="M173" s="755"/>
      <c r="N173" s="755"/>
      <c r="O173" s="755"/>
      <c r="P173" s="755"/>
      <c r="Q173" s="755"/>
      <c r="R173" s="755"/>
      <c r="S173" s="755"/>
      <c r="T173" s="755"/>
      <c r="U173" s="755"/>
      <c r="V173" s="755"/>
      <c r="W173" s="755"/>
      <c r="X173" s="755"/>
      <c r="Y173" s="755"/>
      <c r="Z173" s="755"/>
      <c r="AA173" s="755"/>
      <c r="AB173" s="146"/>
      <c r="BN173" s="106"/>
      <c r="BO173" s="98"/>
    </row>
    <row r="174" spans="1:67" ht="17.2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145"/>
      <c r="BN174" s="106"/>
      <c r="BO174" s="98"/>
    </row>
    <row r="175" spans="1:67" ht="17.25" customHeight="1">
      <c r="A175" s="98"/>
      <c r="B175" s="98"/>
      <c r="C175" s="96"/>
      <c r="D175" s="96"/>
      <c r="E175" s="539" t="s">
        <v>486</v>
      </c>
      <c r="F175" s="540"/>
      <c r="G175" s="540"/>
      <c r="H175" s="540"/>
      <c r="I175" s="645">
        <f>90-Q176</f>
        <v>22.852377815639784</v>
      </c>
      <c r="J175" s="442"/>
      <c r="K175" s="442"/>
      <c r="L175" s="442"/>
      <c r="M175" s="443"/>
      <c r="N175" s="98"/>
      <c r="O175" s="747" t="s">
        <v>481</v>
      </c>
      <c r="P175" s="748"/>
      <c r="Q175" s="749"/>
      <c r="R175" s="749"/>
      <c r="S175" s="749"/>
      <c r="T175" s="750"/>
      <c r="AB175" s="145"/>
      <c r="BN175" s="106"/>
      <c r="BO175" s="98"/>
    </row>
    <row r="176" spans="1:67" ht="17.25" customHeight="1" thickBot="1">
      <c r="A176" s="98"/>
      <c r="B176" s="98"/>
      <c r="C176" s="96"/>
      <c r="D176" s="96"/>
      <c r="E176" s="542"/>
      <c r="F176" s="543"/>
      <c r="G176" s="543"/>
      <c r="H176" s="543"/>
      <c r="I176" s="751"/>
      <c r="J176" s="752"/>
      <c r="K176" s="752"/>
      <c r="L176" s="752"/>
      <c r="M176" s="753"/>
      <c r="N176" s="130" t="s">
        <v>181</v>
      </c>
      <c r="O176" s="740" t="s">
        <v>100</v>
      </c>
      <c r="P176" s="741"/>
      <c r="Q176" s="462">
        <f>F131</f>
        <v>67.147622184360216</v>
      </c>
      <c r="R176" s="463"/>
      <c r="S176" s="463"/>
      <c r="T176" s="257" t="s">
        <v>71</v>
      </c>
      <c r="Y176" s="98"/>
      <c r="Z176" s="98"/>
      <c r="AA176" s="98"/>
      <c r="AB176" s="145"/>
      <c r="BN176" s="106"/>
      <c r="BO176" s="98"/>
    </row>
    <row r="177" spans="1:67" ht="17.25" customHeight="1" thickTop="1" thickBot="1">
      <c r="A177" s="98"/>
      <c r="B177" s="98"/>
      <c r="C177" s="96"/>
      <c r="D177" s="96"/>
      <c r="E177" s="545"/>
      <c r="F177" s="546"/>
      <c r="G177" s="546"/>
      <c r="H177" s="546"/>
      <c r="I177" s="421" t="str" cm="1">
        <f t="array" ref="I177">angleDecimal2Txt(I175)</f>
        <v>+22°51.14 (+22.8523) [+22°51'08.56]</v>
      </c>
      <c r="J177" s="422"/>
      <c r="K177" s="422"/>
      <c r="L177" s="422"/>
      <c r="M177" s="423"/>
      <c r="N177" s="98"/>
      <c r="O177" s="740" t="s">
        <v>114</v>
      </c>
      <c r="P177" s="741"/>
      <c r="Q177" s="462">
        <f>F113</f>
        <v>23.13413311648976</v>
      </c>
      <c r="R177" s="463"/>
      <c r="S177" s="463"/>
      <c r="T177" s="257" t="s">
        <v>71</v>
      </c>
      <c r="Y177" s="98"/>
      <c r="Z177" s="98"/>
      <c r="AA177" s="98"/>
      <c r="AB177" s="145"/>
      <c r="BN177" s="106"/>
      <c r="BO177" s="98"/>
    </row>
    <row r="178" spans="1:67" ht="17.25" customHeight="1" thickTop="1">
      <c r="A178" s="98"/>
      <c r="B178" s="98"/>
      <c r="C178" s="96"/>
      <c r="D178" s="96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AA178" s="98"/>
      <c r="AB178" s="145"/>
      <c r="BN178" s="106"/>
      <c r="BO178" s="98"/>
    </row>
    <row r="179" spans="1:67" ht="17.25" customHeight="1">
      <c r="A179" s="98"/>
      <c r="B179" s="98"/>
      <c r="C179" s="96"/>
      <c r="D179" s="96"/>
      <c r="AB179" s="145"/>
      <c r="BN179" s="106"/>
      <c r="BO179" s="98"/>
    </row>
    <row r="180" spans="1:67" ht="17.25" customHeight="1">
      <c r="A180" s="98"/>
      <c r="B180" s="98"/>
      <c r="C180" s="96"/>
      <c r="D180" s="96"/>
      <c r="E180" s="756" t="s">
        <v>376</v>
      </c>
      <c r="F180" s="757"/>
      <c r="G180" s="757"/>
      <c r="H180" s="757"/>
      <c r="I180" s="757"/>
      <c r="J180" s="757"/>
      <c r="K180" s="757"/>
      <c r="L180" s="757"/>
      <c r="M180" s="757"/>
      <c r="N180" s="757"/>
      <c r="O180" s="758"/>
      <c r="AB180" s="145"/>
      <c r="BN180" s="106"/>
      <c r="BO180" s="98"/>
    </row>
    <row r="181" spans="1:67" ht="17.25" customHeight="1">
      <c r="A181" s="98"/>
      <c r="B181" s="98"/>
      <c r="C181" s="96"/>
      <c r="D181" s="96"/>
      <c r="E181" s="466"/>
      <c r="F181" s="466" t="s">
        <v>378</v>
      </c>
      <c r="G181" s="466"/>
      <c r="H181" s="466"/>
      <c r="I181" s="466"/>
      <c r="J181" s="466"/>
      <c r="K181" s="744" t="s">
        <v>380</v>
      </c>
      <c r="L181" s="745"/>
      <c r="M181" s="745"/>
      <c r="N181" s="745"/>
      <c r="O181" s="746"/>
      <c r="Q181" s="437" t="s">
        <v>115</v>
      </c>
      <c r="R181" s="437"/>
      <c r="S181" s="742">
        <f>F109</f>
        <v>46.1</v>
      </c>
      <c r="T181" s="742"/>
      <c r="U181" s="446" t="str">
        <f>CONCATENATE("Lat et Dec - Meme sens ?: ",AC181)</f>
        <v>Lat et Dec - Meme sens ?: VRAI</v>
      </c>
      <c r="V181" s="446"/>
      <c r="W181" s="446"/>
      <c r="X181" s="446"/>
      <c r="Y181" s="98"/>
      <c r="AB181" s="145"/>
      <c r="AC181" t="b">
        <f>IF(S181*S182&gt;0,TRUE,FALSE)</f>
        <v>1</v>
      </c>
      <c r="BN181" s="106"/>
      <c r="BO181" s="98"/>
    </row>
    <row r="182" spans="1:67" ht="17.25" customHeight="1">
      <c r="A182" s="98"/>
      <c r="B182" s="98"/>
      <c r="C182" s="96"/>
      <c r="D182" s="96"/>
      <c r="E182" s="466"/>
      <c r="F182" s="466" t="s">
        <v>379</v>
      </c>
      <c r="G182" s="466"/>
      <c r="H182" s="466"/>
      <c r="I182" s="466"/>
      <c r="J182" s="466"/>
      <c r="K182" s="744" t="s">
        <v>381</v>
      </c>
      <c r="L182" s="745"/>
      <c r="M182" s="745"/>
      <c r="N182" s="745"/>
      <c r="O182" s="746"/>
      <c r="Q182" s="437" t="s">
        <v>114</v>
      </c>
      <c r="R182" s="437"/>
      <c r="S182" s="742">
        <f>F113</f>
        <v>23.13413311648976</v>
      </c>
      <c r="T182" s="742"/>
      <c r="U182" s="446" t="str">
        <f>CONCATENATE("Lat &gt; Dec  ? : ",AC182)</f>
        <v>Lat &gt; Dec  ? : VRAI</v>
      </c>
      <c r="V182" s="446"/>
      <c r="W182" s="446"/>
      <c r="X182" s="446"/>
      <c r="Y182" s="98"/>
      <c r="AB182" s="145"/>
      <c r="AC182" s="181" t="b">
        <f>IF(ABS(S181)&gt;ABS(S182),TRUE, FALSE)</f>
        <v>1</v>
      </c>
      <c r="BN182" s="106"/>
      <c r="BO182" s="98"/>
    </row>
    <row r="183" spans="1:67" ht="17.25" customHeight="1">
      <c r="A183" s="98"/>
      <c r="B183" s="98"/>
      <c r="C183" s="98"/>
      <c r="D183" s="98"/>
      <c r="E183" s="743" t="s">
        <v>377</v>
      </c>
      <c r="F183" s="743"/>
      <c r="G183" s="743"/>
      <c r="H183" s="743"/>
      <c r="I183" s="743"/>
      <c r="J183" s="743"/>
      <c r="K183" s="744" t="s">
        <v>382</v>
      </c>
      <c r="L183" s="745"/>
      <c r="M183" s="745"/>
      <c r="N183" s="745"/>
      <c r="O183" s="746"/>
      <c r="AB183" s="145"/>
      <c r="AC183" t="s">
        <v>483</v>
      </c>
      <c r="AD183" s="218">
        <f>I175+S182</f>
        <v>45.986510932129548</v>
      </c>
      <c r="BN183" s="106"/>
      <c r="BO183" s="98"/>
    </row>
    <row r="184" spans="1:67" ht="17.25" customHeight="1">
      <c r="A184" s="98"/>
      <c r="B184" s="98"/>
      <c r="C184" s="143"/>
      <c r="D184" s="143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AB184" s="145"/>
      <c r="AC184" t="s">
        <v>484</v>
      </c>
      <c r="AD184" s="218">
        <f>S182-I175</f>
        <v>0.28175530084997646</v>
      </c>
      <c r="BN184" s="106"/>
      <c r="BO184" s="98"/>
    </row>
    <row r="185" spans="1:67" ht="17.25" customHeight="1" thickBot="1">
      <c r="A185" s="98"/>
      <c r="B185" s="98"/>
      <c r="C185" s="143"/>
      <c r="D185" s="143"/>
      <c r="E185" s="143"/>
      <c r="F185" s="143"/>
      <c r="G185" s="143"/>
      <c r="H185" s="98"/>
      <c r="I185" s="98"/>
      <c r="J185" s="98"/>
      <c r="K185" s="98"/>
      <c r="L185" s="98"/>
      <c r="AB185" s="145"/>
      <c r="AC185" t="s">
        <v>485</v>
      </c>
      <c r="AD185" s="218">
        <f>I175-S182</f>
        <v>-0.28175530084997646</v>
      </c>
      <c r="BN185" s="106"/>
      <c r="BO185" s="98"/>
    </row>
    <row r="186" spans="1:67" ht="17.25" customHeight="1" thickTop="1" thickBot="1">
      <c r="A186" s="98"/>
      <c r="B186" s="98"/>
      <c r="C186" s="143"/>
      <c r="D186" s="143"/>
      <c r="E186" s="143"/>
      <c r="F186" s="143"/>
      <c r="G186" s="143"/>
      <c r="H186" s="417" t="s">
        <v>375</v>
      </c>
      <c r="I186" s="418"/>
      <c r="J186" s="418"/>
      <c r="K186" s="418"/>
      <c r="L186" s="525"/>
      <c r="M186" s="732">
        <f>AC186</f>
        <v>45.986510932129548</v>
      </c>
      <c r="N186" s="733"/>
      <c r="O186" s="132" t="s">
        <v>34</v>
      </c>
      <c r="P186" s="423" t="str">
        <f>latitudeDecimal2Txt(M186)</f>
        <v>N 45°59.19 (N 45.9865) [N 45°59'11.43]</v>
      </c>
      <c r="Q186" s="450"/>
      <c r="R186" s="450"/>
      <c r="S186" s="450"/>
      <c r="T186" s="450"/>
      <c r="U186" s="450"/>
      <c r="AB186" s="145"/>
      <c r="AC186">
        <f>IF(AC181,IF(AC182,AD183,AD184),AD185)</f>
        <v>45.986510932129548</v>
      </c>
      <c r="BN186" s="106"/>
      <c r="BO186" s="98"/>
    </row>
    <row r="187" spans="1:67" ht="17.25" customHeight="1" thickTop="1">
      <c r="A187" s="96"/>
      <c r="B187" s="96"/>
      <c r="C187" s="96"/>
      <c r="D187" s="96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145"/>
      <c r="BN187" s="106"/>
      <c r="BO187" s="98"/>
    </row>
    <row r="188" spans="1:67" s="98" customFormat="1" ht="17.25" customHeight="1">
      <c r="C188" s="143"/>
      <c r="D188" s="143"/>
      <c r="E188" s="143"/>
      <c r="F188" s="143"/>
      <c r="G188" s="143"/>
      <c r="AB188" s="145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106"/>
    </row>
    <row r="189" spans="1:67" ht="17.25" customHeight="1" thickBot="1">
      <c r="A189" s="98"/>
      <c r="B189" s="98"/>
      <c r="C189" s="143"/>
      <c r="D189" s="143"/>
      <c r="E189" s="143"/>
      <c r="F189" s="143"/>
      <c r="G189" s="143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145"/>
      <c r="BN189" s="106"/>
      <c r="BO189" s="98"/>
    </row>
    <row r="190" spans="1:67" ht="17.25" customHeight="1" thickBot="1">
      <c r="A190" s="98"/>
      <c r="B190" s="107" t="s">
        <v>441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83"/>
      <c r="AB190" s="146"/>
      <c r="BN190" s="106"/>
      <c r="BO190" s="98"/>
    </row>
    <row r="191" spans="1:67" s="98" customFormat="1" ht="17.25" customHeight="1">
      <c r="C191" s="143"/>
      <c r="D191" s="143"/>
      <c r="E191" s="143"/>
      <c r="F191" s="143"/>
      <c r="G191" s="143"/>
      <c r="AB191" s="145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106"/>
    </row>
    <row r="192" spans="1:67" ht="17.25" customHeight="1" thickBot="1">
      <c r="A192" s="98"/>
      <c r="B192" s="98"/>
      <c r="C192" s="461" t="s">
        <v>442</v>
      </c>
      <c r="D192" s="461"/>
      <c r="E192" s="461"/>
      <c r="F192" s="461"/>
      <c r="G192" s="239"/>
      <c r="H192" s="461" t="s">
        <v>443</v>
      </c>
      <c r="I192" s="461"/>
      <c r="J192" s="461"/>
      <c r="K192" s="98"/>
      <c r="L192" s="465" t="s">
        <v>429</v>
      </c>
      <c r="M192" s="465"/>
      <c r="N192" s="465"/>
      <c r="O192" s="98"/>
      <c r="P192" s="98"/>
      <c r="Q192" s="420" t="s">
        <v>444</v>
      </c>
      <c r="R192" s="420"/>
      <c r="S192" s="420"/>
      <c r="T192" s="420"/>
      <c r="U192" s="189"/>
      <c r="V192" s="98"/>
      <c r="W192" s="98"/>
      <c r="X192" s="98"/>
      <c r="Y192" s="98"/>
      <c r="Z192" s="98"/>
      <c r="AA192" s="98"/>
      <c r="AB192" s="145"/>
      <c r="AD192" s="218"/>
      <c r="BN192" s="106"/>
      <c r="BO192" s="98"/>
    </row>
    <row r="193" spans="1:67" ht="17.25" customHeight="1" thickTop="1" thickBot="1">
      <c r="A193" s="98"/>
      <c r="B193" s="98"/>
      <c r="C193" s="143"/>
      <c r="D193" s="280" t="s">
        <v>49</v>
      </c>
      <c r="E193" s="466">
        <f>M186</f>
        <v>45.986510932129548</v>
      </c>
      <c r="F193" s="466"/>
      <c r="G193" s="143"/>
      <c r="H193" s="98"/>
      <c r="I193" s="466">
        <f>V180</f>
        <v>0</v>
      </c>
      <c r="J193" s="466"/>
      <c r="K193" s="98" t="s">
        <v>146</v>
      </c>
      <c r="L193" s="98"/>
      <c r="M193" s="466">
        <v>180</v>
      </c>
      <c r="N193" s="466"/>
      <c r="O193" s="98"/>
      <c r="P193" s="98"/>
      <c r="Q193" s="98"/>
      <c r="R193" s="281" t="s">
        <v>49</v>
      </c>
      <c r="S193" s="419">
        <f>E193</f>
        <v>45.986510932129548</v>
      </c>
      <c r="T193" s="419"/>
      <c r="U193" s="737" t="str" cm="1">
        <f t="array" ref="U193">latitudeDecimal2Txt(S193)</f>
        <v>N 45°59.19 (N 45.9865) [N 45°59'11.43]</v>
      </c>
      <c r="V193" s="738"/>
      <c r="W193" s="738"/>
      <c r="X193" s="738"/>
      <c r="Y193" s="738"/>
      <c r="Z193" s="739"/>
      <c r="AA193" s="98"/>
      <c r="AB193" s="145"/>
      <c r="AD193" s="218"/>
      <c r="BN193" s="106"/>
      <c r="BO193" s="98"/>
    </row>
    <row r="194" spans="1:67" ht="17.25" customHeight="1" thickTop="1">
      <c r="A194" s="98"/>
      <c r="B194" s="98"/>
      <c r="C194" s="143"/>
      <c r="D194" s="98"/>
      <c r="E194" s="143"/>
      <c r="F194" s="143"/>
      <c r="G194" s="143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145"/>
      <c r="BN194" s="106"/>
      <c r="BO194" s="98"/>
    </row>
    <row r="195" spans="1:67" ht="17.25" customHeight="1">
      <c r="A195" s="98"/>
      <c r="B195" s="98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420" t="s">
        <v>445</v>
      </c>
      <c r="R195" s="420"/>
      <c r="S195" s="420"/>
      <c r="T195" s="98"/>
      <c r="U195" s="98"/>
      <c r="V195" s="98"/>
      <c r="W195" s="98"/>
      <c r="X195" s="98"/>
      <c r="Y195" s="98"/>
      <c r="Z195" s="98"/>
      <c r="AA195" s="98"/>
      <c r="AB195" s="14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143"/>
      <c r="G196" s="143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419">
        <f>M193-90</f>
        <v>90</v>
      </c>
      <c r="S196" s="419"/>
      <c r="T196" s="132" t="s">
        <v>34</v>
      </c>
      <c r="U196" s="98"/>
      <c r="V196" s="98"/>
      <c r="W196" s="98"/>
      <c r="X196" s="98"/>
      <c r="Y196" s="98"/>
      <c r="Z196" s="98"/>
      <c r="AA196" s="98"/>
      <c r="AB196" s="145"/>
      <c r="BN196" s="106"/>
      <c r="BO196" s="98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245" t="s">
        <v>449</v>
      </c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7"/>
      <c r="AB199"/>
    </row>
    <row r="200" spans="1:67" ht="17.25" customHeight="1">
      <c r="AB200"/>
      <c r="AD200" s="218"/>
    </row>
    <row r="201" spans="1:67" ht="17.25" customHeight="1" thickBot="1">
      <c r="C201" s="460" t="s">
        <v>444</v>
      </c>
      <c r="D201" s="460"/>
      <c r="E201" s="460"/>
      <c r="F201" s="460"/>
      <c r="G201" s="189"/>
      <c r="H201" s="98"/>
      <c r="I201" s="98"/>
      <c r="J201" s="98"/>
      <c r="K201" s="98"/>
      <c r="L201" s="98"/>
      <c r="Q201" s="240" t="s">
        <v>450</v>
      </c>
      <c r="R201" s="240"/>
      <c r="S201" s="240"/>
      <c r="T201" s="240"/>
      <c r="U201" s="240"/>
      <c r="V201" s="240"/>
      <c r="W201" s="240"/>
      <c r="AB201"/>
    </row>
    <row r="202" spans="1:67" ht="17.25" customHeight="1" thickTop="1" thickBot="1">
      <c r="D202" s="282" t="s">
        <v>49</v>
      </c>
      <c r="E202" s="459">
        <f>I211</f>
        <v>0</v>
      </c>
      <c r="F202" s="459"/>
      <c r="G202" s="415" t="str" cm="1">
        <f t="array" ref="G202">latitudeDecimal2Txt(E202)</f>
        <v>N 00°00.00 (N 00.0000) [N 00°00'00.00]</v>
      </c>
      <c r="H202" s="415"/>
      <c r="I202" s="415"/>
      <c r="J202" s="415"/>
      <c r="K202" s="415"/>
      <c r="L202" s="415"/>
      <c r="R202" s="281" t="s">
        <v>49</v>
      </c>
      <c r="S202" s="419">
        <f>AG205</f>
        <v>45.986510932129548</v>
      </c>
      <c r="T202" s="419"/>
      <c r="U202" s="415" t="str" cm="1">
        <f t="array" ref="U202">latitudeDecimal2Txt(S202)</f>
        <v>N 45°59.19 (N 45.9865) [N 45°59'11.43]</v>
      </c>
      <c r="V202" s="415"/>
      <c r="W202" s="415"/>
      <c r="X202" s="415"/>
      <c r="Y202" s="415"/>
      <c r="Z202" s="415"/>
      <c r="AB202"/>
      <c r="AC202" s="269" t="s">
        <v>510</v>
      </c>
      <c r="AD202" s="270">
        <f>D206</f>
        <v>30</v>
      </c>
    </row>
    <row r="203" spans="1:67" ht="17.25" customHeight="1" thickTop="1" thickBot="1">
      <c r="D203" s="282" t="s">
        <v>50</v>
      </c>
      <c r="E203" s="459">
        <v>-7</v>
      </c>
      <c r="F203" s="459"/>
      <c r="G203" s="415" t="str" cm="1">
        <f t="array" ref="G203">longitudeDecimal2Txt(E203)</f>
        <v>W 07°00.00 (W 07.0000) [W 07°00'00.00]</v>
      </c>
      <c r="H203" s="415"/>
      <c r="I203" s="415"/>
      <c r="J203" s="415"/>
      <c r="K203" s="415"/>
      <c r="L203" s="415"/>
      <c r="R203" s="281" t="s">
        <v>50</v>
      </c>
      <c r="S203" s="419">
        <f>AG206</f>
        <v>19.55032446575666</v>
      </c>
      <c r="T203" s="419"/>
      <c r="U203" s="415" t="str" cm="1">
        <f t="array" ref="U203">longitudeDecimal2Txt(S203)</f>
        <v>E 19°33.01 (E 19.5503) [E 19°33'01.16]</v>
      </c>
      <c r="V203" s="415"/>
      <c r="W203" s="415"/>
      <c r="X203" s="415"/>
      <c r="Y203" s="415"/>
      <c r="Z203" s="415"/>
      <c r="AB203"/>
      <c r="AC203" s="271" t="s">
        <v>512</v>
      </c>
      <c r="AD203" s="270">
        <f>E202</f>
        <v>0</v>
      </c>
    </row>
    <row r="204" spans="1:67" ht="17.25" customHeight="1" thickTop="1"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AB204"/>
      <c r="AC204" s="269" t="s">
        <v>513</v>
      </c>
      <c r="AD204" s="270">
        <f>E203</f>
        <v>-7</v>
      </c>
    </row>
    <row r="205" spans="1:67" ht="17.25" customHeight="1">
      <c r="C205" s="460" t="s">
        <v>445</v>
      </c>
      <c r="D205" s="460"/>
      <c r="E205" s="460"/>
      <c r="F205" s="244"/>
      <c r="G205" s="98"/>
      <c r="H205" s="98"/>
      <c r="I205" s="98"/>
      <c r="J205" s="98"/>
      <c r="K205" s="98"/>
      <c r="L205" s="98"/>
      <c r="AB205"/>
      <c r="AC205" s="269" t="s">
        <v>459</v>
      </c>
      <c r="AD205" s="269">
        <f>TAN(AD202*Outils!F43) * (1 / COS(AD203*Outils!F43))</f>
        <v>0</v>
      </c>
      <c r="AE205" s="416" t="s">
        <v>516</v>
      </c>
      <c r="AF205" s="416"/>
      <c r="AG205" s="273">
        <f>S193</f>
        <v>45.986510932129548</v>
      </c>
    </row>
    <row r="206" spans="1:67" ht="17.25" customHeight="1">
      <c r="D206" s="459">
        <v>30</v>
      </c>
      <c r="E206" s="459"/>
      <c r="F206" s="283" t="s">
        <v>34</v>
      </c>
      <c r="G206" s="98"/>
      <c r="H206" s="98"/>
      <c r="I206" s="98"/>
      <c r="J206" s="98"/>
      <c r="K206" s="98"/>
      <c r="L206" s="98"/>
      <c r="AB206"/>
      <c r="AC206" s="269" t="s">
        <v>460</v>
      </c>
      <c r="AD206" s="269">
        <f>AD204-AD203*AD205</f>
        <v>-7</v>
      </c>
      <c r="AE206" s="416"/>
      <c r="AF206" s="416"/>
      <c r="AG206" s="272">
        <f>E203+(S193-E202)*TAN(D206*Outils!F10)/COS(Outils!F10*E202)</f>
        <v>19.55032446575666</v>
      </c>
    </row>
    <row r="207" spans="1:67">
      <c r="AB207"/>
    </row>
    <row r="208" spans="1:67">
      <c r="S208" s="98"/>
      <c r="T208" s="98"/>
      <c r="AB208"/>
    </row>
    <row r="209" spans="7:28">
      <c r="AB209"/>
    </row>
    <row r="210" spans="7:28" ht="17.25" customHeight="1">
      <c r="G210" s="41"/>
      <c r="P210" s="98"/>
      <c r="Q210" s="98"/>
      <c r="AB210"/>
    </row>
    <row r="211" spans="7:28" ht="17.25" customHeight="1">
      <c r="G211" s="41"/>
      <c r="AB211"/>
    </row>
    <row r="212" spans="7:28">
      <c r="K212" s="98"/>
      <c r="L212" s="98"/>
      <c r="AB212"/>
    </row>
    <row r="213" spans="7:28">
      <c r="K213" s="98"/>
      <c r="L213" s="98"/>
      <c r="AB213"/>
    </row>
  </sheetData>
  <sheetProtection selectLockedCells="1"/>
  <protectedRanges>
    <protectedRange sqref="M84:Y84" name="Heure visee" securityDescriptor="O:WDG:WDD:(A;;CC;;;WD)"/>
  </protectedRanges>
  <mergeCells count="305"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AA55:AA56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3:N143"/>
    <mergeCell ref="O143:R143"/>
    <mergeCell ref="U143:Z143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Outils!$C$15:$C$16</xm:f>
          </x14:formula1>
          <xm:sqref>U126:U127 P126:P127 P118:P121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zoomScaleNormal="100" workbookViewId="0">
      <selection activeCell="AA96" sqref="AA96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96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98" customFormat="1" ht="17.25" customHeight="1"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  <c r="AB1" s="295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  <c r="AB2" s="29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506"/>
      <c r="D3" s="506"/>
      <c r="E3" s="506"/>
      <c r="F3" s="506"/>
      <c r="G3" s="502" t="s">
        <v>233</v>
      </c>
      <c r="H3" s="502"/>
      <c r="I3" s="502"/>
      <c r="J3" s="504" t="s">
        <v>232</v>
      </c>
      <c r="K3" s="504"/>
      <c r="L3" s="504"/>
      <c r="N3" s="434" t="s">
        <v>435</v>
      </c>
      <c r="O3" s="434"/>
      <c r="P3" s="434"/>
      <c r="Q3" s="435" t="s">
        <v>353</v>
      </c>
      <c r="R3" s="435"/>
      <c r="S3" s="435"/>
      <c r="AB3" s="29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506"/>
      <c r="D4" s="506"/>
      <c r="E4" s="506"/>
      <c r="F4" s="506"/>
      <c r="G4" s="503"/>
      <c r="H4" s="503"/>
      <c r="I4" s="503"/>
      <c r="J4" s="505"/>
      <c r="K4" s="505"/>
      <c r="L4" s="505"/>
      <c r="N4" s="434"/>
      <c r="O4" s="434"/>
      <c r="P4" s="434"/>
      <c r="Q4" s="435"/>
      <c r="R4" s="435"/>
      <c r="S4" s="435"/>
      <c r="AB4" s="29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9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488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9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498" t="s">
        <v>1</v>
      </c>
      <c r="D8" s="499"/>
      <c r="E8" s="632" t="s">
        <v>436</v>
      </c>
      <c r="F8" s="633"/>
      <c r="G8" s="633"/>
      <c r="H8"/>
      <c r="I8"/>
      <c r="J8"/>
      <c r="K8"/>
      <c r="L8"/>
      <c r="M8"/>
      <c r="N8"/>
      <c r="O8"/>
      <c r="AB8" s="29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731" t="s">
        <v>7</v>
      </c>
      <c r="F9" s="731"/>
      <c r="G9" s="731"/>
      <c r="H9" s="731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9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731"/>
      <c r="F10" s="731"/>
      <c r="G10" s="731"/>
      <c r="H10" s="731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9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725" t="s">
        <v>41</v>
      </c>
      <c r="B11" s="726"/>
      <c r="C11" s="727"/>
      <c r="D11" s="96"/>
      <c r="E11" s="96"/>
      <c r="F11" s="598">
        <f>AD12</f>
        <v>46.1</v>
      </c>
      <c r="G11" s="621"/>
      <c r="H11" s="621"/>
      <c r="I11" s="517" t="s">
        <v>3</v>
      </c>
      <c r="J11" s="519" t="s">
        <v>506</v>
      </c>
      <c r="K11" s="517"/>
      <c r="L11" s="517"/>
      <c r="M11" s="517"/>
      <c r="N11" s="517"/>
      <c r="O11" s="448" t="str" cm="1">
        <f t="array" ref="O11">angleDecimal2Txt(F11)</f>
        <v>+46°06.00 (+46.1000) [+46°06'00.00]</v>
      </c>
      <c r="P11" s="448"/>
      <c r="Q11" s="448"/>
      <c r="R11" s="448"/>
      <c r="S11" s="448"/>
      <c r="T11" s="448"/>
      <c r="U11" s="448"/>
      <c r="V11" s="448"/>
      <c r="W11" s="448"/>
      <c r="X11" s="448"/>
      <c r="Y11" s="96"/>
      <c r="Z11" s="96"/>
      <c r="AB11" s="295"/>
      <c r="AC11" s="261" t="s">
        <v>325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621"/>
      <c r="G12" s="621"/>
      <c r="H12" s="621"/>
      <c r="I12" s="517"/>
      <c r="J12" s="517"/>
      <c r="K12" s="517"/>
      <c r="L12" s="517"/>
      <c r="M12" s="517"/>
      <c r="N12" s="517"/>
      <c r="O12" s="448"/>
      <c r="P12" s="448"/>
      <c r="Q12" s="448"/>
      <c r="R12" s="448"/>
      <c r="S12" s="448"/>
      <c r="T12" s="448"/>
      <c r="U12" s="448"/>
      <c r="V12" s="448"/>
      <c r="W12" s="448"/>
      <c r="X12" s="448"/>
      <c r="Y12" s="96"/>
      <c r="Z12" s="96"/>
      <c r="AB12" s="295"/>
      <c r="AC12" s="261" t="s">
        <v>326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9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622" t="s">
        <v>8</v>
      </c>
      <c r="F14" s="622"/>
      <c r="G14" s="622"/>
      <c r="H14" s="62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9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622"/>
      <c r="F15" s="622"/>
      <c r="G15" s="622"/>
      <c r="H15" s="62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9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598">
        <f>AD17</f>
        <v>-7.083333333333333</v>
      </c>
      <c r="G16" s="621"/>
      <c r="H16" s="621"/>
      <c r="I16" s="517" t="s">
        <v>6</v>
      </c>
      <c r="J16" s="519" t="s">
        <v>507</v>
      </c>
      <c r="K16" s="517"/>
      <c r="L16" s="517"/>
      <c r="M16" s="517"/>
      <c r="N16" s="517"/>
      <c r="O16" s="448" t="str" cm="1">
        <f t="array" ref="O16">angleDecimal2Txt(F16)</f>
        <v>-07°05.00 (-07.0833) [-07°05'00.00]</v>
      </c>
      <c r="P16" s="448"/>
      <c r="Q16" s="448"/>
      <c r="R16" s="448"/>
      <c r="S16" s="448"/>
      <c r="T16" s="448"/>
      <c r="U16" s="448"/>
      <c r="V16" s="448"/>
      <c r="W16" s="448"/>
      <c r="X16" s="448"/>
      <c r="Y16" s="96"/>
      <c r="Z16" s="96"/>
      <c r="AB16" s="295"/>
      <c r="AC16" s="261" t="s">
        <v>327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621"/>
      <c r="G17" s="621"/>
      <c r="H17" s="621"/>
      <c r="I17" s="517"/>
      <c r="J17" s="517"/>
      <c r="K17" s="517"/>
      <c r="L17" s="517"/>
      <c r="M17" s="517"/>
      <c r="N17" s="517"/>
      <c r="O17" s="448"/>
      <c r="P17" s="448"/>
      <c r="Q17" s="448"/>
      <c r="R17" s="448"/>
      <c r="S17" s="448"/>
      <c r="T17" s="448"/>
      <c r="U17" s="448"/>
      <c r="V17" s="448"/>
      <c r="W17" s="448"/>
      <c r="X17" s="448"/>
      <c r="Y17" s="96"/>
      <c r="Z17" s="96"/>
      <c r="AB17" s="295"/>
      <c r="AC17" s="261" t="s">
        <v>328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622" t="s">
        <v>473</v>
      </c>
      <c r="F19" s="622"/>
      <c r="G19" s="622"/>
      <c r="H19" s="62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622"/>
      <c r="F20" s="622"/>
      <c r="G20" s="622"/>
      <c r="H20" s="622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598">
        <f>heureConvert2Decimal(I21)</f>
        <v>10.340277777777779</v>
      </c>
      <c r="G21" s="621"/>
      <c r="H21" s="621"/>
      <c r="I21" s="834" t="s">
        <v>383</v>
      </c>
      <c r="J21" s="665"/>
      <c r="K21" s="665"/>
      <c r="L21" s="665"/>
      <c r="M21" s="665"/>
      <c r="N21" s="821"/>
      <c r="O21" s="448" t="str">
        <f>heureDecimal2Txt(F21)</f>
        <v>10:20:25.00(10.3402)</v>
      </c>
      <c r="P21" s="448"/>
      <c r="Q21" s="448"/>
      <c r="R21" s="448"/>
      <c r="S21" s="448"/>
      <c r="T21" s="448"/>
      <c r="U21" s="448"/>
      <c r="V21" s="448"/>
      <c r="W21" s="448"/>
      <c r="X21" s="448"/>
    </row>
    <row r="22" spans="2:66" ht="12" customHeight="1" thickTop="1" thickBot="1">
      <c r="E22" s="96"/>
      <c r="F22" s="621"/>
      <c r="G22" s="621"/>
      <c r="H22" s="621"/>
      <c r="I22" s="595"/>
      <c r="J22" s="596"/>
      <c r="K22" s="596"/>
      <c r="L22" s="596"/>
      <c r="M22" s="596"/>
      <c r="N22" s="823"/>
      <c r="O22" s="448"/>
      <c r="P22" s="448"/>
      <c r="Q22" s="448"/>
      <c r="R22" s="448"/>
      <c r="S22" s="448"/>
      <c r="T22" s="448"/>
      <c r="U22" s="448"/>
      <c r="V22" s="448"/>
      <c r="W22" s="448"/>
      <c r="X22" s="448"/>
    </row>
    <row r="23" spans="2:66" ht="15.75" thickTop="1"/>
    <row r="24" spans="2:66" ht="15.75" thickBot="1"/>
    <row r="25" spans="2:66" s="98" customFormat="1" ht="17.25" customHeight="1" thickBot="1">
      <c r="B25" s="107" t="s">
        <v>489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97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808" t="s">
        <v>492</v>
      </c>
      <c r="F26" s="809"/>
      <c r="G26" s="809"/>
      <c r="H26" s="809"/>
      <c r="I26" s="809"/>
      <c r="J26" s="809"/>
      <c r="K26" s="810"/>
    </row>
    <row r="27" spans="2:66" ht="12.75" customHeight="1" thickBot="1">
      <c r="E27" s="811"/>
      <c r="F27" s="812"/>
      <c r="G27" s="812"/>
      <c r="H27" s="812"/>
      <c r="I27" s="812"/>
      <c r="J27" s="812"/>
      <c r="K27" s="813"/>
    </row>
    <row r="28" spans="2:66" ht="12.75" customHeight="1" thickTop="1" thickBot="1">
      <c r="F28" s="597">
        <f>angleConvert2Decimal(I28)</f>
        <v>260</v>
      </c>
      <c r="G28" s="817"/>
      <c r="H28" s="817"/>
      <c r="I28" s="819">
        <v>260</v>
      </c>
      <c r="J28" s="820"/>
      <c r="K28" s="820"/>
      <c r="L28" s="665"/>
      <c r="M28" s="665"/>
      <c r="N28" s="821"/>
      <c r="O28" s="448" t="str" cm="1">
        <f t="array" ref="O28">angleDecimal2Txt(F28)</f>
        <v>+260°00.00 (+260.0000) [+260°00'00.00]</v>
      </c>
      <c r="P28" s="448"/>
      <c r="Q28" s="448"/>
      <c r="R28" s="448"/>
      <c r="S28" s="448"/>
      <c r="T28" s="448"/>
      <c r="U28" s="448"/>
      <c r="V28" s="448"/>
      <c r="W28" s="448"/>
      <c r="X28" s="448"/>
    </row>
    <row r="29" spans="2:66" ht="12.75" customHeight="1" thickTop="1" thickBot="1">
      <c r="F29" s="818"/>
      <c r="G29" s="818"/>
      <c r="H29" s="818"/>
      <c r="I29" s="822"/>
      <c r="J29" s="820"/>
      <c r="K29" s="820"/>
      <c r="L29" s="596"/>
      <c r="M29" s="596"/>
      <c r="N29" s="823"/>
      <c r="O29" s="448"/>
      <c r="P29" s="448"/>
      <c r="Q29" s="448"/>
      <c r="R29" s="448"/>
      <c r="S29" s="448"/>
      <c r="T29" s="448"/>
      <c r="U29" s="448"/>
      <c r="V29" s="448"/>
      <c r="W29" s="448"/>
      <c r="X29" s="448"/>
    </row>
    <row r="30" spans="2:66" ht="12.75" customHeight="1" thickTop="1">
      <c r="E30" s="477" t="s">
        <v>493</v>
      </c>
      <c r="F30" s="478"/>
      <c r="G30" s="478"/>
      <c r="H30" s="478"/>
      <c r="I30" s="478"/>
      <c r="J30" s="478"/>
      <c r="K30" s="479"/>
    </row>
    <row r="31" spans="2:66" ht="12.75" customHeight="1" thickBot="1">
      <c r="E31" s="480"/>
      <c r="F31" s="481"/>
      <c r="G31" s="481"/>
      <c r="H31" s="481"/>
      <c r="I31" s="481"/>
      <c r="J31" s="481"/>
      <c r="K31" s="482"/>
    </row>
    <row r="32" spans="2:66" ht="12.75" customHeight="1" thickTop="1" thickBot="1">
      <c r="F32" s="597">
        <f>I32</f>
        <v>5</v>
      </c>
      <c r="G32" s="817"/>
      <c r="H32" s="817"/>
      <c r="I32" s="819">
        <v>5</v>
      </c>
      <c r="J32" s="820"/>
      <c r="K32" s="820"/>
      <c r="L32" s="665"/>
      <c r="M32" s="665"/>
      <c r="N32" s="821"/>
      <c r="O32" s="448" t="str" cm="1">
        <f t="array" ref="O32">angleDecimal2Txt(F32)</f>
        <v>+05°00.00 (+05.0000) [+05°00'00.00]</v>
      </c>
      <c r="P32" s="448"/>
      <c r="Q32" s="448"/>
      <c r="R32" s="448"/>
      <c r="S32" s="448"/>
      <c r="T32" s="448"/>
      <c r="U32" s="448"/>
      <c r="V32" s="448"/>
      <c r="W32" s="448"/>
      <c r="X32" s="448"/>
    </row>
    <row r="33" spans="2:30" ht="12.75" customHeight="1" thickTop="1" thickBot="1">
      <c r="F33" s="818"/>
      <c r="G33" s="818"/>
      <c r="H33" s="818"/>
      <c r="I33" s="822"/>
      <c r="J33" s="820"/>
      <c r="K33" s="820"/>
      <c r="L33" s="820"/>
      <c r="M33" s="820"/>
      <c r="N33" s="823"/>
      <c r="O33" s="448"/>
      <c r="P33" s="448"/>
      <c r="Q33" s="448"/>
      <c r="R33" s="448"/>
      <c r="S33" s="448"/>
      <c r="T33" s="448"/>
      <c r="U33" s="448"/>
      <c r="V33" s="448"/>
      <c r="W33" s="448"/>
      <c r="X33" s="448"/>
    </row>
    <row r="34" spans="2:30" ht="12.75" customHeight="1" thickTop="1">
      <c r="E34" s="802" t="s">
        <v>491</v>
      </c>
      <c r="F34" s="803"/>
      <c r="G34" s="803"/>
      <c r="H34" s="803"/>
      <c r="I34" s="803"/>
      <c r="J34" s="803"/>
      <c r="K34" s="803"/>
      <c r="L34" s="803"/>
      <c r="M34" s="804"/>
    </row>
    <row r="35" spans="2:30" ht="12.75" customHeight="1" thickBot="1">
      <c r="E35" s="805"/>
      <c r="F35" s="806"/>
      <c r="G35" s="806"/>
      <c r="H35" s="806"/>
      <c r="I35" s="806"/>
      <c r="J35" s="806"/>
      <c r="K35" s="806"/>
      <c r="L35" s="806"/>
      <c r="M35" s="807"/>
    </row>
    <row r="36" spans="2:30" s="277" customFormat="1" ht="12.75" customHeight="1" thickTop="1" thickBot="1">
      <c r="F36" s="844">
        <f>AD37</f>
        <v>46.1</v>
      </c>
      <c r="G36" s="845"/>
      <c r="H36" s="845"/>
      <c r="I36" s="839" t="str">
        <f>I11</f>
        <v>N</v>
      </c>
      <c r="J36" s="841" t="str">
        <f>J11</f>
        <v>46°06</v>
      </c>
      <c r="K36" s="839"/>
      <c r="L36" s="839"/>
      <c r="M36" s="839"/>
      <c r="N36" s="840"/>
      <c r="O36" s="847" t="str" cm="1">
        <f t="array" ref="O36">angleDecimal2Txt(F36)</f>
        <v>+46°06.00 (+46.1000) [+46°06'00.00]</v>
      </c>
      <c r="P36" s="847"/>
      <c r="Q36" s="847"/>
      <c r="R36" s="847"/>
      <c r="S36" s="847"/>
      <c r="T36" s="847"/>
      <c r="U36" s="847"/>
      <c r="V36" s="847"/>
      <c r="W36" s="847"/>
      <c r="X36" s="847"/>
      <c r="AB36" s="298"/>
      <c r="AC36" s="262" t="s">
        <v>325</v>
      </c>
      <c r="AD36" s="256">
        <f>VLOOKUP(I36,$A$13:$C$14,3)</f>
        <v>1</v>
      </c>
    </row>
    <row r="37" spans="2:30" s="277" customFormat="1" ht="12.75" customHeight="1" thickTop="1" thickBot="1">
      <c r="F37" s="846"/>
      <c r="G37" s="846"/>
      <c r="H37" s="846"/>
      <c r="I37" s="840"/>
      <c r="J37" s="840"/>
      <c r="K37" s="840"/>
      <c r="L37" s="840"/>
      <c r="M37" s="840"/>
      <c r="N37" s="840"/>
      <c r="O37" s="847"/>
      <c r="P37" s="847"/>
      <c r="Q37" s="847"/>
      <c r="R37" s="847"/>
      <c r="S37" s="847"/>
      <c r="T37" s="847"/>
      <c r="U37" s="847"/>
      <c r="V37" s="847"/>
      <c r="W37" s="847"/>
      <c r="X37" s="847"/>
      <c r="AB37" s="298"/>
      <c r="AC37" s="262" t="s">
        <v>326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96"/>
      <c r="AC38"/>
      <c r="AD38"/>
    </row>
    <row r="39" spans="2:30" ht="15.75" thickBot="1"/>
    <row r="40" spans="2:30" ht="15.75" thickBot="1">
      <c r="B40" s="107" t="s">
        <v>490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97"/>
    </row>
    <row r="41" spans="2:30" ht="12" customHeight="1">
      <c r="E41" s="835" t="s">
        <v>474</v>
      </c>
      <c r="F41" s="836"/>
      <c r="G41" s="836"/>
      <c r="H41" s="836"/>
      <c r="I41" s="836"/>
      <c r="J41" s="836"/>
      <c r="K41" s="83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837"/>
      <c r="F42" s="838"/>
      <c r="G42" s="838"/>
      <c r="H42" s="838"/>
      <c r="I42" s="838"/>
      <c r="J42" s="838"/>
      <c r="K42" s="838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598">
        <f>heureConvert2Decimal(I43)</f>
        <v>12.051666666666668</v>
      </c>
      <c r="G43" s="621"/>
      <c r="H43" s="621"/>
      <c r="I43" s="834" t="s">
        <v>475</v>
      </c>
      <c r="J43" s="665"/>
      <c r="K43" s="665"/>
      <c r="L43" s="665"/>
      <c r="M43" s="665"/>
      <c r="N43" s="821"/>
      <c r="O43" s="448" t="str">
        <f>heureDecimal2Txt(F43)</f>
        <v>12:03:06.00(12.0516)</v>
      </c>
      <c r="P43" s="448"/>
      <c r="Q43" s="448"/>
      <c r="R43" s="448"/>
      <c r="S43" s="448"/>
      <c r="T43" s="448"/>
      <c r="U43" s="448"/>
      <c r="V43" s="448"/>
      <c r="W43" s="448"/>
      <c r="X43" s="448"/>
    </row>
    <row r="44" spans="2:30" ht="12" customHeight="1" thickTop="1" thickBot="1">
      <c r="E44" s="96"/>
      <c r="F44" s="621"/>
      <c r="G44" s="621"/>
      <c r="H44" s="621"/>
      <c r="I44" s="595"/>
      <c r="J44" s="596"/>
      <c r="K44" s="596"/>
      <c r="L44" s="596"/>
      <c r="M44" s="596"/>
      <c r="N44" s="823"/>
      <c r="O44" s="448"/>
      <c r="P44" s="448"/>
      <c r="Q44" s="448"/>
      <c r="R44" s="448"/>
      <c r="S44" s="448"/>
      <c r="T44" s="448"/>
      <c r="U44" s="448"/>
      <c r="V44" s="448"/>
      <c r="W44" s="448"/>
      <c r="X44" s="448"/>
    </row>
    <row r="45" spans="2:30" ht="15.75" thickTop="1"/>
    <row r="46" spans="2:30" ht="15.75" thickBot="1"/>
    <row r="47" spans="2:30" ht="15.75" thickBot="1">
      <c r="B47" s="797" t="s">
        <v>496</v>
      </c>
      <c r="C47" s="798"/>
      <c r="D47" s="798"/>
      <c r="E47" s="798"/>
      <c r="F47" s="798"/>
      <c r="G47" s="798"/>
      <c r="H47" s="798"/>
      <c r="I47" s="798"/>
      <c r="J47" s="798"/>
      <c r="K47" s="798"/>
      <c r="L47" s="798"/>
      <c r="M47" s="798"/>
      <c r="N47" s="798"/>
      <c r="O47" s="798"/>
      <c r="P47" s="798"/>
      <c r="Q47" s="798"/>
      <c r="R47" s="798"/>
      <c r="S47" s="798"/>
      <c r="T47" s="798"/>
      <c r="U47" s="798"/>
      <c r="V47" s="798"/>
      <c r="W47" s="798"/>
      <c r="X47" s="798"/>
      <c r="Y47" s="798"/>
      <c r="Z47" s="798"/>
      <c r="AA47" s="798"/>
      <c r="AB47" s="297"/>
    </row>
    <row r="49" spans="3:27">
      <c r="C49" s="814" t="s">
        <v>494</v>
      </c>
      <c r="D49" s="815"/>
      <c r="E49" s="815"/>
      <c r="F49" s="815"/>
      <c r="G49" s="815"/>
      <c r="H49" s="815"/>
      <c r="I49" s="815"/>
      <c r="J49" s="815"/>
      <c r="K49" s="815"/>
      <c r="L49" s="815"/>
      <c r="M49" s="815"/>
      <c r="N49" s="815"/>
      <c r="O49" s="815"/>
      <c r="P49" s="815"/>
      <c r="Q49" s="815"/>
      <c r="R49" s="816"/>
    </row>
    <row r="50" spans="3:27">
      <c r="C50" s="740" t="s">
        <v>148</v>
      </c>
      <c r="D50" s="740"/>
      <c r="E50" s="740">
        <f>F28</f>
        <v>260</v>
      </c>
      <c r="F50" s="740"/>
      <c r="G50" s="740"/>
      <c r="I50" s="832" t="s">
        <v>495</v>
      </c>
      <c r="J50" s="832"/>
      <c r="K50" s="795" t="b">
        <f>IF(E50&lt;180,TRUE,FALSE)</f>
        <v>0</v>
      </c>
      <c r="L50" s="795"/>
      <c r="N50" s="824" t="s">
        <v>469</v>
      </c>
      <c r="O50" s="824"/>
      <c r="P50" s="826">
        <f>E51*ABS(SIN(Outils!$F$10*Meridienne!E50))*(IF(K50,1,-1))</f>
        <v>-4.9240387650610398</v>
      </c>
      <c r="Q50" s="827"/>
      <c r="R50" s="830" t="s">
        <v>468</v>
      </c>
    </row>
    <row r="51" spans="3:27">
      <c r="C51" s="437" t="s">
        <v>147</v>
      </c>
      <c r="D51" s="437"/>
      <c r="E51" s="437">
        <f>F32</f>
        <v>5</v>
      </c>
      <c r="F51" s="437"/>
      <c r="G51" s="437"/>
      <c r="I51" s="833"/>
      <c r="J51" s="833"/>
      <c r="K51" s="796"/>
      <c r="L51" s="796"/>
      <c r="N51" s="825"/>
      <c r="O51" s="825"/>
      <c r="P51" s="828"/>
      <c r="Q51" s="829"/>
      <c r="R51" s="831"/>
    </row>
    <row r="54" spans="3:27">
      <c r="C54" s="814" t="s">
        <v>471</v>
      </c>
      <c r="D54" s="815"/>
      <c r="E54" s="815"/>
      <c r="F54" s="815"/>
      <c r="G54" s="815"/>
      <c r="H54" s="815"/>
      <c r="I54" s="815"/>
      <c r="J54" s="815"/>
      <c r="K54" s="852"/>
      <c r="L54" s="852"/>
      <c r="M54" s="852"/>
      <c r="N54" s="852"/>
      <c r="O54" s="853"/>
    </row>
    <row r="55" spans="3:27">
      <c r="C55" s="740" t="s">
        <v>447</v>
      </c>
      <c r="D55" s="740"/>
      <c r="E55" s="740">
        <f>F36</f>
        <v>46.1</v>
      </c>
      <c r="F55" s="740"/>
      <c r="G55" s="740"/>
      <c r="I55" s="857" t="s">
        <v>470</v>
      </c>
      <c r="J55" s="857"/>
      <c r="K55" s="854" t="s">
        <v>102</v>
      </c>
      <c r="L55" s="855">
        <f>$P$50/(60 * COS($E$55*Outils!$F$10))</f>
        <v>-0.11835462412189314</v>
      </c>
      <c r="M55" s="855"/>
      <c r="N55" s="855"/>
      <c r="O55" s="856" t="s">
        <v>472</v>
      </c>
      <c r="P55" s="825" t="str">
        <f>IF(K50,"Vers l'Est","Vers l'Ouest")</f>
        <v>Vers l'Ouest</v>
      </c>
      <c r="Q55" s="825"/>
      <c r="R55" s="825"/>
      <c r="U55" s="858" t="s">
        <v>499</v>
      </c>
      <c r="V55" s="859"/>
      <c r="W55" s="860"/>
      <c r="X55" s="864">
        <f>IF(K50,-1*ABS(L55),ABS(L55))</f>
        <v>0.11835462412189314</v>
      </c>
      <c r="Y55" s="865"/>
      <c r="Z55" s="865"/>
      <c r="AA55" s="800" t="s">
        <v>472</v>
      </c>
    </row>
    <row r="56" spans="3:27">
      <c r="C56" s="437" t="str">
        <f>N50</f>
        <v>VLong.</v>
      </c>
      <c r="D56" s="437"/>
      <c r="E56" s="437">
        <f>P50</f>
        <v>-4.9240387650610398</v>
      </c>
      <c r="F56" s="437"/>
      <c r="G56" s="437"/>
      <c r="I56" s="857"/>
      <c r="J56" s="857"/>
      <c r="K56" s="854"/>
      <c r="L56" s="855"/>
      <c r="M56" s="855"/>
      <c r="N56" s="855"/>
      <c r="O56" s="856"/>
      <c r="P56" s="825"/>
      <c r="Q56" s="825"/>
      <c r="R56" s="825"/>
      <c r="U56" s="861"/>
      <c r="V56" s="862"/>
      <c r="W56" s="863"/>
      <c r="X56" s="866"/>
      <c r="Y56" s="867"/>
      <c r="Z56" s="867"/>
      <c r="AA56" s="801"/>
    </row>
    <row r="59" spans="3:27" ht="18.75" customHeight="1">
      <c r="C59" s="849" t="s">
        <v>498</v>
      </c>
      <c r="D59" s="850"/>
      <c r="E59" s="850"/>
      <c r="F59" s="850"/>
      <c r="G59" s="850"/>
      <c r="H59" s="850"/>
      <c r="I59" s="850"/>
      <c r="J59" s="850"/>
      <c r="K59" s="850"/>
      <c r="L59" s="850"/>
      <c r="M59" s="850"/>
      <c r="N59" s="850"/>
      <c r="O59" s="851"/>
    </row>
    <row r="60" spans="3:27" ht="15" customHeight="1">
      <c r="C60" s="740" t="s">
        <v>328</v>
      </c>
      <c r="D60" s="740"/>
      <c r="E60" s="740">
        <f>F16</f>
        <v>-7.083333333333333</v>
      </c>
      <c r="F60" s="740"/>
      <c r="G60" s="740"/>
      <c r="I60" s="842" t="s">
        <v>476</v>
      </c>
      <c r="J60" s="843"/>
      <c r="K60" s="848">
        <f>longitude2LongitudeHoraire(E60)</f>
        <v>7.083333333333333</v>
      </c>
      <c r="L60" s="848"/>
      <c r="M60" s="848"/>
      <c r="N60" s="848"/>
      <c r="O60" s="258" t="s">
        <v>34</v>
      </c>
    </row>
    <row r="63" spans="3:27">
      <c r="C63" s="799" t="s">
        <v>477</v>
      </c>
      <c r="D63" s="799"/>
      <c r="E63" s="799"/>
      <c r="F63" s="799"/>
      <c r="G63" s="799"/>
      <c r="H63" s="799"/>
      <c r="I63" s="799"/>
      <c r="J63" s="799"/>
      <c r="K63" s="799"/>
      <c r="L63" s="799"/>
      <c r="M63" s="799"/>
      <c r="N63" s="799"/>
      <c r="O63" s="799"/>
    </row>
    <row r="64" spans="3:27" ht="15" customHeight="1" thickBot="1">
      <c r="C64" s="793" t="s">
        <v>497</v>
      </c>
      <c r="D64" s="793"/>
      <c r="E64" s="793"/>
      <c r="F64" s="793"/>
      <c r="G64" s="793"/>
      <c r="H64" s="793"/>
      <c r="I64" s="793"/>
      <c r="J64" s="793"/>
      <c r="K64" s="793"/>
      <c r="L64" s="793"/>
      <c r="M64" s="793"/>
      <c r="N64" s="793"/>
      <c r="O64" s="793"/>
      <c r="P64" s="279" t="s">
        <v>501</v>
      </c>
      <c r="Q64" s="794" t="s">
        <v>500</v>
      </c>
      <c r="R64" s="794"/>
      <c r="S64" s="794"/>
      <c r="T64" s="794"/>
      <c r="U64" s="794"/>
      <c r="V64" s="259">
        <v>15.002000000000001</v>
      </c>
      <c r="W64" s="260" t="s">
        <v>472</v>
      </c>
    </row>
    <row r="65" spans="2:71" ht="15.75" thickTop="1">
      <c r="C65" s="793"/>
      <c r="D65" s="793"/>
      <c r="E65" s="793"/>
      <c r="F65" s="793"/>
      <c r="G65" s="793"/>
      <c r="H65" s="793"/>
      <c r="I65" s="793"/>
      <c r="J65" s="793"/>
      <c r="K65" s="793"/>
      <c r="L65" s="793"/>
      <c r="M65" s="793"/>
      <c r="N65" s="793"/>
      <c r="O65" s="793"/>
    </row>
    <row r="66" spans="2:71">
      <c r="C66" s="793"/>
      <c r="D66" s="793"/>
      <c r="E66" s="793"/>
      <c r="F66" s="793"/>
      <c r="G66" s="793"/>
      <c r="H66" s="793"/>
      <c r="I66" s="793"/>
      <c r="J66" s="793"/>
      <c r="K66" s="793"/>
      <c r="L66" s="793"/>
      <c r="M66" s="793"/>
      <c r="N66" s="793"/>
      <c r="O66" s="793"/>
    </row>
    <row r="70" spans="2:71" ht="15" customHeight="1">
      <c r="H70" s="787" t="s">
        <v>502</v>
      </c>
      <c r="I70" s="787"/>
      <c r="J70" s="787"/>
      <c r="K70" s="787"/>
      <c r="L70" s="787"/>
      <c r="M70" s="787"/>
      <c r="N70" s="787"/>
      <c r="O70" s="787"/>
      <c r="P70" s="787"/>
      <c r="Q70" s="787"/>
      <c r="R70" s="787"/>
      <c r="S70" s="787"/>
      <c r="T70" s="787"/>
      <c r="U70" s="787"/>
      <c r="V70" s="785">
        <f>$K$60/($V$64-$L$55)</f>
        <v>0.46846343947734581</v>
      </c>
      <c r="W70" s="785"/>
      <c r="X70" s="785" t="s">
        <v>487</v>
      </c>
    </row>
    <row r="71" spans="2:71">
      <c r="H71" s="787"/>
      <c r="I71" s="787"/>
      <c r="J71" s="787"/>
      <c r="K71" s="787"/>
      <c r="L71" s="787"/>
      <c r="M71" s="787"/>
      <c r="N71" s="787"/>
      <c r="O71" s="787"/>
      <c r="P71" s="787"/>
      <c r="Q71" s="787"/>
      <c r="R71" s="787"/>
      <c r="S71" s="787"/>
      <c r="T71" s="787"/>
      <c r="U71" s="787"/>
      <c r="V71" s="785"/>
      <c r="W71" s="785"/>
      <c r="X71" s="786"/>
    </row>
    <row r="72" spans="2:71">
      <c r="H72" s="788" t="s">
        <v>503</v>
      </c>
      <c r="I72" s="788"/>
      <c r="J72" s="788"/>
      <c r="K72" s="788"/>
      <c r="L72" s="788"/>
      <c r="M72" s="788"/>
      <c r="N72" s="788"/>
      <c r="O72" s="788"/>
      <c r="P72" s="788"/>
      <c r="Q72" s="788"/>
      <c r="R72" s="788"/>
      <c r="S72" s="788"/>
      <c r="T72" s="788"/>
      <c r="U72" s="788"/>
      <c r="V72" s="791">
        <f>F43+V70</f>
        <v>12.520130106144013</v>
      </c>
      <c r="W72" s="792"/>
      <c r="X72" s="789" t="str">
        <f>heureDecimal2Txt(V72)</f>
        <v>12:31:12.46(12.5201)</v>
      </c>
      <c r="Y72" s="790"/>
      <c r="Z72" s="790"/>
      <c r="AA72" s="790"/>
      <c r="AB72" s="790"/>
      <c r="AC72" s="790"/>
    </row>
    <row r="73" spans="2:71">
      <c r="H73" s="788"/>
      <c r="I73" s="788"/>
      <c r="J73" s="788"/>
      <c r="K73" s="788"/>
      <c r="L73" s="788"/>
      <c r="M73" s="788"/>
      <c r="N73" s="788"/>
      <c r="O73" s="788"/>
      <c r="P73" s="788"/>
      <c r="Q73" s="788"/>
      <c r="R73" s="788"/>
      <c r="S73" s="788"/>
      <c r="T73" s="788"/>
      <c r="U73" s="788"/>
      <c r="V73" s="792"/>
      <c r="W73" s="792"/>
      <c r="X73" s="789"/>
      <c r="Y73" s="790"/>
      <c r="Z73" s="790"/>
      <c r="AA73" s="790"/>
      <c r="AB73" s="790"/>
      <c r="AC73" s="790"/>
    </row>
    <row r="74" spans="2:71">
      <c r="H74" s="787" t="s">
        <v>504</v>
      </c>
      <c r="I74" s="787"/>
      <c r="J74" s="787"/>
      <c r="K74" s="787"/>
      <c r="L74" s="787"/>
      <c r="M74" s="787"/>
      <c r="N74" s="787"/>
      <c r="O74" s="787"/>
      <c r="P74" s="787"/>
      <c r="Q74" s="787"/>
      <c r="R74" s="787"/>
      <c r="S74" s="787"/>
      <c r="T74" s="787"/>
      <c r="U74" s="787"/>
      <c r="V74" s="784">
        <f>V72-F21</f>
        <v>2.1798523283662341</v>
      </c>
      <c r="W74" s="785"/>
      <c r="X74" s="785" t="s">
        <v>487</v>
      </c>
    </row>
    <row r="75" spans="2:71">
      <c r="H75" s="787"/>
      <c r="I75" s="787"/>
      <c r="J75" s="787"/>
      <c r="K75" s="787"/>
      <c r="L75" s="787"/>
      <c r="M75" s="787"/>
      <c r="N75" s="787"/>
      <c r="O75" s="787"/>
      <c r="P75" s="787"/>
      <c r="Q75" s="787"/>
      <c r="R75" s="787"/>
      <c r="S75" s="787"/>
      <c r="T75" s="787"/>
      <c r="U75" s="787"/>
      <c r="V75" s="785"/>
      <c r="W75" s="785"/>
      <c r="X75" s="786"/>
    </row>
    <row r="76" spans="2:71">
      <c r="H76" s="788" t="s">
        <v>508</v>
      </c>
      <c r="I76" s="788"/>
      <c r="J76" s="788"/>
      <c r="K76" s="788"/>
      <c r="L76" s="788"/>
      <c r="M76" s="788"/>
      <c r="N76" s="788"/>
      <c r="O76" s="788"/>
      <c r="P76" s="788"/>
      <c r="Q76" s="788"/>
      <c r="R76" s="788"/>
      <c r="S76" s="788"/>
      <c r="T76" s="788"/>
      <c r="U76" s="788"/>
      <c r="V76" s="791">
        <f>V74*E51</f>
        <v>10.899261641831171</v>
      </c>
      <c r="W76" s="792"/>
      <c r="X76" s="782" t="s">
        <v>146</v>
      </c>
    </row>
    <row r="77" spans="2:71">
      <c r="H77" s="788"/>
      <c r="I77" s="788"/>
      <c r="J77" s="788"/>
      <c r="K77" s="788"/>
      <c r="L77" s="788"/>
      <c r="M77" s="788"/>
      <c r="N77" s="788"/>
      <c r="O77" s="788"/>
      <c r="P77" s="788"/>
      <c r="Q77" s="788"/>
      <c r="R77" s="788"/>
      <c r="S77" s="788"/>
      <c r="T77" s="788"/>
      <c r="U77" s="788"/>
      <c r="V77" s="792"/>
      <c r="W77" s="792"/>
      <c r="X77" s="783"/>
    </row>
    <row r="79" spans="2:71" ht="15.75" thickBot="1"/>
    <row r="80" spans="2:71" s="98" customFormat="1" ht="17.25" customHeight="1" thickBot="1">
      <c r="B80" s="285" t="s">
        <v>519</v>
      </c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4"/>
      <c r="V80" s="284"/>
      <c r="W80" s="284"/>
      <c r="X80" s="284"/>
      <c r="Y80" s="284"/>
      <c r="Z80" s="284"/>
      <c r="AA80" s="284"/>
      <c r="AB80" s="30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BL80" s="181"/>
      <c r="BM80" s="181"/>
      <c r="BN80" s="181"/>
      <c r="BO80" s="181"/>
      <c r="BP80" s="181"/>
      <c r="BQ80" s="181"/>
      <c r="BR80" s="181"/>
      <c r="BS80" s="181"/>
    </row>
    <row r="81" spans="1:74" s="98" customFormat="1" ht="17.25" customHeight="1">
      <c r="C81" s="185"/>
      <c r="D81" s="186"/>
      <c r="E81" s="921" t="s">
        <v>88</v>
      </c>
      <c r="F81" s="922"/>
      <c r="G81" s="891" t="s">
        <v>2</v>
      </c>
      <c r="H81" s="892"/>
      <c r="I81" s="892"/>
      <c r="J81" s="582" t="s">
        <v>437</v>
      </c>
      <c r="K81" s="582"/>
      <c r="L81" s="582"/>
      <c r="M81" s="872" t="s">
        <v>521</v>
      </c>
      <c r="N81" s="873"/>
      <c r="O81" s="873"/>
      <c r="P81" s="874"/>
      <c r="Q81" s="872" t="s">
        <v>520</v>
      </c>
      <c r="R81" s="873"/>
      <c r="S81" s="873"/>
      <c r="T81" s="874"/>
      <c r="U81" s="883" t="s">
        <v>187</v>
      </c>
      <c r="V81" s="883"/>
      <c r="W81" s="883"/>
      <c r="X81" s="888" t="s">
        <v>522</v>
      </c>
      <c r="Y81" s="889"/>
      <c r="Z81" s="889"/>
      <c r="AA81" s="890"/>
      <c r="AB81" s="30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  <c r="BP81" s="181"/>
      <c r="BQ81" s="181"/>
      <c r="BR81" s="181"/>
      <c r="BS81" s="181"/>
    </row>
    <row r="82" spans="1:74" s="98" customFormat="1" ht="17.25" customHeight="1" thickBot="1">
      <c r="C82" s="187"/>
      <c r="D82" s="188"/>
      <c r="E82" s="486"/>
      <c r="F82" s="488"/>
      <c r="G82" s="893"/>
      <c r="H82" s="894"/>
      <c r="I82" s="894"/>
      <c r="J82" s="582"/>
      <c r="K82" s="582"/>
      <c r="L82" s="582"/>
      <c r="M82" s="875"/>
      <c r="N82" s="876"/>
      <c r="O82" s="876"/>
      <c r="P82" s="877"/>
      <c r="Q82" s="875"/>
      <c r="R82" s="876"/>
      <c r="S82" s="876"/>
      <c r="T82" s="877"/>
      <c r="U82" s="883"/>
      <c r="V82" s="883"/>
      <c r="W82" s="883"/>
      <c r="X82" s="875"/>
      <c r="Y82" s="876"/>
      <c r="Z82" s="876"/>
      <c r="AA82" s="877"/>
      <c r="AB82" s="30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181"/>
      <c r="BO82" s="181"/>
      <c r="BP82" s="181"/>
      <c r="BQ82" s="181"/>
      <c r="BR82" s="181"/>
      <c r="BS82" s="181"/>
      <c r="BT82" s="181"/>
    </row>
    <row r="83" spans="1:74" s="181" customFormat="1" ht="17.25" customHeight="1" thickTop="1" thickBot="1">
      <c r="A83" s="98"/>
      <c r="B83" s="98"/>
      <c r="C83" s="292" t="s">
        <v>363</v>
      </c>
      <c r="D83" s="293"/>
      <c r="E83" s="923" t="s">
        <v>373</v>
      </c>
      <c r="F83" s="924"/>
      <c r="G83" s="878" t="str">
        <f>heureDecimal2Txt(AC83)</f>
        <v>10:30:50.00(10.5138)</v>
      </c>
      <c r="H83" s="879"/>
      <c r="I83" s="880"/>
      <c r="J83" s="881" t="s">
        <v>383</v>
      </c>
      <c r="K83" s="882"/>
      <c r="L83" s="882"/>
      <c r="M83" s="882">
        <v>0</v>
      </c>
      <c r="N83" s="882"/>
      <c r="O83" s="882"/>
      <c r="P83" s="882"/>
      <c r="Q83" s="884">
        <v>2</v>
      </c>
      <c r="R83" s="884"/>
      <c r="S83" s="884"/>
      <c r="T83" s="884"/>
      <c r="U83" s="885" t="s">
        <v>523</v>
      </c>
      <c r="V83" s="886"/>
      <c r="W83" s="886"/>
      <c r="X83" s="887" t="str">
        <f>heureDecimal2Txt(AH83)</f>
        <v>02:00:22.46(02.0062)</v>
      </c>
      <c r="Y83" s="887"/>
      <c r="Z83" s="887"/>
      <c r="AA83" s="887"/>
      <c r="AB83" s="304"/>
      <c r="AC83" s="261">
        <f>AD83+(AE83+AF83+AG83)/3600</f>
        <v>10.513888888888889</v>
      </c>
      <c r="AD83" s="6">
        <f>heureConvert2Decimal(J83)</f>
        <v>10.340277777777779</v>
      </c>
      <c r="AE83" s="294">
        <f>M83*3600</f>
        <v>0</v>
      </c>
      <c r="AF83" s="151">
        <f>Q83</f>
        <v>2</v>
      </c>
      <c r="AG83" s="6">
        <f>heureConvert2Decimal(U83)*60</f>
        <v>623</v>
      </c>
      <c r="AH83" s="8">
        <f>$V$72-AC83</f>
        <v>2.0062412172551234</v>
      </c>
      <c r="AI83" s="6"/>
      <c r="AJ83" s="6"/>
      <c r="AK83"/>
      <c r="AL83"/>
      <c r="AM83"/>
      <c r="AN83"/>
      <c r="AO83"/>
      <c r="AP83"/>
      <c r="AQ83"/>
      <c r="AR83"/>
      <c r="AS83"/>
      <c r="BU83" s="98"/>
      <c r="BV83" s="98"/>
    </row>
    <row r="84" spans="1:74" s="181" customFormat="1" ht="17.25" customHeight="1" thickTop="1" thickBot="1">
      <c r="C84" s="288" t="s">
        <v>365</v>
      </c>
      <c r="D84" s="289"/>
      <c r="E84" s="923" t="s">
        <v>532</v>
      </c>
      <c r="F84" s="924"/>
      <c r="G84" s="878" t="str">
        <f>heureDecimal2Txt(AC84)</f>
        <v>10:45:50.00(10.7638)</v>
      </c>
      <c r="H84" s="879"/>
      <c r="I84" s="880"/>
      <c r="J84" s="881" t="s">
        <v>526</v>
      </c>
      <c r="K84" s="882"/>
      <c r="L84" s="882"/>
      <c r="M84" s="882">
        <v>0</v>
      </c>
      <c r="N84" s="882"/>
      <c r="O84" s="882"/>
      <c r="P84" s="882"/>
      <c r="Q84" s="884">
        <v>2</v>
      </c>
      <c r="R84" s="884"/>
      <c r="S84" s="884"/>
      <c r="T84" s="884"/>
      <c r="U84" s="885" t="s">
        <v>523</v>
      </c>
      <c r="V84" s="886"/>
      <c r="W84" s="886"/>
      <c r="X84" s="887" t="str">
        <f t="shared" ref="X84:X87" si="0">heureDecimal2Txt(AH84)</f>
        <v>01:45:22.46(01.7562)</v>
      </c>
      <c r="Y84" s="887"/>
      <c r="Z84" s="887"/>
      <c r="AA84" s="887"/>
      <c r="AB84" s="304"/>
      <c r="AC84" s="261">
        <f>AD84+(AE84+AF84+AG84)/3600</f>
        <v>10.763888888888889</v>
      </c>
      <c r="AD84" s="6">
        <f>heureConvert2Decimal(J84)</f>
        <v>10.590277777777779</v>
      </c>
      <c r="AE84" s="294">
        <f>M84*3600</f>
        <v>0</v>
      </c>
      <c r="AF84" s="151">
        <f>Q84</f>
        <v>2</v>
      </c>
      <c r="AG84" s="6">
        <f>heureConvert2Decimal(U84)*60</f>
        <v>623</v>
      </c>
      <c r="AH84" s="8">
        <f t="shared" ref="AH84:AH87" si="1">$V$72-AC84</f>
        <v>1.7562412172551234</v>
      </c>
      <c r="AI84" s="6"/>
      <c r="AJ84" s="6"/>
      <c r="AK84"/>
      <c r="AL84"/>
      <c r="AM84"/>
      <c r="AN84"/>
      <c r="AO84"/>
      <c r="AP84"/>
      <c r="AQ84"/>
      <c r="AR84"/>
      <c r="AS84"/>
    </row>
    <row r="85" spans="1:74" s="181" customFormat="1" ht="17.25" customHeight="1" thickTop="1" thickBot="1">
      <c r="C85" s="288" t="s">
        <v>367</v>
      </c>
      <c r="D85" s="289"/>
      <c r="E85" s="923" t="s">
        <v>533</v>
      </c>
      <c r="F85" s="924"/>
      <c r="G85" s="878" t="str">
        <f>heureDecimal2Txt(AC85)</f>
        <v>11:04:50.00(11.0805)</v>
      </c>
      <c r="H85" s="879"/>
      <c r="I85" s="880"/>
      <c r="J85" s="881" t="s">
        <v>527</v>
      </c>
      <c r="K85" s="882"/>
      <c r="L85" s="882"/>
      <c r="M85" s="882">
        <v>0</v>
      </c>
      <c r="N85" s="882"/>
      <c r="O85" s="882"/>
      <c r="P85" s="882"/>
      <c r="Q85" s="884">
        <v>2</v>
      </c>
      <c r="R85" s="884"/>
      <c r="S85" s="884"/>
      <c r="T85" s="884"/>
      <c r="U85" s="885" t="s">
        <v>523</v>
      </c>
      <c r="V85" s="886"/>
      <c r="W85" s="886"/>
      <c r="X85" s="887" t="str">
        <f t="shared" si="0"/>
        <v>01:26:22.46(01.4395)</v>
      </c>
      <c r="Y85" s="887"/>
      <c r="Z85" s="887"/>
      <c r="AA85" s="887"/>
      <c r="AB85" s="304"/>
      <c r="AC85" s="261">
        <f>AD85+(AE85+AF85+AG85)/3600</f>
        <v>11.080555555555556</v>
      </c>
      <c r="AD85" s="6">
        <f>heureConvert2Decimal(J85)</f>
        <v>10.906944444444445</v>
      </c>
      <c r="AE85" s="294">
        <f>M85*3600</f>
        <v>0</v>
      </c>
      <c r="AF85" s="151">
        <f>Q85</f>
        <v>2</v>
      </c>
      <c r="AG85" s="6">
        <f>heureConvert2Decimal(U85)*60</f>
        <v>623</v>
      </c>
      <c r="AH85" s="8">
        <f t="shared" si="1"/>
        <v>1.439574550588457</v>
      </c>
      <c r="AI85" s="6"/>
      <c r="AJ85" s="6"/>
      <c r="AK85"/>
      <c r="AL85"/>
      <c r="AM85"/>
      <c r="AN85"/>
      <c r="AO85"/>
      <c r="AP85"/>
      <c r="AQ85"/>
      <c r="AR85"/>
      <c r="AS85"/>
    </row>
    <row r="86" spans="1:74" s="181" customFormat="1" ht="17.25" customHeight="1" thickTop="1" thickBot="1">
      <c r="C86" s="288" t="s">
        <v>369</v>
      </c>
      <c r="D86" s="289"/>
      <c r="E86" s="923" t="s">
        <v>534</v>
      </c>
      <c r="F86" s="924"/>
      <c r="G86" s="878" t="str">
        <f>heureDecimal2Txt(AC86)</f>
        <v>11:20:50.00(11.3472)</v>
      </c>
      <c r="H86" s="879"/>
      <c r="I86" s="880"/>
      <c r="J86" s="881" t="s">
        <v>528</v>
      </c>
      <c r="K86" s="882"/>
      <c r="L86" s="882"/>
      <c r="M86" s="882">
        <v>0</v>
      </c>
      <c r="N86" s="882"/>
      <c r="O86" s="882"/>
      <c r="P86" s="882"/>
      <c r="Q86" s="884">
        <v>2</v>
      </c>
      <c r="R86" s="884"/>
      <c r="S86" s="884"/>
      <c r="T86" s="884"/>
      <c r="U86" s="885" t="s">
        <v>523</v>
      </c>
      <c r="V86" s="886"/>
      <c r="W86" s="886"/>
      <c r="X86" s="887" t="str">
        <f t="shared" si="0"/>
        <v>01:10:22.46(01.1729)</v>
      </c>
      <c r="Y86" s="887"/>
      <c r="Z86" s="887"/>
      <c r="AA86" s="887"/>
      <c r="AB86" s="304"/>
      <c r="AC86" s="261">
        <f>AD86+(AE86+AF86+AG86)/3600</f>
        <v>11.347222222222221</v>
      </c>
      <c r="AD86" s="6">
        <f>heureConvert2Decimal(J86)</f>
        <v>11.173611111111111</v>
      </c>
      <c r="AE86" s="294">
        <f>M86*3600</f>
        <v>0</v>
      </c>
      <c r="AF86" s="151">
        <f>Q86</f>
        <v>2</v>
      </c>
      <c r="AG86" s="6">
        <f>heureConvert2Decimal(U86)*60</f>
        <v>623</v>
      </c>
      <c r="AH86" s="8">
        <f t="shared" si="1"/>
        <v>1.1729078839217912</v>
      </c>
      <c r="AI86" s="6"/>
      <c r="AJ86" s="6"/>
      <c r="AK86"/>
      <c r="AL86"/>
      <c r="AM86"/>
      <c r="AN86"/>
      <c r="AO86"/>
      <c r="AP86"/>
      <c r="AQ86"/>
      <c r="AR86"/>
      <c r="AS86"/>
    </row>
    <row r="87" spans="1:74" s="181" customFormat="1" ht="17.25" customHeight="1" thickTop="1">
      <c r="C87" s="307" t="s">
        <v>371</v>
      </c>
      <c r="D87" s="308"/>
      <c r="E87" s="901" t="s">
        <v>535</v>
      </c>
      <c r="F87" s="902"/>
      <c r="G87" s="903" t="str">
        <f>heureDecimal2Txt(AC87)</f>
        <v>12:20:50.00(12.3472)</v>
      </c>
      <c r="H87" s="904"/>
      <c r="I87" s="905"/>
      <c r="J87" s="906" t="s">
        <v>529</v>
      </c>
      <c r="K87" s="907"/>
      <c r="L87" s="907"/>
      <c r="M87" s="907">
        <v>0</v>
      </c>
      <c r="N87" s="907"/>
      <c r="O87" s="907"/>
      <c r="P87" s="907"/>
      <c r="Q87" s="908">
        <v>2</v>
      </c>
      <c r="R87" s="908"/>
      <c r="S87" s="908"/>
      <c r="T87" s="908"/>
      <c r="U87" s="911" t="s">
        <v>523</v>
      </c>
      <c r="V87" s="912"/>
      <c r="W87" s="912"/>
      <c r="X87" s="913" t="str">
        <f t="shared" si="0"/>
        <v>00:10:22.46(00.1729)</v>
      </c>
      <c r="Y87" s="913"/>
      <c r="Z87" s="913"/>
      <c r="AA87" s="913"/>
      <c r="AB87" s="304"/>
      <c r="AC87" s="309">
        <f>AD87+(AE87+AF87+AG87)/3600</f>
        <v>12.347222222222221</v>
      </c>
      <c r="AD87" s="310">
        <f>heureConvert2Decimal(J87)</f>
        <v>12.173611111111111</v>
      </c>
      <c r="AE87" s="311">
        <f>M87*3600</f>
        <v>0</v>
      </c>
      <c r="AF87" s="312">
        <f>Q87</f>
        <v>2</v>
      </c>
      <c r="AG87" s="310">
        <f>heureConvert2Decimal(U87)*60</f>
        <v>623</v>
      </c>
      <c r="AH87" s="316">
        <f t="shared" si="1"/>
        <v>0.17290788392179124</v>
      </c>
      <c r="AI87" s="310"/>
      <c r="AJ87" s="310"/>
      <c r="AK87"/>
      <c r="AL87"/>
      <c r="AM87"/>
      <c r="AN87"/>
      <c r="AO87"/>
      <c r="AP87"/>
      <c r="AQ87"/>
      <c r="AR87"/>
      <c r="AS87"/>
    </row>
    <row r="88" spans="1:74" s="16" customFormat="1" ht="15.75" customHeight="1">
      <c r="B88" s="933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933"/>
      <c r="D88" s="933"/>
      <c r="E88" s="933"/>
      <c r="F88" s="933"/>
      <c r="G88" s="933"/>
      <c r="H88" s="933"/>
      <c r="I88" s="933"/>
      <c r="J88" s="933"/>
      <c r="K88" s="933"/>
      <c r="L88" s="933"/>
      <c r="M88" s="933"/>
      <c r="N88" s="933"/>
      <c r="O88" s="933"/>
      <c r="P88" s="933"/>
      <c r="Q88" s="933"/>
      <c r="R88" s="933"/>
      <c r="S88" s="933"/>
      <c r="T88" s="933"/>
      <c r="U88" s="933"/>
      <c r="V88" s="933"/>
      <c r="W88" s="933"/>
      <c r="X88" s="933"/>
      <c r="Y88" s="933"/>
      <c r="Z88" s="933"/>
      <c r="AA88" s="933"/>
      <c r="AB88" s="933"/>
      <c r="AC88" s="933"/>
      <c r="AD88" s="933"/>
      <c r="AE88" s="933"/>
      <c r="AF88" s="933"/>
      <c r="AG88" s="933"/>
      <c r="AH88" s="933"/>
      <c r="AI88" s="933"/>
      <c r="AJ88" s="933"/>
    </row>
    <row r="89" spans="1:74" s="16" customFormat="1" ht="15.75" customHeight="1">
      <c r="B89" s="933"/>
      <c r="C89" s="933"/>
      <c r="D89" s="933"/>
      <c r="E89" s="933"/>
      <c r="F89" s="933"/>
      <c r="G89" s="933"/>
      <c r="H89" s="933"/>
      <c r="I89" s="933"/>
      <c r="J89" s="933"/>
      <c r="K89" s="933"/>
      <c r="L89" s="933"/>
      <c r="M89" s="933"/>
      <c r="N89" s="933"/>
      <c r="O89" s="933"/>
      <c r="P89" s="933"/>
      <c r="Q89" s="933"/>
      <c r="R89" s="933"/>
      <c r="S89" s="933"/>
      <c r="T89" s="933"/>
      <c r="U89" s="933"/>
      <c r="V89" s="933"/>
      <c r="W89" s="933"/>
      <c r="X89" s="933"/>
      <c r="Y89" s="933"/>
      <c r="Z89" s="933"/>
      <c r="AA89" s="933"/>
      <c r="AB89" s="933"/>
      <c r="AC89" s="933"/>
      <c r="AD89" s="933"/>
      <c r="AE89" s="933"/>
      <c r="AF89" s="933"/>
      <c r="AG89" s="933"/>
      <c r="AH89" s="933"/>
      <c r="AI89" s="933"/>
      <c r="AJ89" s="933"/>
    </row>
    <row r="90" spans="1:74" s="181" customFormat="1" ht="18" customHeight="1">
      <c r="C90" s="185"/>
      <c r="D90" s="186"/>
      <c r="E90" s="926" t="s">
        <v>524</v>
      </c>
      <c r="F90" s="926"/>
      <c r="G90" s="899" t="s">
        <v>525</v>
      </c>
      <c r="H90" s="899"/>
      <c r="I90" s="899"/>
      <c r="J90" s="929" t="s">
        <v>547</v>
      </c>
      <c r="K90" s="930"/>
      <c r="L90" s="930"/>
      <c r="M90" s="930"/>
      <c r="N90" s="930"/>
      <c r="O90" s="930"/>
      <c r="P90" s="930"/>
      <c r="Q90" s="930"/>
      <c r="R90" s="930"/>
      <c r="S90" s="930"/>
      <c r="T90" s="930"/>
      <c r="U90" s="930"/>
      <c r="V90" s="930"/>
      <c r="W90" s="930"/>
      <c r="X90" s="930"/>
      <c r="Y90" s="930"/>
      <c r="Z90" s="931"/>
      <c r="AA90" s="909" t="s">
        <v>530</v>
      </c>
      <c r="AB90" s="290"/>
      <c r="AC90" t="s">
        <v>531</v>
      </c>
      <c r="AD90" t="s">
        <v>3</v>
      </c>
      <c r="AE90" t="s">
        <v>546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81" customFormat="1" ht="24" customHeight="1">
      <c r="C91" s="187"/>
      <c r="D91" s="188"/>
      <c r="E91" s="927"/>
      <c r="F91" s="927"/>
      <c r="G91" s="900"/>
      <c r="H91" s="900"/>
      <c r="I91" s="900"/>
      <c r="J91" s="932" t="s">
        <v>536</v>
      </c>
      <c r="K91" s="932"/>
      <c r="L91" s="932"/>
      <c r="M91" s="934" t="s">
        <v>437</v>
      </c>
      <c r="N91" s="934"/>
      <c r="O91" s="934"/>
      <c r="P91" s="928" t="s">
        <v>521</v>
      </c>
      <c r="Q91" s="928"/>
      <c r="R91" s="928"/>
      <c r="S91" s="928"/>
      <c r="T91" s="928" t="s">
        <v>520</v>
      </c>
      <c r="U91" s="928"/>
      <c r="V91" s="928"/>
      <c r="W91" s="928"/>
      <c r="X91" s="928" t="s">
        <v>187</v>
      </c>
      <c r="Y91" s="928"/>
      <c r="Z91" s="928"/>
      <c r="AA91" s="910"/>
      <c r="AB91" s="2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81" customFormat="1" ht="17.25" customHeight="1" thickBot="1">
      <c r="C92" s="895" t="s">
        <v>372</v>
      </c>
      <c r="D92" s="895"/>
      <c r="E92" s="896" t="str">
        <f>E87</f>
        <v>6°54</v>
      </c>
      <c r="F92" s="897"/>
      <c r="G92" s="898" t="str">
        <f>heureDecimal2Txt(AC92)</f>
        <v>12:41:34.93(12.6930)</v>
      </c>
      <c r="H92" s="898"/>
      <c r="I92" s="898"/>
      <c r="J92" s="914" t="str">
        <f>heureDecimal2Txt(AD92)</f>
        <v>13:00:25.00(13.0069)</v>
      </c>
      <c r="K92" s="914"/>
      <c r="L92" s="915"/>
      <c r="M92" s="916" t="s">
        <v>544</v>
      </c>
      <c r="N92" s="917"/>
      <c r="O92" s="917"/>
      <c r="P92" s="917">
        <v>0</v>
      </c>
      <c r="Q92" s="917"/>
      <c r="R92" s="917"/>
      <c r="S92" s="917"/>
      <c r="T92" s="918">
        <v>2</v>
      </c>
      <c r="U92" s="918"/>
      <c r="V92" s="918"/>
      <c r="W92" s="918"/>
      <c r="X92" s="919" t="s">
        <v>523</v>
      </c>
      <c r="Y92" s="920"/>
      <c r="Z92" s="920"/>
      <c r="AA92" s="313" t="s">
        <v>531</v>
      </c>
      <c r="AB92" s="314"/>
      <c r="AC92">
        <f>AC87+2*AH87</f>
        <v>12.693037990065804</v>
      </c>
      <c r="AD92" s="261">
        <f>AE92+(AF92+AG92+AH92)/3600</f>
        <v>13.006944444444445</v>
      </c>
      <c r="AE92" s="6">
        <f>heureConvert2Decimal(M92)</f>
        <v>12.833333333333334</v>
      </c>
      <c r="AF92" s="294">
        <f>P92*3600</f>
        <v>0</v>
      </c>
      <c r="AG92" s="151">
        <f>T92</f>
        <v>2</v>
      </c>
      <c r="AH92" s="6">
        <f>heureConvert2Decimal(X92)*60</f>
        <v>623</v>
      </c>
      <c r="AI92" s="8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81" customFormat="1" ht="17.25" customHeight="1" thickTop="1" thickBot="1">
      <c r="C93" s="895" t="s">
        <v>370</v>
      </c>
      <c r="D93" s="895"/>
      <c r="E93" s="896" t="str">
        <f>E86</f>
        <v>5°54</v>
      </c>
      <c r="F93" s="897"/>
      <c r="G93" s="898" t="str">
        <f>heureDecimal2Txt(AC93)</f>
        <v>13:41:34.93(13.6930)</v>
      </c>
      <c r="H93" s="898"/>
      <c r="I93" s="898"/>
      <c r="J93" s="879" t="str">
        <f t="shared" ref="J93:J96" si="2">heureDecimal2Txt(AD93)</f>
        <v>13:50:25.00(13.8402)</v>
      </c>
      <c r="K93" s="879"/>
      <c r="L93" s="880"/>
      <c r="M93" s="881" t="s">
        <v>543</v>
      </c>
      <c r="N93" s="882"/>
      <c r="O93" s="882"/>
      <c r="P93" s="882">
        <v>0</v>
      </c>
      <c r="Q93" s="882"/>
      <c r="R93" s="882"/>
      <c r="S93" s="882"/>
      <c r="T93" s="884">
        <v>2</v>
      </c>
      <c r="U93" s="884"/>
      <c r="V93" s="884"/>
      <c r="W93" s="884"/>
      <c r="X93" s="885" t="s">
        <v>523</v>
      </c>
      <c r="Y93" s="886"/>
      <c r="Z93" s="886"/>
      <c r="AA93" s="313" t="s">
        <v>546</v>
      </c>
      <c r="AB93" s="314"/>
      <c r="AC93">
        <f>AC86+2*AH86</f>
        <v>13.693037990065804</v>
      </c>
      <c r="AD93" s="261">
        <f>AE93+(AF93+AG93+AH93)/3600</f>
        <v>13.840277777777777</v>
      </c>
      <c r="AE93" s="6">
        <f>heureConvert2Decimal(M93)</f>
        <v>13.666666666666666</v>
      </c>
      <c r="AF93" s="294">
        <f>P93*3600</f>
        <v>0</v>
      </c>
      <c r="AG93" s="151">
        <f>T93</f>
        <v>2</v>
      </c>
      <c r="AH93" s="6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81" customFormat="1" ht="17.25" customHeight="1" thickTop="1" thickBot="1">
      <c r="C94" s="895" t="s">
        <v>368</v>
      </c>
      <c r="D94" s="895"/>
      <c r="E94" s="896" t="str">
        <f>E85</f>
        <v>4°54</v>
      </c>
      <c r="F94" s="897"/>
      <c r="G94" s="898" t="str">
        <f t="shared" ref="G94:G96" si="3">heureDecimal2Txt(AC94)</f>
        <v>13:57:34.93(13.9597)</v>
      </c>
      <c r="H94" s="898"/>
      <c r="I94" s="898"/>
      <c r="J94" s="879" t="str">
        <f t="shared" si="2"/>
        <v>13:52:02.00(13.8672)</v>
      </c>
      <c r="K94" s="879"/>
      <c r="L94" s="880"/>
      <c r="M94" s="881" t="s">
        <v>542</v>
      </c>
      <c r="N94" s="882"/>
      <c r="O94" s="882"/>
      <c r="P94" s="882">
        <v>0</v>
      </c>
      <c r="Q94" s="882"/>
      <c r="R94" s="882"/>
      <c r="S94" s="882"/>
      <c r="T94" s="884">
        <v>2</v>
      </c>
      <c r="U94" s="884"/>
      <c r="V94" s="884"/>
      <c r="W94" s="884"/>
      <c r="X94" s="885" t="s">
        <v>186</v>
      </c>
      <c r="Y94" s="886"/>
      <c r="Z94" s="886"/>
      <c r="AA94" s="313" t="s">
        <v>546</v>
      </c>
      <c r="AB94" s="287"/>
      <c r="AC94">
        <f>AC85+2*AH85</f>
        <v>13.95970465673247</v>
      </c>
      <c r="AD94" s="261">
        <f>AE94+(AF94+AG94+AH94)/3600</f>
        <v>13.867222222222223</v>
      </c>
      <c r="AE94" s="6">
        <f>heureConvert2Decimal(M94)</f>
        <v>13.866666666666667</v>
      </c>
      <c r="AF94" s="294">
        <f>P94*3600</f>
        <v>0</v>
      </c>
      <c r="AG94" s="151">
        <f>T94</f>
        <v>2</v>
      </c>
      <c r="AH94" s="6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81" customFormat="1" ht="17.25" customHeight="1" thickTop="1" thickBot="1">
      <c r="C95" s="895" t="s">
        <v>366</v>
      </c>
      <c r="D95" s="895"/>
      <c r="E95" s="896" t="str">
        <f>E84</f>
        <v>3°54</v>
      </c>
      <c r="F95" s="897"/>
      <c r="G95" s="898" t="str">
        <f t="shared" si="3"/>
        <v>14:16:34.93(14.2763)</v>
      </c>
      <c r="H95" s="898"/>
      <c r="I95" s="898"/>
      <c r="J95" s="879" t="str">
        <f>heureDecimal2Txt(AD95)</f>
        <v>14:10:02.00(14.1672)</v>
      </c>
      <c r="K95" s="879"/>
      <c r="L95" s="880"/>
      <c r="M95" s="881" t="s">
        <v>541</v>
      </c>
      <c r="N95" s="882"/>
      <c r="O95" s="882"/>
      <c r="P95" s="882">
        <v>0</v>
      </c>
      <c r="Q95" s="882"/>
      <c r="R95" s="882"/>
      <c r="S95" s="882"/>
      <c r="T95" s="884">
        <v>2</v>
      </c>
      <c r="U95" s="884"/>
      <c r="V95" s="884"/>
      <c r="W95" s="884"/>
      <c r="X95" s="885" t="s">
        <v>186</v>
      </c>
      <c r="Y95" s="886"/>
      <c r="Z95" s="886"/>
      <c r="AA95" s="313" t="s">
        <v>546</v>
      </c>
      <c r="AB95" s="287"/>
      <c r="AC95">
        <f>AC84+2*AH84</f>
        <v>14.276371323399136</v>
      </c>
      <c r="AD95" s="261">
        <f>AE95+(AF95+AG95+AH95)/3600</f>
        <v>14.167222222222222</v>
      </c>
      <c r="AE95" s="6">
        <f>heureConvert2Decimal(M95)</f>
        <v>14.166666666666666</v>
      </c>
      <c r="AF95" s="294">
        <f>P95*3600</f>
        <v>0</v>
      </c>
      <c r="AG95" s="151">
        <f>T95</f>
        <v>2</v>
      </c>
      <c r="AH95" s="6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81" customFormat="1" ht="17.25" customHeight="1" thickTop="1" thickBot="1">
      <c r="C96" s="895" t="s">
        <v>364</v>
      </c>
      <c r="D96" s="895"/>
      <c r="E96" s="896" t="str">
        <f>E83</f>
        <v>2°54</v>
      </c>
      <c r="F96" s="897"/>
      <c r="G96" s="898" t="str">
        <f t="shared" si="3"/>
        <v>14:31:34.93(14.5263)</v>
      </c>
      <c r="H96" s="898"/>
      <c r="I96" s="898"/>
      <c r="J96" s="879" t="str">
        <f t="shared" si="2"/>
        <v>14:32:03.00(14.5341)</v>
      </c>
      <c r="K96" s="879"/>
      <c r="L96" s="880"/>
      <c r="M96" s="881" t="s">
        <v>539</v>
      </c>
      <c r="N96" s="882"/>
      <c r="O96" s="882"/>
      <c r="P96" s="882">
        <v>0</v>
      </c>
      <c r="Q96" s="882"/>
      <c r="R96" s="882"/>
      <c r="S96" s="882"/>
      <c r="T96" s="884">
        <v>2</v>
      </c>
      <c r="U96" s="884"/>
      <c r="V96" s="884"/>
      <c r="W96" s="884"/>
      <c r="X96" s="885" t="s">
        <v>186</v>
      </c>
      <c r="Y96" s="886"/>
      <c r="Z96" s="886"/>
      <c r="AA96" s="313" t="s">
        <v>531</v>
      </c>
      <c r="AB96" s="287"/>
      <c r="AC96">
        <f>AC83+2*AH83</f>
        <v>14.526371323399136</v>
      </c>
      <c r="AD96" s="261">
        <f>AE96+(AF96+AG96+AH96)/3600</f>
        <v>14.534166666666666</v>
      </c>
      <c r="AE96" s="6">
        <f>heureConvert2Decimal(M96)</f>
        <v>14.53361111111111</v>
      </c>
      <c r="AF96" s="294">
        <f>P96*3600</f>
        <v>0</v>
      </c>
      <c r="AG96" s="151">
        <f>T96</f>
        <v>2</v>
      </c>
      <c r="AH96" s="6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285" t="s">
        <v>537</v>
      </c>
      <c r="C99" s="286"/>
      <c r="D99" s="286"/>
      <c r="E99" s="284"/>
      <c r="F99" s="284"/>
      <c r="G99" s="284"/>
      <c r="H99" s="284"/>
      <c r="I99" s="284"/>
      <c r="J99" s="284"/>
      <c r="K99" s="284"/>
      <c r="L99" s="286"/>
      <c r="M99" s="286"/>
      <c r="N99" s="286"/>
      <c r="O99" s="286"/>
      <c r="P99" s="286"/>
      <c r="Q99" s="286"/>
      <c r="R99" s="286"/>
      <c r="S99" s="286"/>
      <c r="T99" s="286"/>
      <c r="U99" s="284"/>
      <c r="V99" s="284"/>
      <c r="W99" s="284"/>
      <c r="X99" s="284"/>
      <c r="Y99" s="284"/>
      <c r="Z99" s="284"/>
      <c r="AA99" s="284"/>
    </row>
    <row r="100" spans="2:30">
      <c r="B100" s="98"/>
      <c r="E100" s="1219" t="s">
        <v>538</v>
      </c>
      <c r="F100" s="1219"/>
      <c r="G100" s="1219" t="s">
        <v>11</v>
      </c>
      <c r="H100" s="1219"/>
      <c r="I100" s="1219"/>
      <c r="J100" s="1219"/>
      <c r="K100" s="1219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</row>
    <row r="101" spans="2:30">
      <c r="B101" s="98"/>
      <c r="C101" s="292" t="s">
        <v>363</v>
      </c>
      <c r="D101" s="1216"/>
      <c r="E101" s="1219" t="b">
        <f>(AA96="O")</f>
        <v>1</v>
      </c>
      <c r="F101" s="1219"/>
      <c r="G101" s="1219">
        <f>IF(E101,(AD96+AC83)/2,0)</f>
        <v>12.524027777777778</v>
      </c>
      <c r="H101" s="1219"/>
      <c r="I101" s="213" t="str">
        <f>heureDecimal2Txt(G101)</f>
        <v>12:31:26.50(12.5240)</v>
      </c>
      <c r="J101" s="213"/>
      <c r="K101" s="213"/>
      <c r="Z101" s="98"/>
      <c r="AA101" s="98"/>
      <c r="AC101" t="s">
        <v>548</v>
      </c>
      <c r="AD101">
        <f>IF(G101&gt;0,1,0)</f>
        <v>1</v>
      </c>
    </row>
    <row r="102" spans="2:30">
      <c r="B102" s="98"/>
      <c r="C102" s="288" t="s">
        <v>365</v>
      </c>
      <c r="D102" s="1217"/>
      <c r="E102" s="1219" t="b">
        <f>(AA95="O")</f>
        <v>0</v>
      </c>
      <c r="F102" s="1219"/>
      <c r="G102" s="1219">
        <f>IF(E102,(AD95+AC84)/2,0)</f>
        <v>0</v>
      </c>
      <c r="H102" s="1219"/>
      <c r="I102" s="213" t="str">
        <f t="shared" ref="I102:I107" si="4">heureDecimal2Txt(G102)</f>
        <v>00:00:00.00(00.0000)</v>
      </c>
      <c r="J102" s="213"/>
      <c r="K102" s="213"/>
      <c r="Z102" s="98"/>
      <c r="AA102" s="98"/>
      <c r="AC102" t="s">
        <v>548</v>
      </c>
      <c r="AD102">
        <f t="shared" ref="AD102:AD105" si="5">IF(G102&gt;0,1,0)</f>
        <v>0</v>
      </c>
    </row>
    <row r="103" spans="2:30">
      <c r="B103" s="98"/>
      <c r="C103" s="288" t="s">
        <v>367</v>
      </c>
      <c r="D103" s="1217"/>
      <c r="E103" s="1219" t="b">
        <f>(AA94="O")</f>
        <v>0</v>
      </c>
      <c r="F103" s="1219"/>
      <c r="G103" s="1219">
        <f>IF(E103,(AD94+AC85)/2,0)</f>
        <v>0</v>
      </c>
      <c r="H103" s="1219"/>
      <c r="I103" s="213" t="str">
        <f t="shared" si="4"/>
        <v>00:00:00.00(00.0000)</v>
      </c>
      <c r="J103" s="213"/>
      <c r="K103" s="213"/>
      <c r="Z103" s="98"/>
      <c r="AA103" s="98"/>
      <c r="AC103" t="s">
        <v>548</v>
      </c>
      <c r="AD103">
        <f t="shared" si="5"/>
        <v>0</v>
      </c>
    </row>
    <row r="104" spans="2:30">
      <c r="C104" s="288" t="s">
        <v>369</v>
      </c>
      <c r="D104" s="1217"/>
      <c r="E104" s="1219" t="b">
        <f>(AA93="O")</f>
        <v>0</v>
      </c>
      <c r="F104" s="1219"/>
      <c r="G104" s="1219">
        <f>IF(E104,(AD93+AC86)/2,0)</f>
        <v>0</v>
      </c>
      <c r="H104" s="1219"/>
      <c r="I104" s="213" t="str">
        <f t="shared" si="4"/>
        <v>00:00:00.00(00.0000)</v>
      </c>
      <c r="J104" s="213"/>
      <c r="K104" s="213"/>
      <c r="AC104" t="s">
        <v>548</v>
      </c>
      <c r="AD104">
        <f t="shared" si="5"/>
        <v>0</v>
      </c>
    </row>
    <row r="105" spans="2:30">
      <c r="C105" s="307" t="s">
        <v>371</v>
      </c>
      <c r="D105" s="1218"/>
      <c r="E105" s="1219" t="b">
        <f>(AA92="O")</f>
        <v>1</v>
      </c>
      <c r="F105" s="1219"/>
      <c r="G105" s="1219">
        <f>IF(E105,(AD92+AC87)/2,0)</f>
        <v>12.677083333333332</v>
      </c>
      <c r="H105" s="1219"/>
      <c r="I105" s="213" t="str">
        <f t="shared" si="4"/>
        <v>12:40:37.49(12.6770)</v>
      </c>
      <c r="J105" s="213"/>
      <c r="K105" s="213"/>
      <c r="AC105" t="s">
        <v>548</v>
      </c>
      <c r="AD105">
        <f t="shared" si="5"/>
        <v>1</v>
      </c>
    </row>
    <row r="107" spans="2:30">
      <c r="E107" t="s">
        <v>540</v>
      </c>
      <c r="G107" s="871">
        <f>SUM(G101:G105)/SUM(AD101:AD105)</f>
        <v>12.600555555555555</v>
      </c>
      <c r="H107" s="871"/>
      <c r="I107" t="str">
        <f t="shared" si="4"/>
        <v>12:36:02.00(12.6005)</v>
      </c>
      <c r="N107" s="869" t="s">
        <v>545</v>
      </c>
      <c r="O107" s="869"/>
      <c r="P107" s="869"/>
      <c r="Q107" s="869">
        <f>G107</f>
        <v>12.600555555555555</v>
      </c>
      <c r="R107" s="869"/>
      <c r="S107" s="870" t="str">
        <f>heureDecimal2Txt(Q107)</f>
        <v>12:36:02.00(12.6005)</v>
      </c>
      <c r="T107" s="870"/>
      <c r="U107" s="870"/>
      <c r="V107" s="870"/>
      <c r="W107" s="870"/>
      <c r="X107" s="870"/>
      <c r="Y107" s="870"/>
    </row>
    <row r="108" spans="2:30">
      <c r="N108" s="869"/>
      <c r="O108" s="869"/>
      <c r="P108" s="869"/>
      <c r="Q108" s="869"/>
      <c r="R108" s="869"/>
      <c r="S108" s="870"/>
      <c r="T108" s="870"/>
      <c r="U108" s="870"/>
      <c r="V108" s="870"/>
      <c r="W108" s="870"/>
      <c r="X108" s="870"/>
      <c r="Y108" s="870"/>
    </row>
    <row r="109" spans="2:30">
      <c r="N109" s="869" t="s">
        <v>328</v>
      </c>
      <c r="O109" s="869"/>
      <c r="P109" s="869"/>
      <c r="Q109" s="868">
        <f>(F43-Q107)</f>
        <v>-0.54888888888888765</v>
      </c>
      <c r="R109" s="869"/>
      <c r="S109" s="870" t="str">
        <f>longitudeDecimal2Txt(Q109)</f>
        <v>W 00°32.93 (W 00.5488) [W 00°32'55.99]</v>
      </c>
      <c r="T109" s="870"/>
      <c r="U109" s="870"/>
      <c r="V109" s="870"/>
      <c r="W109" s="870"/>
      <c r="X109" s="870"/>
      <c r="Y109" s="870"/>
    </row>
    <row r="110" spans="2:30">
      <c r="N110" s="869"/>
      <c r="O110" s="869"/>
      <c r="P110" s="869"/>
      <c r="Q110" s="869"/>
      <c r="R110" s="869"/>
      <c r="S110" s="870"/>
      <c r="T110" s="870"/>
      <c r="U110" s="870"/>
      <c r="V110" s="870"/>
      <c r="W110" s="870"/>
      <c r="X110" s="870"/>
      <c r="Y110" s="870"/>
    </row>
    <row r="112" spans="2:30" ht="15.75" thickBot="1"/>
    <row r="113" spans="2:66" s="98" customFormat="1" ht="17.25" customHeight="1" thickBot="1">
      <c r="B113" s="107" t="s">
        <v>0</v>
      </c>
      <c r="C113" s="108"/>
      <c r="D113" s="108"/>
      <c r="E113" s="230" t="str">
        <f>N7</f>
        <v>2025/6/30 [YYYY/MM/DD]</v>
      </c>
      <c r="F113" s="230"/>
      <c r="G113" s="231"/>
      <c r="H113" s="232"/>
      <c r="I113" s="230" t="str">
        <f>heureDecimal2Txt(E117)</f>
        <v>12:31:12.46(12.5201)</v>
      </c>
      <c r="J113" s="230"/>
      <c r="K113" s="230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29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98" customFormat="1" ht="17.25" customHeight="1">
      <c r="C114" s="498" t="s">
        <v>1</v>
      </c>
      <c r="D114" s="499"/>
      <c r="E114" s="780" t="s">
        <v>436</v>
      </c>
      <c r="F114" s="781"/>
      <c r="G114" s="781"/>
      <c r="H114" s="143"/>
      <c r="AB114" s="29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106"/>
    </row>
    <row r="115" spans="2:66" s="98" customFormat="1" ht="17.25" customHeight="1">
      <c r="C115" s="477" t="s">
        <v>11</v>
      </c>
      <c r="D115" s="479"/>
      <c r="E115" s="477" t="s">
        <v>2</v>
      </c>
      <c r="F115" s="478"/>
      <c r="G115" s="478"/>
      <c r="H115" s="479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30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 thickBot="1">
      <c r="C116" s="500"/>
      <c r="D116" s="501"/>
      <c r="E116" s="480"/>
      <c r="F116" s="481"/>
      <c r="G116" s="481"/>
      <c r="H116" s="482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29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Top="1" thickBot="1">
      <c r="C117" s="480"/>
      <c r="D117" s="482"/>
      <c r="E117" s="776">
        <f>V72</f>
        <v>12.520130106144013</v>
      </c>
      <c r="F117" s="776"/>
      <c r="G117" s="776"/>
      <c r="H117" s="776"/>
      <c r="I117" s="688" t="str" cm="1">
        <f t="array" ref="I117">heureDecimal2Txt(E117)</f>
        <v>12:31:12.46(12.5201)</v>
      </c>
      <c r="J117" s="689"/>
      <c r="K117" s="689"/>
      <c r="L117" s="690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29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ht="17.25" customHeight="1" thickTop="1">
      <c r="B118" s="98"/>
      <c r="I118" s="41"/>
      <c r="J118" s="41"/>
      <c r="K118" s="41"/>
      <c r="V118" s="41"/>
      <c r="W118" s="41"/>
      <c r="X118" s="41"/>
      <c r="Y118" s="41"/>
      <c r="Z118" s="98"/>
      <c r="AA118" s="98"/>
      <c r="AB118" s="295"/>
      <c r="BN118" s="106"/>
    </row>
    <row r="119" spans="2:66" s="98" customFormat="1" ht="17.25" customHeight="1" thickBot="1">
      <c r="C119" s="97"/>
      <c r="D119" s="97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AB119" s="29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Bot="1">
      <c r="B120" s="107" t="s">
        <v>20</v>
      </c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297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8" customHeight="1" thickBot="1">
      <c r="B121"/>
      <c r="C121" s="430" t="s">
        <v>322</v>
      </c>
      <c r="D121" s="431"/>
      <c r="E121" s="431"/>
      <c r="F121" s="431"/>
      <c r="G121" s="431"/>
      <c r="H121" s="431"/>
      <c r="I121" s="432"/>
      <c r="J121" s="777" t="s">
        <v>324</v>
      </c>
      <c r="K121" s="778"/>
      <c r="L121" s="778"/>
      <c r="M121" s="778"/>
      <c r="N121" s="778"/>
      <c r="O121" s="779"/>
      <c r="P121"/>
      <c r="Q121"/>
      <c r="R121"/>
      <c r="S121"/>
      <c r="T121"/>
      <c r="U121"/>
      <c r="V121"/>
      <c r="W121"/>
      <c r="X121"/>
      <c r="Y121"/>
      <c r="Z121"/>
      <c r="AA121"/>
      <c r="AB121" s="295"/>
      <c r="AC121" s="299" t="s">
        <v>323</v>
      </c>
      <c r="AD121" s="152" t="s">
        <v>324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8" customHeight="1" thickTop="1" thickBot="1">
      <c r="B122" s="96"/>
      <c r="C122" s="430" t="s">
        <v>224</v>
      </c>
      <c r="D122" s="431"/>
      <c r="E122" s="431"/>
      <c r="F122" s="431"/>
      <c r="G122" s="431"/>
      <c r="H122" s="431"/>
      <c r="I122" s="432"/>
      <c r="J122" s="427" cm="1">
        <f t="array" ref="J122">angleConvert2Decimal(M122)</f>
        <v>0.9</v>
      </c>
      <c r="K122" s="428"/>
      <c r="L122" s="429"/>
      <c r="M122" s="424" t="s">
        <v>133</v>
      </c>
      <c r="N122" s="425"/>
      <c r="O122" s="426"/>
      <c r="P122" s="421" t="str" cm="1">
        <f t="array" ref="P122">angleDecimal2Txt(J122)</f>
        <v>+00°54.00 (+00.9000) [+00°54'00.00]</v>
      </c>
      <c r="Q122" s="422"/>
      <c r="R122" s="422"/>
      <c r="S122" s="422"/>
      <c r="T122" s="422"/>
      <c r="U122" s="422"/>
      <c r="V122" s="422"/>
      <c r="W122" s="422"/>
      <c r="X122" s="423"/>
      <c r="Y122" s="96"/>
      <c r="AB122" s="295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8" customHeight="1" thickTop="1" thickBot="1">
      <c r="C123" s="583" t="s">
        <v>223</v>
      </c>
      <c r="D123" s="583"/>
      <c r="E123" s="583"/>
      <c r="F123" s="583"/>
      <c r="G123" s="583"/>
      <c r="H123" s="583"/>
      <c r="I123" s="583"/>
      <c r="J123" s="599" cm="1">
        <f t="array" ref="J123">angleConvert2Decimal(M123)</f>
        <v>33.4</v>
      </c>
      <c r="K123" s="612"/>
      <c r="L123" s="580"/>
      <c r="M123" s="513" t="s">
        <v>374</v>
      </c>
      <c r="N123" s="514"/>
      <c r="O123" s="515"/>
      <c r="P123" s="450" t="str" cm="1">
        <f t="array" ref="P123">angleDecimal2Txt(J123)</f>
        <v>+33°24.00 (+33.3999) [+33°24'00.00]</v>
      </c>
      <c r="Q123" s="450"/>
      <c r="R123" s="450"/>
      <c r="S123" s="450"/>
      <c r="T123" s="450"/>
      <c r="U123" s="450"/>
      <c r="V123" s="450"/>
      <c r="W123" s="450"/>
      <c r="X123" s="450"/>
      <c r="Y123" s="96"/>
      <c r="AB123" s="29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8" customHeight="1" thickTop="1" thickBot="1">
      <c r="C124" s="583" t="s">
        <v>231</v>
      </c>
      <c r="D124" s="583"/>
      <c r="E124" s="583"/>
      <c r="F124" s="583"/>
      <c r="G124" s="583"/>
      <c r="H124" s="583"/>
      <c r="I124" s="583"/>
      <c r="J124" s="599" cm="1">
        <f t="array" ref="J124">angleConvert2Decimal(M124)</f>
        <v>16.25</v>
      </c>
      <c r="K124" s="612"/>
      <c r="L124" s="580"/>
      <c r="M124" s="513">
        <f>(J123-J122)/2</f>
        <v>16.25</v>
      </c>
      <c r="N124" s="514"/>
      <c r="O124" s="515"/>
      <c r="P124" s="450" t="str" cm="1">
        <f t="array" ref="P124">angleDecimal2Txt(J124)</f>
        <v>+16°15.00 (+16.2500) [+16°15'00.00]</v>
      </c>
      <c r="Q124" s="450"/>
      <c r="R124" s="450"/>
      <c r="S124" s="450"/>
      <c r="T124" s="450"/>
      <c r="U124" s="450"/>
      <c r="V124" s="450"/>
      <c r="W124" s="450"/>
      <c r="X124" s="450"/>
      <c r="Y124" s="96"/>
      <c r="AB124" s="295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8" customHeight="1" thickTop="1" thickBot="1">
      <c r="C125" s="691" t="s">
        <v>21</v>
      </c>
      <c r="D125" s="691"/>
      <c r="E125" s="691"/>
      <c r="F125" s="691"/>
      <c r="G125" s="691"/>
      <c r="H125" s="691"/>
      <c r="I125" s="691"/>
      <c r="J125" s="661">
        <f>M125</f>
        <v>2</v>
      </c>
      <c r="K125" s="662"/>
      <c r="L125" s="663"/>
      <c r="M125" s="625">
        <v>2</v>
      </c>
      <c r="N125" s="625"/>
      <c r="O125" s="625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AB125" s="29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8" customHeight="1" thickTop="1" thickBot="1">
      <c r="B126" s="96"/>
      <c r="C126" s="718" t="s">
        <v>22</v>
      </c>
      <c r="D126" s="719"/>
      <c r="E126" s="719"/>
      <c r="F126" s="719"/>
      <c r="G126" s="719"/>
      <c r="H126" s="719"/>
      <c r="I126" s="720"/>
      <c r="J126" s="599" cm="1">
        <f t="array" ref="J126">angleConvert2Decimal(M126)</f>
        <v>2.1666666666666667E-2</v>
      </c>
      <c r="K126" s="612"/>
      <c r="L126" s="580"/>
      <c r="M126" s="624" t="s">
        <v>467</v>
      </c>
      <c r="N126" s="625"/>
      <c r="O126" s="625"/>
      <c r="P126" s="450" t="str" cm="1">
        <f t="array" ref="P126">angleDecimal2Txt(J126)</f>
        <v>+00°01.30 (+00.0216) [+00°01'18.00]</v>
      </c>
      <c r="Q126" s="450"/>
      <c r="R126" s="450"/>
      <c r="S126" s="450"/>
      <c r="T126" s="450"/>
      <c r="U126" s="450"/>
      <c r="V126" s="450"/>
      <c r="W126" s="450"/>
      <c r="X126" s="450"/>
      <c r="Y126" s="96"/>
      <c r="AB126" s="295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8" customHeight="1" thickTop="1" thickBot="1">
      <c r="C127" s="728" t="s">
        <v>32</v>
      </c>
      <c r="D127" s="728"/>
      <c r="E127" s="728"/>
      <c r="F127" s="728"/>
      <c r="G127" s="728"/>
      <c r="H127" s="728"/>
      <c r="I127" s="728"/>
      <c r="J127" s="764" cm="1">
        <f t="array" ref="J127">IF(J121=AC121,J124,angleConvert2Decimal(M127))</f>
        <v>66.95</v>
      </c>
      <c r="K127" s="765"/>
      <c r="L127" s="766"/>
      <c r="M127" s="624" t="s">
        <v>478</v>
      </c>
      <c r="N127" s="625"/>
      <c r="O127" s="625"/>
      <c r="P127" s="450" t="str" cm="1">
        <f t="array" ref="P127">angleDecimal2Txt(J127)</f>
        <v>+66°57.00 (+66.9500) [+66°57'00.00]</v>
      </c>
      <c r="Q127" s="450"/>
      <c r="R127" s="450"/>
      <c r="S127" s="450"/>
      <c r="T127" s="450"/>
      <c r="U127" s="450"/>
      <c r="V127" s="450"/>
      <c r="W127" s="450"/>
      <c r="X127" s="450"/>
      <c r="Y127" s="96"/>
      <c r="AB127" s="295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8" customHeight="1" thickTop="1">
      <c r="C128" s="721" t="s">
        <v>37</v>
      </c>
      <c r="D128" s="721"/>
      <c r="E128" s="721"/>
      <c r="F128" s="721"/>
      <c r="G128" s="721"/>
      <c r="H128" s="721"/>
      <c r="I128" s="721"/>
      <c r="J128" s="722" t="str">
        <f>M128</f>
        <v>Soleil</v>
      </c>
      <c r="K128" s="723"/>
      <c r="L128" s="724"/>
      <c r="M128" s="773" t="s">
        <v>38</v>
      </c>
      <c r="N128" s="774"/>
      <c r="O128" s="775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AB128" s="295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6" s="98" customFormat="1" ht="18" customHeight="1">
      <c r="C129" s="721" t="s">
        <v>84</v>
      </c>
      <c r="D129" s="721"/>
      <c r="E129" s="721"/>
      <c r="F129" s="721"/>
      <c r="G129" s="721"/>
      <c r="H129" s="721"/>
      <c r="I129" s="721"/>
      <c r="J129" s="722" t="str">
        <f>M129</f>
        <v>BordInf</v>
      </c>
      <c r="K129" s="723"/>
      <c r="L129" s="724"/>
      <c r="M129" s="620" t="s">
        <v>85</v>
      </c>
      <c r="N129" s="620"/>
      <c r="O129" s="620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AB129" s="295"/>
      <c r="AC129" s="300" t="s">
        <v>347</v>
      </c>
      <c r="AD129" s="154" t="s">
        <v>39</v>
      </c>
      <c r="AE129" s="154" t="s">
        <v>40</v>
      </c>
      <c r="AF129" s="154" t="s">
        <v>38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6" s="98" customFormat="1" ht="17.25" customHeight="1">
      <c r="C130" s="729" t="s">
        <v>306</v>
      </c>
      <c r="D130" s="730"/>
      <c r="E130" s="109"/>
      <c r="F130" s="109"/>
      <c r="G130" s="109"/>
      <c r="H130" s="109"/>
      <c r="I130" s="110"/>
      <c r="J130" s="645" cm="1">
        <f t="array" ref="J130">angleConvert2Decimal(M130)</f>
        <v>2.8833333333333332E-3</v>
      </c>
      <c r="K130" s="442"/>
      <c r="L130" s="443"/>
      <c r="M130" s="651" t="str">
        <f>P132</f>
        <v>0.173'</v>
      </c>
      <c r="N130" s="652"/>
      <c r="O130" s="652"/>
      <c r="P130" s="657" t="s">
        <v>129</v>
      </c>
      <c r="Q130" s="657"/>
      <c r="R130" s="657"/>
      <c r="S130" s="96"/>
      <c r="T130" s="96"/>
      <c r="U130" s="96"/>
      <c r="V130" s="96"/>
      <c r="W130" s="96"/>
      <c r="X130" s="96"/>
      <c r="Y130" s="96"/>
      <c r="AB130" s="295"/>
      <c r="AC130" s="300" t="s">
        <v>131</v>
      </c>
      <c r="AD130" s="155" t="s">
        <v>132</v>
      </c>
      <c r="AE130" s="155" t="s">
        <v>133</v>
      </c>
      <c r="AF130" s="155" t="s">
        <v>104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6" s="98" customFormat="1" ht="17.25" customHeight="1" thickBot="1">
      <c r="C131" s="111"/>
      <c r="D131" s="694" t="s">
        <v>307</v>
      </c>
      <c r="E131" s="694"/>
      <c r="F131" s="694"/>
      <c r="G131" s="694"/>
      <c r="H131" s="694"/>
      <c r="I131" s="695"/>
      <c r="J131" s="646"/>
      <c r="K131" s="503"/>
      <c r="L131" s="647"/>
      <c r="M131" s="653"/>
      <c r="N131" s="654"/>
      <c r="O131" s="654"/>
      <c r="P131" s="657"/>
      <c r="Q131" s="657"/>
      <c r="R131" s="657"/>
      <c r="S131" s="96"/>
      <c r="T131" s="96"/>
      <c r="U131" s="96"/>
      <c r="V131" s="96"/>
      <c r="W131" s="96"/>
      <c r="X131" s="96"/>
      <c r="Y131" s="96"/>
      <c r="AB131" s="295"/>
      <c r="AC131" s="300" t="s">
        <v>135</v>
      </c>
      <c r="AD131" s="155" t="s">
        <v>132</v>
      </c>
      <c r="AE131" s="155" t="s">
        <v>136</v>
      </c>
      <c r="AF131" s="155" t="s">
        <v>103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6" s="98" customFormat="1" ht="17.25" customHeight="1" thickTop="1" thickBot="1">
      <c r="C132" s="111"/>
      <c r="D132" s="694"/>
      <c r="E132" s="694"/>
      <c r="F132" s="694"/>
      <c r="G132" s="694"/>
      <c r="H132" s="694"/>
      <c r="I132" s="695"/>
      <c r="J132" s="646"/>
      <c r="K132" s="503"/>
      <c r="L132" s="647"/>
      <c r="M132" s="653"/>
      <c r="N132" s="654"/>
      <c r="O132" s="654"/>
      <c r="P132" s="626" t="str">
        <f>HLOOKUP(M128,AD129:AF131,2,FALSE)</f>
        <v>0.173'</v>
      </c>
      <c r="Q132" s="626"/>
      <c r="R132" s="626"/>
      <c r="S132" s="521" t="str" cm="1">
        <f t="array" ref="S132">angleDecimal2Txt(angleConvert2Decimal(P132))</f>
        <v>+00°00.17 (+00.0028) [+00°00'10.37]</v>
      </c>
      <c r="T132" s="521"/>
      <c r="U132" s="521"/>
      <c r="V132" s="521"/>
      <c r="W132" s="521"/>
      <c r="X132" s="522"/>
      <c r="Y132" s="96"/>
      <c r="AB132" s="295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6" s="98" customFormat="1" ht="17.25" customHeight="1" thickTop="1" thickBot="1">
      <c r="C133" s="112"/>
      <c r="D133" s="696"/>
      <c r="E133" s="696"/>
      <c r="F133" s="696"/>
      <c r="G133" s="696"/>
      <c r="H133" s="696"/>
      <c r="I133" s="697"/>
      <c r="J133" s="772"/>
      <c r="K133" s="444"/>
      <c r="L133" s="445"/>
      <c r="M133" s="655"/>
      <c r="N133" s="656"/>
      <c r="O133" s="656"/>
      <c r="P133" s="623" t="str" cm="1">
        <f t="array" ref="P133">angleDecimal2Txt(J130)</f>
        <v>+00°00.17 (+00.0028) [+00°00'10.37]</v>
      </c>
      <c r="Q133" s="623"/>
      <c r="R133" s="623"/>
      <c r="S133" s="450"/>
      <c r="T133" s="450"/>
      <c r="U133" s="450"/>
      <c r="V133" s="450"/>
      <c r="W133" s="450"/>
      <c r="X133" s="450"/>
      <c r="Y133" s="96"/>
      <c r="AB133" s="295"/>
      <c r="AC133" s="300" t="s">
        <v>130</v>
      </c>
      <c r="AD133" s="154" t="s">
        <v>85</v>
      </c>
      <c r="AE133" s="154" t="s">
        <v>345</v>
      </c>
      <c r="AF133" s="154" t="s">
        <v>86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6" s="98" customFormat="1" ht="17.25" customHeight="1" thickTop="1">
      <c r="C134" s="637" t="s">
        <v>134</v>
      </c>
      <c r="D134" s="638"/>
      <c r="E134" s="638"/>
      <c r="F134" s="638"/>
      <c r="G134" s="638"/>
      <c r="H134" s="638"/>
      <c r="I134" s="639"/>
      <c r="J134" s="645" cm="1">
        <f t="array" ref="J134">angleConvert2Decimal(M134)</f>
        <v>0.53333333333333333</v>
      </c>
      <c r="K134" s="442"/>
      <c r="L134" s="443"/>
      <c r="M134" s="651" t="str">
        <f>P136</f>
        <v>32'</v>
      </c>
      <c r="N134" s="652"/>
      <c r="O134" s="652"/>
      <c r="P134" s="657" t="s">
        <v>129</v>
      </c>
      <c r="Q134" s="657"/>
      <c r="R134" s="657"/>
      <c r="S134" s="96"/>
      <c r="T134" s="96"/>
      <c r="U134" s="96"/>
      <c r="V134" s="96"/>
      <c r="W134" s="96"/>
      <c r="X134" s="96"/>
      <c r="Y134" s="96"/>
      <c r="AB134" s="295"/>
      <c r="AC134" s="300" t="s">
        <v>346</v>
      </c>
      <c r="AD134" s="156">
        <v>0.5</v>
      </c>
      <c r="AE134" s="156">
        <v>-0.5</v>
      </c>
      <c r="AF134" s="156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6" s="98" customFormat="1" ht="17.25" customHeight="1" thickBot="1">
      <c r="C135" s="640"/>
      <c r="D135" s="508"/>
      <c r="E135" s="508"/>
      <c r="F135" s="508"/>
      <c r="G135" s="508"/>
      <c r="H135" s="508"/>
      <c r="I135" s="641"/>
      <c r="J135" s="646"/>
      <c r="K135" s="503"/>
      <c r="L135" s="647"/>
      <c r="M135" s="653"/>
      <c r="N135" s="654"/>
      <c r="O135" s="654"/>
      <c r="P135" s="657"/>
      <c r="Q135" s="657"/>
      <c r="R135" s="657"/>
      <c r="S135" s="96"/>
      <c r="T135" s="96"/>
      <c r="U135" s="96"/>
      <c r="V135" s="96"/>
      <c r="W135" s="96"/>
      <c r="X135" s="96"/>
      <c r="Y135" s="96"/>
      <c r="AB135" s="29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6" s="98" customFormat="1" ht="17.25" customHeight="1" thickTop="1" thickBot="1">
      <c r="C136" s="640"/>
      <c r="D136" s="508"/>
      <c r="E136" s="508"/>
      <c r="F136" s="508"/>
      <c r="G136" s="508"/>
      <c r="H136" s="508"/>
      <c r="I136" s="641"/>
      <c r="J136" s="646"/>
      <c r="K136" s="503"/>
      <c r="L136" s="647"/>
      <c r="M136" s="653"/>
      <c r="N136" s="654"/>
      <c r="O136" s="654"/>
      <c r="P136" s="626" t="str">
        <f>HLOOKUP(M128,AD129:AF131,3,FALSE)</f>
        <v>32'</v>
      </c>
      <c r="Q136" s="626"/>
      <c r="R136" s="626"/>
      <c r="S136" s="521" t="str" cm="1">
        <f t="array" ref="S136">angleDecimal2Txt(angleConvert2Decimal(P136))</f>
        <v>+00°32.00 (+00.5333) [+00°32'00.00]</v>
      </c>
      <c r="T136" s="521"/>
      <c r="U136" s="521"/>
      <c r="V136" s="521"/>
      <c r="W136" s="521"/>
      <c r="X136" s="522"/>
      <c r="Y136" s="96"/>
      <c r="AB136" s="295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6" s="98" customFormat="1" ht="17.25" customHeight="1" thickTop="1" thickBot="1">
      <c r="C137" s="642"/>
      <c r="D137" s="643"/>
      <c r="E137" s="643"/>
      <c r="F137" s="643"/>
      <c r="G137" s="643"/>
      <c r="H137" s="643"/>
      <c r="I137" s="644"/>
      <c r="J137" s="648"/>
      <c r="K137" s="649"/>
      <c r="L137" s="650"/>
      <c r="M137" s="655"/>
      <c r="N137" s="656"/>
      <c r="O137" s="656"/>
      <c r="P137" s="623" t="str" cm="1">
        <f t="array" ref="P137">angleDecimal2Txt(J134)</f>
        <v>+00°32.00 (+00.5333) [+00°32'00.00]</v>
      </c>
      <c r="Q137" s="623"/>
      <c r="R137" s="623"/>
      <c r="S137" s="450"/>
      <c r="T137" s="450"/>
      <c r="U137" s="450"/>
      <c r="V137" s="450"/>
      <c r="W137" s="450"/>
      <c r="X137" s="450"/>
      <c r="Y137" s="96"/>
      <c r="AB137" s="295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6" s="98" customFormat="1" ht="17.25" customHeight="1" thickTop="1" thickBot="1"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AB138" s="29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6" s="98" customFormat="1" ht="17.25" customHeight="1" thickBot="1">
      <c r="B139" s="107" t="s">
        <v>362</v>
      </c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297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6" s="98" customFormat="1" ht="17.25" customHeight="1">
      <c r="C140" s="96"/>
      <c r="D140" s="96"/>
      <c r="E140" s="731" t="s">
        <v>7</v>
      </c>
      <c r="F140" s="731"/>
      <c r="G140" s="731"/>
      <c r="H140" s="731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AB140" s="29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6" s="98" customFormat="1" ht="17.25" customHeight="1">
      <c r="C141" s="96"/>
      <c r="D141" s="96"/>
      <c r="E141" s="731"/>
      <c r="F141" s="731"/>
      <c r="G141" s="731"/>
      <c r="H141" s="73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29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6" s="98" customFormat="1" ht="17.25" customHeight="1">
      <c r="A142"/>
      <c r="B142"/>
      <c r="C142"/>
      <c r="D142" s="96"/>
      <c r="E142" s="96"/>
      <c r="F142" s="770">
        <f>F36</f>
        <v>46.1</v>
      </c>
      <c r="G142" s="771"/>
      <c r="H142" s="771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96"/>
      <c r="Z142" s="96"/>
      <c r="AB142" s="295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113"/>
    </row>
    <row r="143" spans="1:66" s="98" customFormat="1" ht="17.25" customHeight="1">
      <c r="A143"/>
      <c r="B143"/>
      <c r="C143"/>
      <c r="D143" s="96"/>
      <c r="E143" s="96"/>
      <c r="F143" s="771"/>
      <c r="G143" s="771"/>
      <c r="H143" s="771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96"/>
      <c r="Z143" s="96"/>
      <c r="AB143" s="295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113"/>
    </row>
    <row r="144" spans="1:66" s="98" customFormat="1" ht="17.25" customHeight="1">
      <c r="A144"/>
      <c r="B144"/>
      <c r="C144"/>
      <c r="D144" s="96"/>
      <c r="E144" s="96"/>
      <c r="F144" s="96"/>
      <c r="G144" s="96"/>
      <c r="H144" s="96"/>
      <c r="AB144" s="295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113"/>
    </row>
    <row r="145" spans="2:66" s="98" customFormat="1" ht="17.25" customHeight="1" thickBot="1">
      <c r="C145" s="143"/>
      <c r="D145" s="143"/>
      <c r="E145" s="143"/>
      <c r="F145" s="143"/>
      <c r="G145" s="143"/>
      <c r="AB145" s="29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106"/>
    </row>
    <row r="146" spans="2:66" s="98" customFormat="1" ht="17.25" customHeight="1" thickBot="1">
      <c r="B146" s="107" t="s">
        <v>9</v>
      </c>
      <c r="C146" s="108"/>
      <c r="D146" s="108"/>
      <c r="E146" s="108"/>
      <c r="F146" s="510">
        <f>IF(G147=AD147,F151,F159)</f>
        <v>23.13413311648976</v>
      </c>
      <c r="G146" s="510"/>
      <c r="H146" s="510"/>
      <c r="I146" s="108"/>
      <c r="J146" s="108"/>
      <c r="K146" s="108" t="str" cm="1">
        <f t="array" ref="K146">angleDecimal2Txt(F146)</f>
        <v>+23°08.04 (+23.1341) [+23°08'02.87]</v>
      </c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297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106"/>
    </row>
    <row r="147" spans="2:66" s="115" customFormat="1" ht="17.25" customHeight="1">
      <c r="C147" s="508" t="s">
        <v>42</v>
      </c>
      <c r="D147" s="508"/>
      <c r="E147" s="508"/>
      <c r="F147" s="508"/>
      <c r="G147" s="512" t="s">
        <v>10</v>
      </c>
      <c r="H147" s="512"/>
      <c r="I147" s="512"/>
      <c r="AB147" s="306"/>
      <c r="AC147" s="925" t="s">
        <v>43</v>
      </c>
      <c r="AD147" s="152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98" customFormat="1" ht="17.25" customHeight="1">
      <c r="C148" s="116" t="s">
        <v>10</v>
      </c>
      <c r="D148" s="116"/>
      <c r="E148" s="117"/>
      <c r="F148" s="117"/>
      <c r="G148" s="96"/>
      <c r="H148" s="96"/>
      <c r="I148" s="96"/>
      <c r="AB148" s="295"/>
      <c r="AC148" s="925"/>
      <c r="AD148" s="152" t="s">
        <v>16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106"/>
    </row>
    <row r="149" spans="2:66" s="98" customFormat="1" ht="17.25" customHeight="1">
      <c r="C149" s="143"/>
      <c r="D149" s="143"/>
      <c r="E149" s="143"/>
      <c r="F149" s="518" t="s">
        <v>9</v>
      </c>
      <c r="G149" s="518"/>
      <c r="H149" s="518"/>
      <c r="I149" s="477" t="s">
        <v>12</v>
      </c>
      <c r="J149" s="478"/>
      <c r="K149" s="478"/>
      <c r="L149" s="479"/>
      <c r="M149" s="511" t="s">
        <v>13</v>
      </c>
      <c r="N149" s="511"/>
      <c r="O149" s="511"/>
      <c r="P149" s="520" t="s">
        <v>17</v>
      </c>
      <c r="Q149" s="520"/>
      <c r="R149" s="520"/>
      <c r="S149" s="520"/>
      <c r="T149" s="520"/>
      <c r="U149" s="96"/>
      <c r="AB149" s="295"/>
      <c r="AC149"/>
      <c r="AD149" s="157" t="s">
        <v>101</v>
      </c>
      <c r="AE149" s="6" t="s">
        <v>337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106"/>
    </row>
    <row r="150" spans="2:66" s="98" customFormat="1" ht="17.25" customHeight="1" thickBot="1">
      <c r="C150" s="143"/>
      <c r="D150" s="143"/>
      <c r="E150" s="143"/>
      <c r="F150" s="518"/>
      <c r="G150" s="518"/>
      <c r="H150" s="518"/>
      <c r="I150" s="480"/>
      <c r="J150" s="481"/>
      <c r="K150" s="481"/>
      <c r="L150" s="482"/>
      <c r="M150" s="511"/>
      <c r="N150" s="511"/>
      <c r="O150" s="511"/>
      <c r="P150" s="520"/>
      <c r="Q150" s="520"/>
      <c r="R150" s="520"/>
      <c r="S150" s="520"/>
      <c r="T150" s="520"/>
      <c r="U150" s="96"/>
      <c r="AB150" s="295"/>
      <c r="AC150" s="261" t="s">
        <v>329</v>
      </c>
      <c r="AD150" s="6">
        <f>VLOOKUP(P151,Outils!C15:E16,3)</f>
        <v>1</v>
      </c>
      <c r="AE150" s="6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106"/>
    </row>
    <row r="151" spans="2:66" s="98" customFormat="1" ht="17.25" customHeight="1" thickTop="1" thickBot="1">
      <c r="C151" s="143"/>
      <c r="D151" s="143"/>
      <c r="F151" s="597">
        <f>IF(G147=AD148,"---",AD155)</f>
        <v>23.13413311648976</v>
      </c>
      <c r="G151" s="597"/>
      <c r="H151" s="597"/>
      <c r="I151" s="588">
        <f>E117</f>
        <v>12.520130106144013</v>
      </c>
      <c r="J151" s="589"/>
      <c r="K151" s="589"/>
      <c r="L151" s="590"/>
      <c r="M151" s="700">
        <v>12</v>
      </c>
      <c r="N151" s="516"/>
      <c r="O151" s="516"/>
      <c r="P151" s="516" t="s">
        <v>3</v>
      </c>
      <c r="Q151" s="627" t="s">
        <v>479</v>
      </c>
      <c r="R151" s="698"/>
      <c r="S151" s="698"/>
      <c r="T151" s="698"/>
      <c r="U151" s="448" t="str" cm="1">
        <f t="array" ref="U151">angleDecimal2Txt(AE150)</f>
        <v>+23°08.09 (+23.1350) [+23°08'06.00]</v>
      </c>
      <c r="V151" s="619"/>
      <c r="W151" s="619"/>
      <c r="X151" s="619"/>
      <c r="Y151" s="619"/>
      <c r="AB151" s="295"/>
      <c r="AC151" s="261" t="s">
        <v>330</v>
      </c>
      <c r="AD151" s="6">
        <f>VLOOKUP(P153,Outils!C15:E16,3)</f>
        <v>1</v>
      </c>
      <c r="AE151" s="6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106"/>
    </row>
    <row r="152" spans="2:66" s="98" customFormat="1" ht="17.25" customHeight="1" thickTop="1" thickBot="1">
      <c r="C152" s="143"/>
      <c r="D152" s="143"/>
      <c r="E152" s="143"/>
      <c r="F152" s="598"/>
      <c r="G152" s="598"/>
      <c r="H152" s="598"/>
      <c r="I152" s="526"/>
      <c r="J152" s="591"/>
      <c r="K152" s="591"/>
      <c r="L152" s="592"/>
      <c r="M152" s="701"/>
      <c r="N152" s="517"/>
      <c r="O152" s="517"/>
      <c r="P152" s="517"/>
      <c r="Q152" s="699"/>
      <c r="R152" s="699"/>
      <c r="S152" s="699"/>
      <c r="T152" s="699"/>
      <c r="U152" s="619"/>
      <c r="V152" s="619"/>
      <c r="W152" s="619"/>
      <c r="X152" s="619"/>
      <c r="Y152" s="619"/>
      <c r="AB152" s="295"/>
      <c r="AC152" s="261" t="s">
        <v>45</v>
      </c>
      <c r="AD152" s="8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106"/>
    </row>
    <row r="153" spans="2:66" s="98" customFormat="1" ht="17.25" customHeight="1" thickTop="1" thickBot="1">
      <c r="C153" s="143"/>
      <c r="D153" s="143"/>
      <c r="E153" s="143"/>
      <c r="F153" s="598"/>
      <c r="G153" s="598"/>
      <c r="H153" s="598"/>
      <c r="I153" s="526"/>
      <c r="J153" s="591"/>
      <c r="K153" s="591"/>
      <c r="L153" s="592"/>
      <c r="M153" s="701">
        <v>13</v>
      </c>
      <c r="N153" s="517"/>
      <c r="O153" s="517"/>
      <c r="P153" s="517" t="s">
        <v>3</v>
      </c>
      <c r="Q153" s="705" t="s">
        <v>482</v>
      </c>
      <c r="R153" s="699"/>
      <c r="S153" s="699"/>
      <c r="T153" s="699"/>
      <c r="U153" s="448" t="str" cm="1">
        <f t="array" ref="U153">angleDecimal2Txt((AE151))</f>
        <v>+23°08.00 (+23.1333) [+23°08'00.00]</v>
      </c>
      <c r="V153" s="619"/>
      <c r="W153" s="619"/>
      <c r="X153" s="619"/>
      <c r="Y153" s="619"/>
      <c r="AB153" s="295"/>
      <c r="AC153" s="261" t="s">
        <v>331</v>
      </c>
      <c r="AD153" s="8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106"/>
    </row>
    <row r="154" spans="2:66" s="98" customFormat="1" ht="17.25" customHeight="1" thickTop="1" thickBot="1">
      <c r="C154" s="143"/>
      <c r="D154" s="143"/>
      <c r="E154" s="143"/>
      <c r="F154" s="598"/>
      <c r="G154" s="598"/>
      <c r="H154" s="598"/>
      <c r="I154" s="686"/>
      <c r="J154" s="763"/>
      <c r="K154" s="763"/>
      <c r="L154" s="687"/>
      <c r="M154" s="701"/>
      <c r="N154" s="517"/>
      <c r="O154" s="517"/>
      <c r="P154" s="517"/>
      <c r="Q154" s="699"/>
      <c r="R154" s="699"/>
      <c r="S154" s="699"/>
      <c r="T154" s="699"/>
      <c r="U154" s="619"/>
      <c r="V154" s="619"/>
      <c r="W154" s="619"/>
      <c r="X154" s="619"/>
      <c r="Y154" s="619"/>
      <c r="AB154" s="295"/>
      <c r="AC154" s="261" t="s">
        <v>46</v>
      </c>
      <c r="AD154" s="8">
        <f>I151-M151</f>
        <v>0.52013010614401267</v>
      </c>
      <c r="AE154"/>
      <c r="AF154"/>
      <c r="AG154"/>
      <c r="AH154"/>
      <c r="AI154" s="4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106"/>
    </row>
    <row r="155" spans="2:66" s="98" customFormat="1" ht="17.25" customHeight="1" thickTop="1" thickBot="1">
      <c r="C155" s="143"/>
      <c r="D155" s="143"/>
      <c r="E155" s="143"/>
      <c r="F155" s="450" t="str" cm="1">
        <f t="array" ref="F155">angleDecimal2Txt(F151)</f>
        <v>+23°08.04 (+23.1341) [+23°08'02.87]</v>
      </c>
      <c r="G155" s="450"/>
      <c r="H155" s="450"/>
      <c r="I155" s="623"/>
      <c r="J155" s="623"/>
      <c r="K155" s="623"/>
      <c r="AA155" s="96"/>
      <c r="AB155" s="295"/>
      <c r="AC155" s="261" t="s">
        <v>44</v>
      </c>
      <c r="AD155" s="6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106"/>
    </row>
    <row r="156" spans="2:66" s="98" customFormat="1" ht="17.25" customHeight="1" thickTop="1">
      <c r="C156" s="116" t="s">
        <v>16</v>
      </c>
      <c r="D156" s="116"/>
      <c r="E156" s="117"/>
      <c r="F156" s="117"/>
      <c r="G156" s="96"/>
      <c r="H156" s="96"/>
      <c r="I156" s="96"/>
      <c r="AA156" s="96"/>
      <c r="AB156" s="295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106"/>
    </row>
    <row r="157" spans="2:66" s="98" customFormat="1" ht="17.25" customHeight="1">
      <c r="C157" s="96"/>
      <c r="D157" s="96"/>
      <c r="E157" s="96"/>
      <c r="F157" s="518" t="s">
        <v>9</v>
      </c>
      <c r="G157" s="518"/>
      <c r="H157" s="518"/>
      <c r="I157" s="477" t="s">
        <v>12</v>
      </c>
      <c r="J157" s="478"/>
      <c r="K157" s="478"/>
      <c r="L157" s="479"/>
      <c r="M157" s="511" t="s">
        <v>13</v>
      </c>
      <c r="N157" s="511"/>
      <c r="O157" s="511"/>
      <c r="P157" s="520" t="s">
        <v>18</v>
      </c>
      <c r="Q157" s="520"/>
      <c r="R157" s="520"/>
      <c r="S157" s="520"/>
      <c r="T157" s="520"/>
      <c r="U157" s="520" t="s">
        <v>227</v>
      </c>
      <c r="V157" s="520"/>
      <c r="W157" s="520"/>
      <c r="X157" s="520"/>
      <c r="Y157" s="520"/>
      <c r="AA157" s="96"/>
      <c r="AB157" s="295"/>
      <c r="AC157" s="261" t="s">
        <v>332</v>
      </c>
      <c r="AD157" s="6">
        <f>VLOOKUP(P159,Outils!C15:E16,3)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106"/>
    </row>
    <row r="158" spans="2:66" s="98" customFormat="1" ht="17.25" customHeight="1">
      <c r="C158" s="143"/>
      <c r="D158" s="143"/>
      <c r="E158" s="143"/>
      <c r="F158" s="518"/>
      <c r="G158" s="518"/>
      <c r="H158" s="518"/>
      <c r="I158" s="480"/>
      <c r="J158" s="481"/>
      <c r="K158" s="481"/>
      <c r="L158" s="482"/>
      <c r="M158" s="511"/>
      <c r="N158" s="511"/>
      <c r="O158" s="511"/>
      <c r="P158" s="520"/>
      <c r="Q158" s="520"/>
      <c r="R158" s="520"/>
      <c r="S158" s="520"/>
      <c r="T158" s="520"/>
      <c r="U158" s="520"/>
      <c r="V158" s="520"/>
      <c r="W158" s="520"/>
      <c r="X158" s="520"/>
      <c r="Y158" s="520"/>
      <c r="Z158" s="96"/>
      <c r="AA158" s="96"/>
      <c r="AB158" s="295"/>
      <c r="AC158" s="261" t="s">
        <v>333</v>
      </c>
      <c r="AD158" s="6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106"/>
    </row>
    <row r="159" spans="2:66" s="98" customFormat="1" ht="17.25" customHeight="1">
      <c r="C159" s="143"/>
      <c r="D159" s="143"/>
      <c r="F159" s="597" t="str">
        <f>IF(G147=AD148,AD161,"---")</f>
        <v>---</v>
      </c>
      <c r="G159" s="597"/>
      <c r="H159" s="597"/>
      <c r="I159" s="588">
        <f>E117</f>
        <v>12.520130106144013</v>
      </c>
      <c r="J159" s="589"/>
      <c r="K159" s="589"/>
      <c r="L159" s="590"/>
      <c r="M159" s="700">
        <v>0</v>
      </c>
      <c r="N159" s="516"/>
      <c r="O159" s="516"/>
      <c r="P159" s="516" t="s">
        <v>4</v>
      </c>
      <c r="Q159" s="711" t="s">
        <v>221</v>
      </c>
      <c r="R159" s="516"/>
      <c r="S159" s="516"/>
      <c r="T159" s="516"/>
      <c r="U159" s="516" t="s">
        <v>3</v>
      </c>
      <c r="V159" s="711" t="s">
        <v>170</v>
      </c>
      <c r="W159" s="516"/>
      <c r="X159" s="516"/>
      <c r="Y159" s="516"/>
      <c r="Z159" s="96"/>
      <c r="AB159" s="295"/>
      <c r="AC159" s="261" t="s">
        <v>334</v>
      </c>
      <c r="AD159" s="6">
        <f>VLOOKUP(U159,Outils!C15:E16,3)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106"/>
    </row>
    <row r="160" spans="2:66" s="98" customFormat="1" ht="17.25" customHeight="1" collapsed="1" thickBot="1">
      <c r="C160" s="143"/>
      <c r="D160" s="143"/>
      <c r="E160" s="143"/>
      <c r="F160" s="598"/>
      <c r="G160" s="598"/>
      <c r="H160" s="598"/>
      <c r="I160" s="686"/>
      <c r="J160" s="763"/>
      <c r="K160" s="763"/>
      <c r="L160" s="687"/>
      <c r="M160" s="701"/>
      <c r="N160" s="517"/>
      <c r="O160" s="517"/>
      <c r="P160" s="517"/>
      <c r="Q160" s="517"/>
      <c r="R160" s="517"/>
      <c r="S160" s="517"/>
      <c r="T160" s="517"/>
      <c r="U160" s="517"/>
      <c r="V160" s="517"/>
      <c r="W160" s="517"/>
      <c r="X160" s="517"/>
      <c r="Y160" s="517"/>
      <c r="Z160" s="96"/>
      <c r="AB160" s="295"/>
      <c r="AC160" s="261" t="s">
        <v>335</v>
      </c>
      <c r="AD160" s="6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106"/>
    </row>
    <row r="161" spans="1:67" s="98" customFormat="1" ht="17.25" customHeight="1" thickTop="1" thickBot="1">
      <c r="C161" s="143"/>
      <c r="D161" s="143"/>
      <c r="E161" s="143"/>
      <c r="F161" s="450" t="e" cm="1">
        <f t="array" ref="F161">angleDecimal2Txt(F159)</f>
        <v>#VALUE!</v>
      </c>
      <c r="G161" s="450"/>
      <c r="H161" s="450"/>
      <c r="I161" s="623"/>
      <c r="J161" s="623"/>
      <c r="K161" s="623"/>
      <c r="P161" s="450" t="str" cm="1">
        <f t="array" ref="P161">angleDecimal2Txt(AD158)</f>
        <v>-12°14.40 (-12.2400) [-12°14'24.00]</v>
      </c>
      <c r="Q161" s="450"/>
      <c r="R161" s="450"/>
      <c r="S161" s="450"/>
      <c r="T161" s="450"/>
      <c r="U161" s="450" t="str" cm="1">
        <f t="array" ref="U161">angleDecimal2Txt(AD160)</f>
        <v>+00°00.96 (+00.0160) [+00°00'57.60]</v>
      </c>
      <c r="V161" s="630"/>
      <c r="W161" s="630"/>
      <c r="X161" s="630"/>
      <c r="Y161" s="630"/>
      <c r="AB161" s="295"/>
      <c r="AC161" s="261" t="s">
        <v>336</v>
      </c>
      <c r="AD161" s="6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106"/>
    </row>
    <row r="162" spans="1:67" s="98" customFormat="1" ht="17.25" customHeight="1" thickTop="1">
      <c r="C162" s="143"/>
      <c r="D162" s="143"/>
      <c r="E162" s="143"/>
      <c r="F162" s="143"/>
      <c r="G162" s="143"/>
      <c r="S162" s="96"/>
      <c r="T162" s="96"/>
      <c r="U162" s="96"/>
      <c r="V162" s="96"/>
      <c r="W162" s="96"/>
      <c r="X162" s="96"/>
      <c r="AB162" s="295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106"/>
    </row>
    <row r="163" spans="1:67" s="98" customFormat="1" ht="17.25" customHeight="1" thickBot="1">
      <c r="C163" s="143"/>
      <c r="D163" s="143"/>
      <c r="E163" s="143"/>
      <c r="F163" s="143"/>
      <c r="G163" s="143"/>
      <c r="S163" s="96"/>
      <c r="T163" s="96"/>
      <c r="U163" s="96"/>
      <c r="V163" s="96"/>
      <c r="W163" s="96"/>
      <c r="X163" s="96"/>
      <c r="AB163" s="295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106"/>
    </row>
    <row r="164" spans="1:67" s="98" customFormat="1" ht="17.25" customHeight="1" thickBot="1">
      <c r="B164" s="107" t="s">
        <v>25</v>
      </c>
      <c r="C164" s="108"/>
      <c r="D164" s="675" t="s">
        <v>100</v>
      </c>
      <c r="E164" s="679"/>
      <c r="F164" s="510">
        <f>IF(G165=AD165,O204,O194)</f>
        <v>67.147622184360216</v>
      </c>
      <c r="G164" s="510"/>
      <c r="H164" s="510"/>
      <c r="I164" s="108"/>
      <c r="J164" s="108"/>
      <c r="K164" s="108"/>
      <c r="L164" s="108" t="s">
        <v>88</v>
      </c>
      <c r="M164" s="675">
        <f>O167</f>
        <v>66.95</v>
      </c>
      <c r="N164" s="675"/>
      <c r="O164" s="108"/>
      <c r="P164" s="144"/>
      <c r="Q164" s="108" t="s">
        <v>127</v>
      </c>
      <c r="R164" s="108"/>
      <c r="S164" s="714">
        <f>-O181+O176+O185</f>
        <v>0.260725308404401</v>
      </c>
      <c r="T164" s="715"/>
      <c r="U164" s="716"/>
      <c r="V164" s="767" t="str" cm="1">
        <f t="array" ref="V164">angleDecimal2Txt(S164)</f>
        <v>+00°15.64 (+00.2607) [+00°15'38.61]</v>
      </c>
      <c r="W164" s="768"/>
      <c r="X164" s="768"/>
      <c r="Y164" s="768"/>
      <c r="Z164" s="769"/>
      <c r="AA164" s="108"/>
      <c r="AB164" s="297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106"/>
    </row>
    <row r="165" spans="1:67" s="98" customFormat="1" ht="17.25" customHeight="1">
      <c r="C165" s="508" t="s">
        <v>42</v>
      </c>
      <c r="D165" s="508"/>
      <c r="E165" s="508"/>
      <c r="F165" s="508"/>
      <c r="G165" s="629" t="s">
        <v>59</v>
      </c>
      <c r="H165" s="629"/>
      <c r="I165" s="629"/>
      <c r="P165" s="98" t="s">
        <v>97</v>
      </c>
      <c r="V165" s="96"/>
      <c r="W165" s="96"/>
      <c r="X165" s="96"/>
      <c r="Y165" s="96"/>
      <c r="Z165" s="96"/>
      <c r="AB165" s="295"/>
      <c r="AC165" s="925" t="s">
        <v>43</v>
      </c>
      <c r="AD165" s="152" t="s">
        <v>58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106"/>
    </row>
    <row r="166" spans="1:67" s="98" customFormat="1" ht="17.25" customHeight="1" thickBot="1">
      <c r="C166" s="115"/>
      <c r="D166" s="115"/>
      <c r="E166" s="115"/>
      <c r="F166" s="581" t="s">
        <v>90</v>
      </c>
      <c r="G166" s="581"/>
      <c r="H166" s="631"/>
      <c r="I166" s="631"/>
      <c r="J166" s="764">
        <f>IF(G165=AD165,"---",O194)</f>
        <v>67.147622184360216</v>
      </c>
      <c r="K166" s="765"/>
      <c r="L166" s="766"/>
      <c r="M166" s="233"/>
      <c r="N166" s="233"/>
      <c r="O166" s="233"/>
      <c r="P166" s="233"/>
      <c r="Q166" s="233"/>
      <c r="R166" s="233"/>
      <c r="S166" s="233"/>
      <c r="T166" s="233"/>
      <c r="U166" s="233"/>
      <c r="V166" s="234"/>
      <c r="W166" s="234"/>
      <c r="X166" s="234"/>
      <c r="Y166" s="234"/>
      <c r="Z166" s="234"/>
      <c r="AB166" s="295"/>
      <c r="AC166" s="925"/>
      <c r="AD166" s="152" t="s">
        <v>59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106"/>
    </row>
    <row r="167" spans="1:67" s="98" customFormat="1" ht="17.25" customHeight="1" thickTop="1" thickBot="1">
      <c r="H167" s="759" t="s">
        <v>55</v>
      </c>
      <c r="I167" s="760"/>
      <c r="J167" s="760"/>
      <c r="K167" s="760"/>
      <c r="L167" s="760"/>
      <c r="M167" s="760"/>
      <c r="N167" s="761"/>
      <c r="O167" s="437">
        <f>J127</f>
        <v>66.95</v>
      </c>
      <c r="P167" s="437"/>
      <c r="Q167" s="437"/>
      <c r="R167" s="437"/>
      <c r="S167" s="98" t="s">
        <v>71</v>
      </c>
      <c r="U167" s="421" t="str" cm="1">
        <f t="array" ref="U167">angleDecimal2Txt(O167)</f>
        <v>+66°57.00 (+66.9500) [+66°57'00.00]</v>
      </c>
      <c r="V167" s="422"/>
      <c r="W167" s="422"/>
      <c r="X167" s="422"/>
      <c r="Y167" s="422"/>
      <c r="Z167" s="423"/>
      <c r="AB167" s="295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106"/>
    </row>
    <row r="168" spans="1:67" s="98" customFormat="1" ht="17.25" customHeight="1" thickTop="1" thickBot="1">
      <c r="H168" s="759" t="s">
        <v>26</v>
      </c>
      <c r="I168" s="760"/>
      <c r="J168" s="760"/>
      <c r="K168" s="760"/>
      <c r="L168" s="760"/>
      <c r="M168" s="760"/>
      <c r="N168" s="761"/>
      <c r="O168" s="437">
        <f>J126</f>
        <v>2.1666666666666667E-2</v>
      </c>
      <c r="P168" s="437"/>
      <c r="Q168" s="437"/>
      <c r="R168" s="437"/>
      <c r="S168" s="98" t="s">
        <v>71</v>
      </c>
      <c r="U168" s="421" t="str" cm="1">
        <f t="array" ref="U168">angleDecimal2Txt(O168)</f>
        <v>+00°01.30 (+00.0216) [+00°01'18.00]</v>
      </c>
      <c r="V168" s="422"/>
      <c r="W168" s="422"/>
      <c r="X168" s="422"/>
      <c r="Y168" s="422"/>
      <c r="Z168" s="423"/>
      <c r="AB168" s="295"/>
      <c r="AC168" s="261" t="s">
        <v>87</v>
      </c>
      <c r="AD168" s="8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106"/>
    </row>
    <row r="169" spans="1:67" s="98" customFormat="1" ht="17.25" customHeight="1" thickTop="1" thickBot="1">
      <c r="C169" s="143"/>
      <c r="D169" s="143"/>
      <c r="E169" s="143"/>
      <c r="F169" s="143"/>
      <c r="H169" s="759" t="s">
        <v>96</v>
      </c>
      <c r="I169" s="760"/>
      <c r="J169" s="760"/>
      <c r="K169" s="760"/>
      <c r="L169" s="760"/>
      <c r="M169" s="760"/>
      <c r="N169" s="761"/>
      <c r="O169" s="446">
        <f>AD170</f>
        <v>4.1436457377531689E-2</v>
      </c>
      <c r="P169" s="446"/>
      <c r="Q169" s="446"/>
      <c r="R169" s="446"/>
      <c r="S169" s="98" t="s">
        <v>71</v>
      </c>
      <c r="U169" s="421" t="str" cm="1">
        <f t="array" ref="U169">angleDecimal2Txt(O169)</f>
        <v>+00°02.48 (+00.0414) [+00°02'29.17]</v>
      </c>
      <c r="V169" s="422"/>
      <c r="W169" s="422"/>
      <c r="X169" s="422"/>
      <c r="Y169" s="422"/>
      <c r="Z169" s="423"/>
      <c r="AB169" s="295"/>
      <c r="AC169" s="261" t="s">
        <v>54</v>
      </c>
      <c r="AD169" s="6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106"/>
    </row>
    <row r="170" spans="1:67" s="98" customFormat="1" ht="17.25" customHeight="1" thickTop="1" thickBot="1">
      <c r="C170" s="143"/>
      <c r="D170" s="143"/>
      <c r="E170" s="143"/>
      <c r="F170" s="143"/>
      <c r="G170" s="143"/>
      <c r="K170" s="96"/>
      <c r="L170" s="96"/>
      <c r="M170" s="685" t="s">
        <v>175</v>
      </c>
      <c r="N170" s="685"/>
      <c r="O170" s="685"/>
      <c r="P170" s="685"/>
      <c r="Q170" s="96"/>
      <c r="R170" s="96"/>
      <c r="U170" s="96"/>
      <c r="V170" s="96"/>
      <c r="W170" s="96"/>
      <c r="X170" s="96"/>
      <c r="Y170" s="96"/>
      <c r="Z170" s="96"/>
      <c r="AB170" s="295"/>
      <c r="AC170" s="301" t="s">
        <v>95</v>
      </c>
      <c r="AD170" s="6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106"/>
    </row>
    <row r="171" spans="1:67" s="98" customFormat="1" ht="17.25" customHeight="1" thickTop="1" thickBot="1">
      <c r="C171" s="143"/>
      <c r="D171" s="143"/>
      <c r="E171" s="143"/>
      <c r="F171" s="143"/>
      <c r="H171" s="762" t="s">
        <v>56</v>
      </c>
      <c r="I171" s="569"/>
      <c r="J171" s="569"/>
      <c r="K171" s="569"/>
      <c r="L171" s="569"/>
      <c r="M171" s="569"/>
      <c r="N171" s="570"/>
      <c r="O171" s="599">
        <f>O167-O168-O169</f>
        <v>66.886896875955813</v>
      </c>
      <c r="P171" s="580"/>
      <c r="Q171" s="98" t="s">
        <v>71</v>
      </c>
      <c r="R171" s="605">
        <f>O171*Outils!F10</f>
        <v>1.1673965769273382</v>
      </c>
      <c r="S171" s="605"/>
      <c r="T171" s="119" t="s">
        <v>92</v>
      </c>
      <c r="U171" s="421" t="str" cm="1">
        <f t="array" ref="U171">angleDecimal2Txt(O171)</f>
        <v>+66°53.21 (+66.8868) [+66°53'12.82]</v>
      </c>
      <c r="V171" s="422"/>
      <c r="W171" s="422"/>
      <c r="X171" s="422"/>
      <c r="Y171" s="422"/>
      <c r="Z171" s="423"/>
      <c r="AB171" s="295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106"/>
    </row>
    <row r="172" spans="1:67" s="98" customFormat="1" ht="17.25" customHeight="1" thickTop="1"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U172" s="96"/>
      <c r="V172" s="96"/>
      <c r="W172" s="96"/>
      <c r="X172" s="96"/>
      <c r="Y172" s="96"/>
      <c r="Z172" s="96"/>
      <c r="AB172" s="295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106"/>
    </row>
    <row r="173" spans="1:67" s="98" customFormat="1" ht="17.25" customHeight="1">
      <c r="C173" s="143"/>
      <c r="D173" s="143"/>
      <c r="E173" s="143"/>
      <c r="F173" s="143"/>
      <c r="H173" s="96"/>
      <c r="I173" s="96"/>
      <c r="J173" s="96"/>
      <c r="K173" s="96"/>
      <c r="L173" s="96"/>
      <c r="M173" s="601" t="s">
        <v>89</v>
      </c>
      <c r="N173" s="601"/>
      <c r="O173" s="601"/>
      <c r="P173" s="601"/>
      <c r="Q173" s="96"/>
      <c r="R173" s="96"/>
      <c r="U173" s="96"/>
      <c r="V173" s="96"/>
      <c r="W173" s="96"/>
      <c r="X173" s="96"/>
      <c r="Y173" s="96"/>
      <c r="Z173" s="96"/>
      <c r="AB173" s="295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106"/>
    </row>
    <row r="174" spans="1:67" s="98" customFormat="1" ht="17.25" customHeight="1" thickBot="1">
      <c r="M174" s="602" t="s">
        <v>235</v>
      </c>
      <c r="N174" s="602"/>
      <c r="O174" s="601"/>
      <c r="P174" s="601"/>
      <c r="AB174" s="295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106"/>
    </row>
    <row r="175" spans="1:67" ht="17.25" customHeight="1" thickTop="1" thickBot="1">
      <c r="A175" s="96"/>
      <c r="B175" s="96"/>
      <c r="C175" s="96"/>
      <c r="D175" s="96"/>
      <c r="E175" s="96"/>
      <c r="F175" s="98"/>
      <c r="G175" s="98"/>
      <c r="H175" s="722" t="s">
        <v>60</v>
      </c>
      <c r="I175" s="723"/>
      <c r="J175" s="723"/>
      <c r="K175" s="723"/>
      <c r="L175" s="723"/>
      <c r="M175" s="723"/>
      <c r="N175" s="724"/>
      <c r="O175" s="603">
        <f>J130</f>
        <v>2.8833333333333332E-3</v>
      </c>
      <c r="P175" s="604"/>
      <c r="Q175" s="604"/>
      <c r="R175" s="604"/>
      <c r="S175" s="98" t="s">
        <v>71</v>
      </c>
      <c r="T175" s="98"/>
      <c r="U175" s="421" t="str" cm="1">
        <f t="array" ref="U175">angleDecimal2Txt(O175)</f>
        <v>+00°00.17 (+00.0028) [+00°00'10.37]</v>
      </c>
      <c r="V175" s="422"/>
      <c r="W175" s="422"/>
      <c r="X175" s="422"/>
      <c r="Y175" s="422"/>
      <c r="Z175" s="423"/>
      <c r="AA175" s="98"/>
      <c r="AB175" s="295"/>
      <c r="AC175" s="261" t="s">
        <v>340</v>
      </c>
      <c r="AD175" s="6">
        <f>O175*COS(R171)</f>
        <v>1.1318451843031962E-3</v>
      </c>
      <c r="BN175" s="106"/>
      <c r="BO175" s="98"/>
    </row>
    <row r="176" spans="1:67" ht="17.25" customHeight="1" thickTop="1" thickBot="1">
      <c r="A176" s="96"/>
      <c r="B176" s="96"/>
      <c r="C176" s="96"/>
      <c r="D176" s="96"/>
      <c r="E176" s="96"/>
      <c r="F176" s="98"/>
      <c r="G176" s="98"/>
      <c r="H176" s="568" t="s">
        <v>236</v>
      </c>
      <c r="I176" s="569"/>
      <c r="J176" s="569"/>
      <c r="K176" s="569"/>
      <c r="L176" s="569"/>
      <c r="M176" s="569"/>
      <c r="N176" s="570"/>
      <c r="O176" s="438">
        <f>AD175</f>
        <v>1.1318451843031962E-3</v>
      </c>
      <c r="P176" s="438"/>
      <c r="Q176" s="438"/>
      <c r="R176" s="438"/>
      <c r="S176" s="98" t="s">
        <v>71</v>
      </c>
      <c r="T176" s="98"/>
      <c r="U176" s="421" t="str" cm="1">
        <f t="array" ref="U176">angleDecimal2Txt(O176)</f>
        <v>+00°00.06 (+00.0011) [+00°00'04.07]</v>
      </c>
      <c r="V176" s="422"/>
      <c r="W176" s="422"/>
      <c r="X176" s="422"/>
      <c r="Y176" s="422"/>
      <c r="Z176" s="423"/>
      <c r="AA176" s="98"/>
      <c r="AB176" s="295"/>
      <c r="BN176" s="106"/>
      <c r="BO176" s="98"/>
    </row>
    <row r="177" spans="1:67" ht="17.25" customHeight="1" thickTop="1">
      <c r="A177" s="96"/>
      <c r="B177" s="96"/>
      <c r="C177" s="96"/>
      <c r="D177" s="96"/>
      <c r="E177" s="96"/>
      <c r="F177" s="98"/>
      <c r="G177" s="98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8"/>
      <c r="AB177" s="295"/>
      <c r="BN177" s="106"/>
      <c r="BO177" s="98"/>
    </row>
    <row r="178" spans="1:67" ht="17.25" customHeight="1">
      <c r="A178" s="96"/>
      <c r="B178" s="96"/>
      <c r="C178" s="96"/>
      <c r="D178" s="96"/>
      <c r="E178" s="143"/>
      <c r="F178" s="98"/>
      <c r="G178" s="98"/>
      <c r="H178" s="96"/>
      <c r="I178" s="96"/>
      <c r="J178" s="96"/>
      <c r="K178" s="96"/>
      <c r="L178" s="96"/>
      <c r="M178" s="96"/>
      <c r="N178" s="96"/>
      <c r="O178" s="96"/>
      <c r="P178" s="98"/>
      <c r="Q178" s="98"/>
      <c r="R178" s="98"/>
      <c r="S178" s="554" t="s">
        <v>191</v>
      </c>
      <c r="T178" s="555"/>
      <c r="U178" s="556"/>
      <c r="V178" s="98"/>
      <c r="W178" s="98"/>
      <c r="X178" s="98"/>
      <c r="Y178" s="96"/>
      <c r="Z178" s="96"/>
      <c r="AA178" s="98"/>
      <c r="AB178" s="295"/>
      <c r="AC178" s="261" t="s">
        <v>57</v>
      </c>
      <c r="AD178" s="6" t="s">
        <v>342</v>
      </c>
      <c r="BN178" s="106"/>
      <c r="BO178" s="98"/>
    </row>
    <row r="179" spans="1:67" ht="17.25" customHeight="1">
      <c r="A179" s="96"/>
      <c r="B179" s="96"/>
      <c r="C179" s="96"/>
      <c r="D179" s="96"/>
      <c r="E179" s="143"/>
      <c r="F179" s="98"/>
      <c r="G179" s="98"/>
      <c r="H179" s="722" t="s">
        <v>93</v>
      </c>
      <c r="I179" s="723"/>
      <c r="J179" s="723"/>
      <c r="K179" s="723"/>
      <c r="L179" s="723"/>
      <c r="M179" s="723"/>
      <c r="N179" s="724"/>
      <c r="O179" s="571">
        <f>S179</f>
        <v>10</v>
      </c>
      <c r="P179" s="572"/>
      <c r="Q179" s="572"/>
      <c r="R179" s="572"/>
      <c r="S179" s="682">
        <v>10</v>
      </c>
      <c r="T179" s="683"/>
      <c r="U179" s="684"/>
      <c r="V179" s="98"/>
      <c r="W179" s="98"/>
      <c r="X179" s="98"/>
      <c r="Y179" s="96"/>
      <c r="Z179" s="96"/>
      <c r="AA179" s="98"/>
      <c r="AB179" s="295"/>
      <c r="AC179" s="261" t="s">
        <v>343</v>
      </c>
      <c r="AD179" s="6">
        <f>1/TAN((O171 + 7.31 / (O171 + 4.4)) * Outils!F10)</f>
        <v>0.4246923427253872</v>
      </c>
      <c r="BN179" s="106"/>
      <c r="BO179" s="98"/>
    </row>
    <row r="180" spans="1:67" ht="17.25" customHeight="1" thickBot="1">
      <c r="A180" s="96"/>
      <c r="B180" s="96"/>
      <c r="C180" s="96"/>
      <c r="D180" s="96"/>
      <c r="E180" s="96"/>
      <c r="F180" s="98"/>
      <c r="G180" s="98"/>
      <c r="H180" s="722" t="s">
        <v>94</v>
      </c>
      <c r="I180" s="723"/>
      <c r="J180" s="723"/>
      <c r="K180" s="723"/>
      <c r="L180" s="723"/>
      <c r="M180" s="723"/>
      <c r="N180" s="724"/>
      <c r="O180" s="571">
        <f>S180</f>
        <v>1010</v>
      </c>
      <c r="P180" s="572"/>
      <c r="Q180" s="572"/>
      <c r="R180" s="572"/>
      <c r="S180" s="682">
        <v>1010</v>
      </c>
      <c r="T180" s="683"/>
      <c r="U180" s="684"/>
      <c r="V180" s="98"/>
      <c r="W180" s="98"/>
      <c r="X180" s="98"/>
      <c r="Y180" s="96"/>
      <c r="Z180" s="96"/>
      <c r="AA180" s="98"/>
      <c r="AB180" s="295"/>
      <c r="AC180" s="261" t="s">
        <v>344</v>
      </c>
      <c r="AD180" s="6">
        <f>AD179/60</f>
        <v>7.0782057120897862E-3</v>
      </c>
      <c r="BN180" s="106"/>
      <c r="BO180" s="98"/>
    </row>
    <row r="181" spans="1:67" ht="17.25" customHeight="1" thickTop="1" thickBot="1">
      <c r="A181" s="96"/>
      <c r="B181" s="96"/>
      <c r="C181" s="96"/>
      <c r="D181" s="96"/>
      <c r="E181" s="96"/>
      <c r="F181" s="98"/>
      <c r="G181" s="98"/>
      <c r="H181" s="568" t="s">
        <v>237</v>
      </c>
      <c r="I181" s="569"/>
      <c r="J181" s="569"/>
      <c r="K181" s="569"/>
      <c r="L181" s="569"/>
      <c r="M181" s="569"/>
      <c r="N181" s="570"/>
      <c r="O181" s="438">
        <f>AD182</f>
        <v>7.0732034465688749E-3</v>
      </c>
      <c r="P181" s="438"/>
      <c r="Q181" s="438"/>
      <c r="R181" s="438"/>
      <c r="S181" s="98" t="s">
        <v>71</v>
      </c>
      <c r="T181" s="98"/>
      <c r="U181" s="421" t="str" cm="1">
        <f t="array" ref="U181">angleDecimal2Txt(O181)</f>
        <v>+00°00.42 (+00.0070) [+00°00'25.46]</v>
      </c>
      <c r="V181" s="422"/>
      <c r="W181" s="422"/>
      <c r="X181" s="422"/>
      <c r="Y181" s="422"/>
      <c r="Z181" s="423"/>
      <c r="AA181" s="98"/>
      <c r="AB181" s="295"/>
      <c r="AC181" s="261" t="s">
        <v>128</v>
      </c>
      <c r="AD181" s="6">
        <f xml:space="preserve"> 0.28 * O180 / (273 + O179)</f>
        <v>0.99929328621908131</v>
      </c>
      <c r="BN181" s="106"/>
      <c r="BO181" s="98"/>
    </row>
    <row r="182" spans="1:67" ht="17.25" customHeight="1" thickTop="1">
      <c r="A182" s="96"/>
      <c r="B182" s="96"/>
      <c r="C182" s="96"/>
      <c r="D182" s="96"/>
      <c r="E182" s="96"/>
      <c r="F182" s="98"/>
      <c r="G182" s="98"/>
      <c r="H182" s="96"/>
      <c r="I182" s="96"/>
      <c r="J182" s="96"/>
      <c r="K182" s="96"/>
      <c r="L182" s="96"/>
      <c r="M182" s="96"/>
      <c r="N182" s="96"/>
      <c r="O182" s="96"/>
      <c r="P182" s="98"/>
      <c r="Q182" s="98"/>
      <c r="R182" s="98"/>
      <c r="S182" s="98"/>
      <c r="T182" s="98"/>
      <c r="U182" s="98"/>
      <c r="V182" s="98"/>
      <c r="W182" s="98"/>
      <c r="X182" s="98"/>
      <c r="Y182" s="96"/>
      <c r="Z182" s="96"/>
      <c r="AA182" s="98"/>
      <c r="AB182" s="295"/>
      <c r="AC182" s="261" t="s">
        <v>341</v>
      </c>
      <c r="AD182" s="6">
        <f>AD181*AD180</f>
        <v>7.0732034465688749E-3</v>
      </c>
      <c r="BN182" s="106"/>
      <c r="BO182" s="98"/>
    </row>
    <row r="183" spans="1:67" ht="17.25" customHeight="1">
      <c r="A183" s="96"/>
      <c r="B183" s="96"/>
      <c r="C183" s="96"/>
      <c r="D183" s="96"/>
      <c r="E183" s="96"/>
      <c r="F183" s="98"/>
      <c r="G183" s="98"/>
      <c r="H183" s="722" t="s">
        <v>134</v>
      </c>
      <c r="I183" s="723"/>
      <c r="J183" s="723"/>
      <c r="K183" s="723"/>
      <c r="L183" s="723"/>
      <c r="M183" s="723"/>
      <c r="N183" s="724"/>
      <c r="O183" s="557">
        <f>J134</f>
        <v>0.53333333333333333</v>
      </c>
      <c r="P183" s="557"/>
      <c r="Q183" s="557"/>
      <c r="R183" s="557"/>
      <c r="S183" s="98"/>
      <c r="T183" s="98"/>
      <c r="U183" s="98"/>
      <c r="V183" s="98"/>
      <c r="W183" s="98"/>
      <c r="X183" s="98"/>
      <c r="Y183" s="98"/>
      <c r="Z183" s="98"/>
      <c r="AA183" s="98"/>
      <c r="AB183" s="295"/>
      <c r="BN183" s="106"/>
      <c r="BO183" s="98"/>
    </row>
    <row r="184" spans="1:67" ht="17.25" customHeight="1" thickBot="1">
      <c r="A184" s="98"/>
      <c r="B184" s="96"/>
      <c r="C184" s="96"/>
      <c r="D184" s="96"/>
      <c r="E184" s="143"/>
      <c r="F184" s="143"/>
      <c r="G184" s="143"/>
      <c r="H184" s="722" t="s">
        <v>98</v>
      </c>
      <c r="I184" s="723"/>
      <c r="J184" s="723"/>
      <c r="K184" s="723"/>
      <c r="L184" s="723"/>
      <c r="M184" s="723"/>
      <c r="N184" s="724"/>
      <c r="O184" s="557" t="str">
        <f>J129</f>
        <v>BordInf</v>
      </c>
      <c r="P184" s="557"/>
      <c r="Q184" s="557"/>
      <c r="R184" s="557"/>
      <c r="S184" s="98"/>
      <c r="T184" s="98"/>
      <c r="U184" s="98"/>
      <c r="V184" s="98"/>
      <c r="W184" s="98"/>
      <c r="X184" s="98"/>
      <c r="Y184" s="98"/>
      <c r="Z184" s="98"/>
      <c r="AA184" s="98"/>
      <c r="AB184" s="295"/>
      <c r="AC184" s="261" t="s">
        <v>37</v>
      </c>
      <c r="AD184" s="419" t="str">
        <f>J128</f>
        <v>Soleil</v>
      </c>
      <c r="AE184" s="419"/>
      <c r="BN184" s="106"/>
      <c r="BO184" s="98"/>
    </row>
    <row r="185" spans="1:67" ht="17.25" customHeight="1" thickTop="1" thickBot="1">
      <c r="A185" s="98"/>
      <c r="B185" s="98"/>
      <c r="C185" s="143"/>
      <c r="D185" s="143"/>
      <c r="E185" s="143"/>
      <c r="F185" s="143"/>
      <c r="G185" s="143"/>
      <c r="H185" s="568" t="s">
        <v>99</v>
      </c>
      <c r="I185" s="569"/>
      <c r="J185" s="569"/>
      <c r="K185" s="569"/>
      <c r="L185" s="569"/>
      <c r="M185" s="569"/>
      <c r="N185" s="570"/>
      <c r="O185" s="576">
        <f>AD188</f>
        <v>0.26666666666666666</v>
      </c>
      <c r="P185" s="576"/>
      <c r="Q185" s="576"/>
      <c r="R185" s="576"/>
      <c r="S185" s="98" t="s">
        <v>71</v>
      </c>
      <c r="T185" s="98"/>
      <c r="U185" s="421" t="str" cm="1">
        <f t="array" ref="U185">angleDecimal2Txt(O185)</f>
        <v>+00°16.00 (+00.2666) [+00°16'00.00]</v>
      </c>
      <c r="V185" s="422"/>
      <c r="W185" s="422"/>
      <c r="X185" s="422"/>
      <c r="Y185" s="422"/>
      <c r="Z185" s="423"/>
      <c r="AA185" s="98"/>
      <c r="AB185" s="295"/>
      <c r="AC185" s="261" t="s">
        <v>348</v>
      </c>
      <c r="AD185" s="419" t="str">
        <f>O184</f>
        <v>BordInf</v>
      </c>
      <c r="AE185" s="419"/>
      <c r="BN185" s="106"/>
      <c r="BO185" s="98"/>
    </row>
    <row r="186" spans="1:67" ht="17.25" customHeight="1" thickTop="1">
      <c r="A186" s="98"/>
      <c r="B186" s="98"/>
      <c r="C186" s="143"/>
      <c r="D186" s="143"/>
      <c r="E186" s="143"/>
      <c r="F186" s="143"/>
      <c r="G186" s="143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8"/>
      <c r="AB186" s="295"/>
      <c r="AC186" s="261" t="s">
        <v>349</v>
      </c>
      <c r="AD186" s="678">
        <f>HLOOKUP(AD185,AD133:AF134,2)</f>
        <v>0.5</v>
      </c>
      <c r="AE186" s="678"/>
      <c r="BN186" s="106"/>
      <c r="BO186" s="98"/>
    </row>
    <row r="187" spans="1:67" ht="17.25" customHeight="1">
      <c r="A187" s="98"/>
      <c r="B187" s="98"/>
      <c r="C187" s="143"/>
      <c r="D187" s="143"/>
      <c r="E187" s="143"/>
      <c r="F187" s="143"/>
      <c r="G187" s="584" t="s">
        <v>167</v>
      </c>
      <c r="H187" s="585"/>
      <c r="I187" s="585"/>
      <c r="J187" s="585"/>
      <c r="K187" s="585"/>
      <c r="L187" s="585"/>
      <c r="M187" s="585"/>
      <c r="N187" s="585"/>
      <c r="O187" s="585"/>
      <c r="P187" s="585"/>
      <c r="Q187" s="585"/>
      <c r="R187" s="585"/>
      <c r="S187" s="586"/>
      <c r="T187" s="96"/>
      <c r="U187" s="96"/>
      <c r="V187" s="96"/>
      <c r="W187" s="96"/>
      <c r="X187" s="96"/>
      <c r="Y187" s="96"/>
      <c r="Z187" s="96"/>
      <c r="AA187" s="98"/>
      <c r="AB187" s="295"/>
      <c r="AC187" s="261" t="s">
        <v>134</v>
      </c>
      <c r="AD187" s="6" t="str">
        <f>HLOOKUP(AD184,AD129:AF131,3)</f>
        <v>32'</v>
      </c>
      <c r="AE187" s="6" cm="1">
        <f t="array" ref="AE187">angleConvert2Decimal(AD187)</f>
        <v>0.53333333333333333</v>
      </c>
      <c r="BN187" s="106"/>
      <c r="BO187" s="98"/>
    </row>
    <row r="188" spans="1:67" ht="17.25" customHeight="1">
      <c r="A188" s="98"/>
      <c r="B188" s="98"/>
      <c r="C188" s="143"/>
      <c r="D188" s="143"/>
      <c r="E188" s="143"/>
      <c r="F188" s="143"/>
      <c r="G188" s="588" t="s">
        <v>180</v>
      </c>
      <c r="H188" s="590"/>
      <c r="I188" s="606" t="s">
        <v>172</v>
      </c>
      <c r="J188" s="607"/>
      <c r="K188" s="607"/>
      <c r="L188" s="607"/>
      <c r="M188" s="607"/>
      <c r="N188" s="608"/>
      <c r="O188" s="559">
        <f>(O176-O181-O169+O183/2) * 60</f>
        <v>13.157331061612158</v>
      </c>
      <c r="P188" s="560"/>
      <c r="Q188" s="560"/>
      <c r="R188" s="560"/>
      <c r="S188" s="563" t="s">
        <v>168</v>
      </c>
      <c r="T188" s="96"/>
      <c r="U188" s="96"/>
      <c r="V188" s="96"/>
      <c r="W188" s="96"/>
      <c r="X188" s="96"/>
      <c r="Y188" s="96"/>
      <c r="Z188" s="96"/>
      <c r="AA188" s="98"/>
      <c r="AB188" s="295"/>
      <c r="AC188" s="261" t="s">
        <v>349</v>
      </c>
      <c r="AD188" s="678">
        <f>AE187*AD186</f>
        <v>0.26666666666666666</v>
      </c>
      <c r="AE188" s="678"/>
      <c r="BN188" s="106"/>
      <c r="BO188" s="98"/>
    </row>
    <row r="189" spans="1:67" ht="17.25" customHeight="1">
      <c r="A189" s="98"/>
      <c r="B189" s="98"/>
      <c r="C189" s="143"/>
      <c r="D189" s="143"/>
      <c r="E189" s="143"/>
      <c r="F189" s="143"/>
      <c r="G189" s="686"/>
      <c r="H189" s="687"/>
      <c r="I189" s="565" t="s">
        <v>176</v>
      </c>
      <c r="J189" s="566"/>
      <c r="K189" s="566"/>
      <c r="L189" s="566"/>
      <c r="M189" s="566"/>
      <c r="N189" s="567"/>
      <c r="O189" s="561"/>
      <c r="P189" s="562"/>
      <c r="Q189" s="562"/>
      <c r="R189" s="562"/>
      <c r="S189" s="564"/>
      <c r="T189" s="96"/>
      <c r="U189" s="96"/>
      <c r="V189" s="96"/>
      <c r="W189" s="96"/>
      <c r="X189" s="96"/>
      <c r="Y189" s="96"/>
      <c r="Z189" s="96"/>
      <c r="AA189" s="98"/>
      <c r="AB189" s="295"/>
      <c r="BN189" s="106"/>
      <c r="BO189" s="98"/>
    </row>
    <row r="190" spans="1:67" ht="17.25" customHeight="1">
      <c r="A190" s="98"/>
      <c r="B190" s="98"/>
      <c r="C190" s="143"/>
      <c r="D190" s="143"/>
      <c r="E190" s="143"/>
      <c r="F190" s="143"/>
      <c r="G190" s="143"/>
      <c r="H190" s="96"/>
      <c r="I190" s="606" t="s">
        <v>173</v>
      </c>
      <c r="J190" s="607"/>
      <c r="K190" s="607"/>
      <c r="L190" s="607"/>
      <c r="M190" s="607"/>
      <c r="N190" s="608"/>
      <c r="O190" s="560">
        <f>(O176-O181+O183/2)*60</f>
        <v>15.64351850426406</v>
      </c>
      <c r="P190" s="560"/>
      <c r="Q190" s="560"/>
      <c r="R190" s="560"/>
      <c r="S190" s="563" t="s">
        <v>168</v>
      </c>
      <c r="T190" s="96"/>
      <c r="U190" s="96"/>
      <c r="V190" s="96"/>
      <c r="W190" s="96"/>
      <c r="X190" s="96"/>
      <c r="Y190" s="96"/>
      <c r="Z190" s="96"/>
      <c r="AA190" s="98"/>
      <c r="AB190" s="295"/>
      <c r="BN190" s="106"/>
      <c r="BO190" s="98"/>
    </row>
    <row r="191" spans="1:67" ht="17.25" customHeight="1">
      <c r="A191" s="98"/>
      <c r="B191" s="98"/>
      <c r="C191" s="143"/>
      <c r="D191" s="143"/>
      <c r="E191" s="143"/>
      <c r="F191" s="143"/>
      <c r="G191" s="143"/>
      <c r="H191" s="96"/>
      <c r="I191" s="565" t="s">
        <v>174</v>
      </c>
      <c r="J191" s="566"/>
      <c r="K191" s="566"/>
      <c r="L191" s="566"/>
      <c r="M191" s="566"/>
      <c r="N191" s="567"/>
      <c r="O191" s="562"/>
      <c r="P191" s="562"/>
      <c r="Q191" s="562"/>
      <c r="R191" s="562"/>
      <c r="S191" s="564"/>
      <c r="T191" s="96"/>
      <c r="U191" s="96"/>
      <c r="V191" s="96"/>
      <c r="W191" s="96"/>
      <c r="X191" s="96"/>
      <c r="Y191" s="96"/>
      <c r="Z191" s="96"/>
      <c r="AA191" s="98"/>
      <c r="AB191" s="295"/>
      <c r="BN191" s="106"/>
      <c r="BO191" s="98"/>
    </row>
    <row r="192" spans="1:67" ht="17.25" customHeight="1">
      <c r="A192" s="98"/>
      <c r="B192" s="98"/>
      <c r="C192" s="143"/>
      <c r="D192" s="143"/>
      <c r="E192" s="143"/>
      <c r="F192" s="143"/>
      <c r="G192" s="143"/>
      <c r="H192" s="96"/>
      <c r="I192" s="734" t="s">
        <v>99</v>
      </c>
      <c r="J192" s="735"/>
      <c r="K192" s="735"/>
      <c r="L192" s="735"/>
      <c r="M192" s="735"/>
      <c r="N192" s="736"/>
      <c r="O192" s="531">
        <f>O185*60</f>
        <v>16</v>
      </c>
      <c r="P192" s="532"/>
      <c r="Q192" s="532"/>
      <c r="R192" s="532"/>
      <c r="S192" s="159" t="s">
        <v>168</v>
      </c>
      <c r="T192" s="96"/>
      <c r="U192" s="96"/>
      <c r="V192" s="96"/>
      <c r="W192" s="96"/>
      <c r="X192" s="96"/>
      <c r="Y192" s="96"/>
      <c r="Z192" s="96"/>
      <c r="AA192" s="98"/>
      <c r="AB192" s="295"/>
      <c r="BN192" s="106"/>
      <c r="BO192" s="98"/>
    </row>
    <row r="193" spans="1:67" ht="17.25" customHeight="1" thickBot="1">
      <c r="A193" s="98"/>
      <c r="B193" s="98"/>
      <c r="C193" s="143"/>
      <c r="D193" s="143"/>
      <c r="E193" s="143"/>
      <c r="F193" s="143"/>
      <c r="G193" s="143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8"/>
      <c r="T193" s="98"/>
      <c r="U193" s="98"/>
      <c r="V193" s="98"/>
      <c r="W193" s="98"/>
      <c r="X193" s="98"/>
      <c r="Y193" s="98"/>
      <c r="Z193" s="98"/>
      <c r="AA193" s="98"/>
      <c r="AB193" s="295"/>
      <c r="BN193" s="106"/>
      <c r="BO193" s="98"/>
    </row>
    <row r="194" spans="1:67" ht="17.25" customHeight="1" thickTop="1" thickBot="1">
      <c r="A194" s="98"/>
      <c r="B194" s="98"/>
      <c r="C194" s="143"/>
      <c r="D194" s="143"/>
      <c r="E194" s="143"/>
      <c r="F194" s="143"/>
      <c r="G194" s="143"/>
      <c r="H194" s="577" t="s">
        <v>238</v>
      </c>
      <c r="I194" s="578"/>
      <c r="J194" s="578"/>
      <c r="K194" s="578"/>
      <c r="L194" s="578"/>
      <c r="M194" s="578"/>
      <c r="N194" s="579"/>
      <c r="O194" s="580">
        <f>O171-O181+O176+O185</f>
        <v>67.147622184360216</v>
      </c>
      <c r="P194" s="438"/>
      <c r="Q194" s="438"/>
      <c r="R194" s="438"/>
      <c r="S194" s="98" t="s">
        <v>71</v>
      </c>
      <c r="T194" s="98"/>
      <c r="U194" s="421" t="str" cm="1">
        <f t="array" ref="U194">angleDecimal2Txt(O194)</f>
        <v>+67°08.85 (+67.1476) [+67°08'51.43]</v>
      </c>
      <c r="V194" s="422"/>
      <c r="W194" s="422"/>
      <c r="X194" s="422"/>
      <c r="Y194" s="422"/>
      <c r="Z194" s="423"/>
      <c r="AA194" s="98"/>
      <c r="AB194" s="295"/>
      <c r="BN194" s="106"/>
      <c r="BO194" s="98"/>
    </row>
    <row r="195" spans="1:67" ht="17.25" customHeight="1" thickTop="1">
      <c r="A195" s="98"/>
      <c r="B195" s="98"/>
      <c r="C195" s="143"/>
      <c r="D195" s="143"/>
      <c r="E195" s="143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29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581" t="s">
        <v>91</v>
      </c>
      <c r="G196" s="581"/>
      <c r="H196" s="581"/>
      <c r="I196" s="581"/>
      <c r="J196" s="599" t="str">
        <f>IF(G165=AD165,O204,"---")</f>
        <v>---</v>
      </c>
      <c r="K196" s="612"/>
      <c r="L196" s="580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3"/>
      <c r="Y196" s="233"/>
      <c r="Z196" s="233"/>
      <c r="AA196" s="98"/>
      <c r="AB196" s="295"/>
      <c r="BN196" s="106"/>
      <c r="BO196" s="98"/>
    </row>
    <row r="197" spans="1:67" ht="17.25" customHeight="1">
      <c r="A197" s="98"/>
      <c r="B197" s="98"/>
      <c r="C197" s="143"/>
      <c r="D197" s="143"/>
      <c r="E197" s="143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295"/>
      <c r="BN197" s="106"/>
      <c r="BO197" s="98"/>
    </row>
    <row r="198" spans="1:67" ht="17.25" customHeight="1">
      <c r="A198" s="98"/>
      <c r="B198" s="98"/>
      <c r="C198" s="143"/>
      <c r="D198" s="143"/>
      <c r="E198" s="143"/>
      <c r="M198" s="98"/>
      <c r="N198" s="98"/>
      <c r="O198" s="98"/>
      <c r="P198" s="98"/>
      <c r="Q198" s="98"/>
      <c r="R198" s="98"/>
      <c r="S198" s="98"/>
      <c r="T198" s="236" t="s">
        <v>112</v>
      </c>
      <c r="U198" s="551" t="s">
        <v>40</v>
      </c>
      <c r="V198" s="551"/>
      <c r="W198" s="98"/>
      <c r="X198" s="98"/>
      <c r="Y198" s="98"/>
      <c r="Z198" s="98"/>
      <c r="AA198" s="98"/>
      <c r="AB198" s="295"/>
      <c r="BN198" s="106"/>
      <c r="BO198" s="98"/>
    </row>
    <row r="199" spans="1:67" ht="17.25" customHeight="1">
      <c r="A199" s="98"/>
      <c r="B199" s="98"/>
      <c r="C199" s="143"/>
      <c r="D199" s="143"/>
      <c r="E199" s="143"/>
      <c r="F199" s="143"/>
      <c r="G199" s="143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237" t="s">
        <v>108</v>
      </c>
      <c r="U199" s="551" t="s">
        <v>110</v>
      </c>
      <c r="V199" s="551"/>
      <c r="W199" s="98"/>
      <c r="X199" s="98"/>
      <c r="Y199" s="98"/>
      <c r="Z199" s="98"/>
      <c r="AA199" s="98"/>
      <c r="AB199" s="295"/>
      <c r="BN199" s="106"/>
      <c r="BO199" s="98"/>
    </row>
    <row r="200" spans="1:67" ht="17.25" customHeight="1">
      <c r="A200" s="98"/>
      <c r="B200" s="98"/>
      <c r="C200" s="143"/>
      <c r="D200" s="143"/>
      <c r="E200" s="143"/>
      <c r="F200" s="143"/>
      <c r="G200" s="143"/>
      <c r="H200" s="98" t="s">
        <v>100</v>
      </c>
      <c r="I200" s="122" t="s">
        <v>102</v>
      </c>
      <c r="J200" s="98" t="s">
        <v>88</v>
      </c>
      <c r="K200" s="553" t="s">
        <v>105</v>
      </c>
      <c r="L200" s="98" t="s">
        <v>87</v>
      </c>
      <c r="M200" s="98"/>
      <c r="N200" s="553" t="s">
        <v>107</v>
      </c>
      <c r="O200" s="122" t="s">
        <v>439</v>
      </c>
      <c r="P200" s="98"/>
      <c r="Q200" s="553" t="s">
        <v>107</v>
      </c>
      <c r="R200" s="98" t="s">
        <v>440</v>
      </c>
      <c r="S200" s="98"/>
      <c r="T200" s="235" t="s">
        <v>109</v>
      </c>
      <c r="U200" s="552" t="s">
        <v>111</v>
      </c>
      <c r="V200" s="552"/>
      <c r="W200" s="98"/>
      <c r="X200" s="98"/>
      <c r="Y200" s="98"/>
      <c r="AB200" s="295"/>
      <c r="BN200" s="106"/>
      <c r="BO200" s="98"/>
    </row>
    <row r="201" spans="1:67" ht="17.25" customHeight="1" thickBot="1">
      <c r="A201" s="98"/>
      <c r="B201" s="98"/>
      <c r="C201" s="143"/>
      <c r="D201" s="143"/>
      <c r="E201" s="143"/>
      <c r="F201" s="143"/>
      <c r="G201" s="143"/>
      <c r="H201" s="98"/>
      <c r="I201" s="122"/>
      <c r="J201" s="124">
        <f>O167</f>
        <v>66.95</v>
      </c>
      <c r="K201" s="553"/>
      <c r="L201" s="533">
        <f>O168</f>
        <v>2.1666666666666667E-2</v>
      </c>
      <c r="M201" s="534"/>
      <c r="N201" s="553"/>
      <c r="O201" s="537" t="s">
        <v>242</v>
      </c>
      <c r="P201" s="538"/>
      <c r="Q201" s="553"/>
      <c r="R201" s="238" t="s">
        <v>109</v>
      </c>
      <c r="S201" s="98"/>
      <c r="T201" s="98"/>
      <c r="U201" s="98"/>
      <c r="AB201" s="295"/>
      <c r="BN201" s="106"/>
      <c r="BO201" s="98"/>
    </row>
    <row r="202" spans="1:67" ht="17.25" customHeight="1" thickTop="1" thickBot="1">
      <c r="A202" s="98"/>
      <c r="B202" s="98"/>
      <c r="C202" s="143"/>
      <c r="D202" s="143"/>
      <c r="E202" s="143"/>
      <c r="F202" s="143"/>
      <c r="G202" s="143"/>
      <c r="H202" s="98"/>
      <c r="I202" s="122"/>
      <c r="K202" s="122" t="s">
        <v>438</v>
      </c>
      <c r="L202" s="535" cm="1">
        <f t="array" ref="L202">angleConvert2Decimal(L201)</f>
        <v>2.1666666666666699E-2</v>
      </c>
      <c r="M202" s="536"/>
      <c r="N202" s="98"/>
      <c r="O202" s="676" cm="1">
        <f t="array" ref="O202">angleConvert2Decimal(O201)</f>
        <v>0.17166666666666669</v>
      </c>
      <c r="P202" s="677"/>
      <c r="Q202" s="41"/>
      <c r="R202" s="228" cm="1">
        <f t="array" ref="R202">angleConvert2Decimal(R201)</f>
        <v>-0.53333333333333333</v>
      </c>
      <c r="T202" s="13" t="s">
        <v>139</v>
      </c>
      <c r="U202" s="13"/>
      <c r="V202" s="13">
        <f>R202+O202</f>
        <v>-0.36166666666666664</v>
      </c>
      <c r="W202" s="421" t="str" cm="1">
        <f t="array" ref="W202">angleDecimal2Txt(V202)</f>
        <v>-00°21.69 (-00.3616) [-00°21'42.00]</v>
      </c>
      <c r="X202" s="422"/>
      <c r="Y202" s="422"/>
      <c r="Z202" s="422"/>
      <c r="AA202" s="423"/>
      <c r="AB202" s="295"/>
      <c r="BN202" s="106"/>
      <c r="BO202" s="98"/>
    </row>
    <row r="203" spans="1:67" ht="17.25" customHeight="1" thickTop="1" thickBot="1">
      <c r="A203" s="98"/>
      <c r="B203" s="98"/>
      <c r="C203" s="143"/>
      <c r="D203" s="143"/>
      <c r="E203" s="143"/>
      <c r="F203" s="143"/>
      <c r="G203" s="143"/>
      <c r="H203" s="98"/>
      <c r="I203" s="122"/>
      <c r="J203" s="98"/>
      <c r="K203" s="122"/>
      <c r="L203" s="98"/>
      <c r="M203" s="98"/>
      <c r="N203" s="122"/>
      <c r="O203" s="98"/>
      <c r="P203" s="98"/>
      <c r="Q203" s="122"/>
      <c r="R203" s="127"/>
      <c r="S203" s="98"/>
      <c r="T203" s="98"/>
      <c r="U203" s="98"/>
      <c r="V203" s="98"/>
      <c r="W203" s="98"/>
      <c r="X203" s="98"/>
      <c r="Y203" s="98"/>
      <c r="Z203" s="98"/>
      <c r="AA203" s="98"/>
      <c r="AB203" s="295"/>
      <c r="BN203" s="106"/>
      <c r="BO203" s="98"/>
    </row>
    <row r="204" spans="1:67" ht="17.25" customHeight="1" thickTop="1" thickBot="1">
      <c r="A204" s="98"/>
      <c r="B204" s="98"/>
      <c r="C204" s="143"/>
      <c r="D204" s="143"/>
      <c r="E204" s="143"/>
      <c r="F204" s="143"/>
      <c r="G204" s="143"/>
      <c r="H204" s="577" t="s">
        <v>241</v>
      </c>
      <c r="I204" s="578"/>
      <c r="J204" s="578"/>
      <c r="K204" s="578"/>
      <c r="L204" s="578"/>
      <c r="M204" s="578"/>
      <c r="N204" s="579"/>
      <c r="O204" s="580">
        <f>J201-L202+O202+R202</f>
        <v>66.566666666666677</v>
      </c>
      <c r="P204" s="438"/>
      <c r="Q204" s="438"/>
      <c r="R204" s="438"/>
      <c r="S204" s="98" t="s">
        <v>71</v>
      </c>
      <c r="T204" s="98"/>
      <c r="U204" s="421" t="str" cm="1">
        <f t="array" ref="U204">angleDecimal2Txt(O204)</f>
        <v>+66°34.00 (+66.5666) [+66°34'00.00]</v>
      </c>
      <c r="V204" s="422"/>
      <c r="W204" s="422"/>
      <c r="X204" s="422"/>
      <c r="Y204" s="422"/>
      <c r="Z204" s="423"/>
      <c r="AA204" s="98"/>
      <c r="AB204" s="295"/>
      <c r="BN204" s="106"/>
      <c r="BO204" s="98"/>
    </row>
    <row r="205" spans="1:67" ht="17.25" customHeight="1" thickTop="1" thickBot="1">
      <c r="A205" s="98"/>
      <c r="B205" s="98"/>
      <c r="C205" s="143"/>
      <c r="D205" s="128"/>
      <c r="E205" s="143"/>
      <c r="F205" s="143"/>
      <c r="G205" s="143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295"/>
      <c r="BN205" s="106"/>
      <c r="BO205" s="98"/>
    </row>
    <row r="206" spans="1:67" ht="17.25" customHeight="1" thickBot="1">
      <c r="A206" s="98"/>
      <c r="B206" s="754" t="s">
        <v>480</v>
      </c>
      <c r="C206" s="755"/>
      <c r="D206" s="755"/>
      <c r="E206" s="755"/>
      <c r="F206" s="755"/>
      <c r="G206" s="755"/>
      <c r="H206" s="755"/>
      <c r="I206" s="755"/>
      <c r="J206" s="755"/>
      <c r="K206" s="755"/>
      <c r="L206" s="755"/>
      <c r="M206" s="755"/>
      <c r="N206" s="755"/>
      <c r="O206" s="755"/>
      <c r="P206" s="755"/>
      <c r="Q206" s="755"/>
      <c r="R206" s="755"/>
      <c r="S206" s="755"/>
      <c r="T206" s="755"/>
      <c r="U206" s="755"/>
      <c r="V206" s="755"/>
      <c r="W206" s="755"/>
      <c r="X206" s="755"/>
      <c r="Y206" s="755"/>
      <c r="Z206" s="755"/>
      <c r="AA206" s="755"/>
      <c r="AB206" s="297"/>
      <c r="BN206" s="106"/>
      <c r="BO206" s="98"/>
    </row>
    <row r="207" spans="1:67" ht="17.2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295"/>
      <c r="BN207" s="106"/>
      <c r="BO207" s="98"/>
    </row>
    <row r="208" spans="1:67" ht="17.25" customHeight="1">
      <c r="A208" s="98"/>
      <c r="B208" s="98"/>
      <c r="C208" s="96"/>
      <c r="D208" s="96"/>
      <c r="E208" s="539" t="s">
        <v>486</v>
      </c>
      <c r="F208" s="540"/>
      <c r="G208" s="540"/>
      <c r="H208" s="540"/>
      <c r="I208" s="645">
        <f>90-Q209</f>
        <v>22.852377815639784</v>
      </c>
      <c r="J208" s="442"/>
      <c r="K208" s="442"/>
      <c r="L208" s="442"/>
      <c r="M208" s="443"/>
      <c r="N208" s="98"/>
      <c r="O208" s="747" t="s">
        <v>481</v>
      </c>
      <c r="P208" s="748"/>
      <c r="Q208" s="749"/>
      <c r="R208" s="749"/>
      <c r="S208" s="749"/>
      <c r="T208" s="750"/>
      <c r="AB208" s="295"/>
      <c r="BN208" s="106"/>
      <c r="BO208" s="98"/>
    </row>
    <row r="209" spans="1:67" ht="17.25" customHeight="1" thickBot="1">
      <c r="A209" s="98"/>
      <c r="B209" s="98"/>
      <c r="C209" s="96"/>
      <c r="D209" s="96"/>
      <c r="E209" s="542"/>
      <c r="F209" s="543"/>
      <c r="G209" s="543"/>
      <c r="H209" s="543"/>
      <c r="I209" s="751"/>
      <c r="J209" s="752"/>
      <c r="K209" s="752"/>
      <c r="L209" s="752"/>
      <c r="M209" s="753"/>
      <c r="N209" s="130" t="s">
        <v>181</v>
      </c>
      <c r="O209" s="740" t="s">
        <v>100</v>
      </c>
      <c r="P209" s="741"/>
      <c r="Q209" s="462">
        <f>F164</f>
        <v>67.147622184360216</v>
      </c>
      <c r="R209" s="463"/>
      <c r="S209" s="463"/>
      <c r="T209" s="257" t="s">
        <v>71</v>
      </c>
      <c r="Y209" s="98"/>
      <c r="Z209" s="98"/>
      <c r="AA209" s="98"/>
      <c r="AB209" s="295"/>
      <c r="BN209" s="106"/>
      <c r="BO209" s="98"/>
    </row>
    <row r="210" spans="1:67" ht="17.25" customHeight="1" thickTop="1" thickBot="1">
      <c r="A210" s="98"/>
      <c r="B210" s="98"/>
      <c r="C210" s="96"/>
      <c r="D210" s="96"/>
      <c r="E210" s="545"/>
      <c r="F210" s="546"/>
      <c r="G210" s="546"/>
      <c r="H210" s="546"/>
      <c r="I210" s="421" t="str" cm="1">
        <f t="array" ref="I210">angleDecimal2Txt(I208)</f>
        <v>+22°51.14 (+22.8523) [+22°51'08.56]</v>
      </c>
      <c r="J210" s="422"/>
      <c r="K210" s="422"/>
      <c r="L210" s="422"/>
      <c r="M210" s="423"/>
      <c r="N210" s="98"/>
      <c r="O210" s="740" t="s">
        <v>114</v>
      </c>
      <c r="P210" s="741"/>
      <c r="Q210" s="462">
        <f>F146</f>
        <v>23.13413311648976</v>
      </c>
      <c r="R210" s="463"/>
      <c r="S210" s="463"/>
      <c r="T210" s="257" t="s">
        <v>71</v>
      </c>
      <c r="Y210" s="98"/>
      <c r="Z210" s="98"/>
      <c r="AA210" s="98"/>
      <c r="AB210" s="295"/>
      <c r="BN210" s="106"/>
      <c r="BO210" s="98"/>
    </row>
    <row r="211" spans="1:67" ht="17.25" customHeight="1" thickTop="1">
      <c r="A211" s="98"/>
      <c r="B211" s="98"/>
      <c r="C211" s="96"/>
      <c r="D211" s="96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AA211" s="98"/>
      <c r="AB211" s="295"/>
      <c r="BN211" s="106"/>
      <c r="BO211" s="98"/>
    </row>
    <row r="212" spans="1:67" ht="17.25" customHeight="1">
      <c r="A212" s="98"/>
      <c r="B212" s="98"/>
      <c r="C212" s="96"/>
      <c r="D212" s="96"/>
      <c r="AB212" s="295"/>
      <c r="BN212" s="106"/>
      <c r="BO212" s="98"/>
    </row>
    <row r="213" spans="1:67" ht="17.25" customHeight="1">
      <c r="A213" s="98"/>
      <c r="B213" s="98"/>
      <c r="C213" s="96"/>
      <c r="D213" s="96"/>
      <c r="E213" s="756" t="s">
        <v>376</v>
      </c>
      <c r="F213" s="757"/>
      <c r="G213" s="757"/>
      <c r="H213" s="757"/>
      <c r="I213" s="757"/>
      <c r="J213" s="757"/>
      <c r="K213" s="757"/>
      <c r="L213" s="757"/>
      <c r="M213" s="757"/>
      <c r="N213" s="757"/>
      <c r="O213" s="758"/>
      <c r="AB213" s="295"/>
      <c r="BN213" s="106"/>
      <c r="BO213" s="98"/>
    </row>
    <row r="214" spans="1:67" ht="17.25" customHeight="1">
      <c r="A214" s="98"/>
      <c r="B214" s="98"/>
      <c r="C214" s="96"/>
      <c r="D214" s="96"/>
      <c r="E214" s="466"/>
      <c r="F214" s="466" t="s">
        <v>378</v>
      </c>
      <c r="G214" s="466"/>
      <c r="H214" s="466"/>
      <c r="I214" s="466"/>
      <c r="J214" s="466"/>
      <c r="K214" s="744" t="s">
        <v>380</v>
      </c>
      <c r="L214" s="745"/>
      <c r="M214" s="745"/>
      <c r="N214" s="745"/>
      <c r="O214" s="746"/>
      <c r="Q214" s="437" t="s">
        <v>115</v>
      </c>
      <c r="R214" s="437"/>
      <c r="S214" s="742">
        <f>F142</f>
        <v>46.1</v>
      </c>
      <c r="T214" s="742"/>
      <c r="U214" s="446" t="str">
        <f>CONCATENATE("Lat et Dec - Meme sens ?: ",AC214)</f>
        <v>Lat et Dec - Meme sens ?: VRAI</v>
      </c>
      <c r="V214" s="446"/>
      <c r="W214" s="446"/>
      <c r="X214" s="446"/>
      <c r="Y214" s="98"/>
      <c r="AB214" s="295"/>
      <c r="AC214" t="b">
        <f>IF(S214*S215&gt;0,TRUE,FALSE)</f>
        <v>1</v>
      </c>
      <c r="BN214" s="106"/>
      <c r="BO214" s="98"/>
    </row>
    <row r="215" spans="1:67" ht="17.25" customHeight="1">
      <c r="A215" s="98"/>
      <c r="B215" s="98"/>
      <c r="C215" s="96"/>
      <c r="D215" s="96"/>
      <c r="E215" s="466"/>
      <c r="F215" s="466" t="s">
        <v>379</v>
      </c>
      <c r="G215" s="466"/>
      <c r="H215" s="466"/>
      <c r="I215" s="466"/>
      <c r="J215" s="466"/>
      <c r="K215" s="744" t="s">
        <v>381</v>
      </c>
      <c r="L215" s="745"/>
      <c r="M215" s="745"/>
      <c r="N215" s="745"/>
      <c r="O215" s="746"/>
      <c r="Q215" s="437" t="s">
        <v>114</v>
      </c>
      <c r="R215" s="437"/>
      <c r="S215" s="742">
        <f>F146</f>
        <v>23.13413311648976</v>
      </c>
      <c r="T215" s="742"/>
      <c r="U215" s="446" t="str">
        <f>CONCATENATE("Lat &gt; Dec  ? : ",AC215)</f>
        <v>Lat &gt; Dec  ? : VRAI</v>
      </c>
      <c r="V215" s="446"/>
      <c r="W215" s="446"/>
      <c r="X215" s="446"/>
      <c r="Y215" s="98"/>
      <c r="AB215" s="295"/>
      <c r="AC215" s="181" t="b">
        <f>IF(ABS(S214)&gt;ABS(S215),TRUE, FALSE)</f>
        <v>1</v>
      </c>
      <c r="BN215" s="106"/>
      <c r="BO215" s="98"/>
    </row>
    <row r="216" spans="1:67" ht="17.25" customHeight="1">
      <c r="A216" s="98"/>
      <c r="B216" s="98"/>
      <c r="C216" s="98"/>
      <c r="D216" s="98"/>
      <c r="E216" s="743" t="s">
        <v>377</v>
      </c>
      <c r="F216" s="743"/>
      <c r="G216" s="743"/>
      <c r="H216" s="743"/>
      <c r="I216" s="743"/>
      <c r="J216" s="743"/>
      <c r="K216" s="744" t="s">
        <v>382</v>
      </c>
      <c r="L216" s="745"/>
      <c r="M216" s="745"/>
      <c r="N216" s="745"/>
      <c r="O216" s="746"/>
      <c r="AB216" s="295"/>
      <c r="AC216" t="s">
        <v>483</v>
      </c>
      <c r="AD216" s="218">
        <f>I208+S215</f>
        <v>45.986510932129548</v>
      </c>
      <c r="BN216" s="106"/>
      <c r="BO216" s="98"/>
    </row>
    <row r="217" spans="1:67" ht="17.25" customHeight="1">
      <c r="A217" s="98"/>
      <c r="B217" s="98"/>
      <c r="C217" s="143"/>
      <c r="D217" s="143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AB217" s="295"/>
      <c r="AC217" t="s">
        <v>484</v>
      </c>
      <c r="AD217" s="218">
        <f>S215-I208</f>
        <v>0.28175530084997646</v>
      </c>
      <c r="BN217" s="106"/>
      <c r="BO217" s="98"/>
    </row>
    <row r="218" spans="1:67" ht="17.25" customHeight="1" thickBot="1">
      <c r="A218" s="98"/>
      <c r="B218" s="98"/>
      <c r="C218" s="143"/>
      <c r="D218" s="143"/>
      <c r="E218" s="143"/>
      <c r="F218" s="143"/>
      <c r="G218" s="143"/>
      <c r="H218" s="98"/>
      <c r="I218" s="98"/>
      <c r="J218" s="98"/>
      <c r="K218" s="98"/>
      <c r="L218" s="98"/>
      <c r="AB218" s="295"/>
      <c r="AC218" t="s">
        <v>485</v>
      </c>
      <c r="AD218" s="218">
        <f>I208-S215</f>
        <v>-0.28175530084997646</v>
      </c>
      <c r="BN218" s="106"/>
      <c r="BO218" s="98"/>
    </row>
    <row r="219" spans="1:67" ht="17.25" customHeight="1" thickTop="1" thickBot="1">
      <c r="A219" s="98"/>
      <c r="B219" s="98"/>
      <c r="C219" s="143"/>
      <c r="D219" s="143"/>
      <c r="E219" s="143"/>
      <c r="F219" s="143"/>
      <c r="G219" s="143"/>
      <c r="H219" s="417" t="s">
        <v>375</v>
      </c>
      <c r="I219" s="418"/>
      <c r="J219" s="418"/>
      <c r="K219" s="418"/>
      <c r="L219" s="525"/>
      <c r="M219" s="732">
        <f>AC219</f>
        <v>45.986510932129548</v>
      </c>
      <c r="N219" s="733"/>
      <c r="O219" s="132" t="s">
        <v>34</v>
      </c>
      <c r="P219" s="423" t="str">
        <f>latitudeDecimal2Txt(M219)</f>
        <v>N 45°59.19 (N 45.9865) [N 45°59'11.43]</v>
      </c>
      <c r="Q219" s="450"/>
      <c r="R219" s="450"/>
      <c r="S219" s="450"/>
      <c r="T219" s="450"/>
      <c r="U219" s="450"/>
      <c r="AB219" s="295"/>
      <c r="AC219">
        <f>IF(AC214,IF(AC215,AD216,AD217),AD218)</f>
        <v>45.986510932129548</v>
      </c>
      <c r="BN219" s="106"/>
      <c r="BO219" s="98"/>
    </row>
    <row r="220" spans="1:67" ht="17.25" customHeight="1" thickTop="1" thickBot="1">
      <c r="A220" s="96"/>
      <c r="B220" s="96"/>
      <c r="C220" s="96"/>
      <c r="D220" s="96"/>
      <c r="H220" s="417" t="s">
        <v>328</v>
      </c>
      <c r="I220" s="418"/>
      <c r="J220" s="418"/>
      <c r="K220" s="418"/>
      <c r="L220" s="525"/>
      <c r="M220" s="732">
        <f>Q109</f>
        <v>-0.54888888888888765</v>
      </c>
      <c r="N220" s="733"/>
      <c r="O220" s="132" t="s">
        <v>34</v>
      </c>
      <c r="P220" s="423" t="str">
        <f>longitudeDecimal2Txt(M220)</f>
        <v>W 00°32.93 (W 00.5488) [W 00°32'55.99]</v>
      </c>
      <c r="Q220" s="450"/>
      <c r="R220" s="450"/>
      <c r="S220" s="450"/>
      <c r="T220" s="450"/>
      <c r="U220" s="450"/>
      <c r="V220" s="98"/>
      <c r="W220" s="98"/>
      <c r="X220" s="98"/>
      <c r="Y220" s="98"/>
      <c r="Z220" s="98"/>
      <c r="AA220" s="98"/>
      <c r="AB220" s="295"/>
      <c r="BN220" s="106"/>
      <c r="BO220" s="98"/>
    </row>
    <row r="221" spans="1:67" s="98" customFormat="1" ht="17.25" customHeight="1" thickTop="1">
      <c r="C221" s="143"/>
      <c r="D221" s="143"/>
      <c r="E221" s="143"/>
      <c r="F221" s="143"/>
      <c r="G221" s="143"/>
      <c r="AB221" s="295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106"/>
    </row>
    <row r="222" spans="1:67" ht="17.25" customHeight="1" thickBot="1">
      <c r="A222" s="98"/>
      <c r="B222" s="98"/>
      <c r="C222" s="143"/>
      <c r="D222" s="143"/>
      <c r="E222" s="143"/>
      <c r="F222" s="143"/>
      <c r="G222" s="143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295"/>
      <c r="BN222" s="106"/>
      <c r="BO222" s="98"/>
    </row>
    <row r="223" spans="1:67" ht="17.25" customHeight="1" thickBot="1">
      <c r="A223" s="98"/>
      <c r="B223" s="107" t="s">
        <v>441</v>
      </c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297"/>
      <c r="BN223" s="106"/>
      <c r="BO223" s="98"/>
    </row>
    <row r="224" spans="1:67" s="98" customFormat="1" ht="17.25" customHeight="1">
      <c r="C224" s="143"/>
      <c r="D224" s="143"/>
      <c r="E224" s="143"/>
      <c r="F224" s="143"/>
      <c r="G224" s="143"/>
      <c r="AB224" s="295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106"/>
    </row>
    <row r="225" spans="1:67" ht="17.25" customHeight="1" thickBot="1">
      <c r="A225" s="98"/>
      <c r="B225" s="98"/>
      <c r="C225" s="461" t="s">
        <v>442</v>
      </c>
      <c r="D225" s="461"/>
      <c r="E225" s="461"/>
      <c r="F225" s="461"/>
      <c r="G225" s="239"/>
      <c r="H225" s="461" t="s">
        <v>443</v>
      </c>
      <c r="I225" s="461"/>
      <c r="J225" s="461"/>
      <c r="K225" s="98"/>
      <c r="L225" s="465" t="s">
        <v>429</v>
      </c>
      <c r="M225" s="465"/>
      <c r="N225" s="465"/>
      <c r="O225" s="98"/>
      <c r="P225" s="98"/>
      <c r="Q225" s="420" t="s">
        <v>444</v>
      </c>
      <c r="R225" s="420"/>
      <c r="S225" s="420"/>
      <c r="T225" s="420"/>
      <c r="U225" s="189"/>
      <c r="V225" s="98"/>
      <c r="W225" s="98"/>
      <c r="X225" s="98"/>
      <c r="Y225" s="98"/>
      <c r="Z225" s="98"/>
      <c r="AA225" s="98"/>
      <c r="AB225" s="295"/>
      <c r="AD225" s="218"/>
      <c r="BN225" s="106"/>
      <c r="BO225" s="98"/>
    </row>
    <row r="226" spans="1:67" ht="17.25" customHeight="1" thickTop="1" thickBot="1">
      <c r="A226" s="98"/>
      <c r="B226" s="98"/>
      <c r="C226" s="143"/>
      <c r="D226" s="280" t="s">
        <v>49</v>
      </c>
      <c r="E226" s="466">
        <f>M219</f>
        <v>45.986510932129548</v>
      </c>
      <c r="F226" s="466"/>
      <c r="G226" s="143"/>
      <c r="H226" s="98"/>
      <c r="I226" s="466">
        <f>V213</f>
        <v>0</v>
      </c>
      <c r="J226" s="466"/>
      <c r="K226" s="98" t="s">
        <v>146</v>
      </c>
      <c r="L226" s="98"/>
      <c r="M226" s="466">
        <v>180</v>
      </c>
      <c r="N226" s="466"/>
      <c r="O226" s="98"/>
      <c r="P226" s="98"/>
      <c r="Q226" s="98"/>
      <c r="R226" s="281" t="s">
        <v>49</v>
      </c>
      <c r="S226" s="419">
        <f>E226</f>
        <v>45.986510932129548</v>
      </c>
      <c r="T226" s="419"/>
      <c r="U226" s="737" t="str" cm="1">
        <f t="array" ref="U226">latitudeDecimal2Txt(S226)</f>
        <v>N 45°59.19 (N 45.9865) [N 45°59'11.43]</v>
      </c>
      <c r="V226" s="738"/>
      <c r="W226" s="738"/>
      <c r="X226" s="738"/>
      <c r="Y226" s="738"/>
      <c r="Z226" s="739"/>
      <c r="AA226" s="98"/>
      <c r="AB226" s="295"/>
      <c r="AD226" s="218"/>
      <c r="BN226" s="106"/>
      <c r="BO226" s="98"/>
    </row>
    <row r="227" spans="1:67" ht="17.25" customHeight="1" thickTop="1">
      <c r="A227" s="98"/>
      <c r="B227" s="98"/>
      <c r="C227" s="143"/>
      <c r="D227" s="280" t="s">
        <v>50</v>
      </c>
      <c r="E227" s="466">
        <f>M220</f>
        <v>-0.54888888888888765</v>
      </c>
      <c r="F227" s="466"/>
      <c r="G227" s="143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295"/>
      <c r="BN227" s="106"/>
      <c r="BO227" s="98"/>
    </row>
    <row r="228" spans="1:67" ht="17.25" customHeight="1">
      <c r="A228" s="98"/>
      <c r="B228" s="98"/>
      <c r="F228" s="143"/>
      <c r="G228" s="143"/>
      <c r="H228" s="98"/>
      <c r="I228" s="98"/>
      <c r="J228" s="98"/>
      <c r="K228" s="98"/>
      <c r="L228" s="98"/>
      <c r="M228" s="98"/>
      <c r="N228" s="98"/>
      <c r="O228" s="98"/>
      <c r="P228" s="98"/>
      <c r="Q228" s="420" t="s">
        <v>445</v>
      </c>
      <c r="R228" s="420"/>
      <c r="S228" s="420"/>
      <c r="T228" s="98"/>
      <c r="U228" s="98"/>
      <c r="V228" s="98"/>
      <c r="W228" s="98"/>
      <c r="X228" s="98"/>
      <c r="Y228" s="98"/>
      <c r="Z228" s="98"/>
      <c r="AA228" s="98"/>
      <c r="AB228" s="295"/>
      <c r="BN228" s="106"/>
      <c r="BO228" s="98"/>
    </row>
    <row r="229" spans="1:67" ht="17.25" customHeight="1">
      <c r="A229" s="98"/>
      <c r="B229" s="98"/>
      <c r="C229" s="143"/>
      <c r="D229" s="143"/>
      <c r="E229" s="143"/>
      <c r="F229" s="143"/>
      <c r="G229" s="143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419">
        <f>M226-90</f>
        <v>90</v>
      </c>
      <c r="S229" s="419"/>
      <c r="T229" s="132" t="s">
        <v>34</v>
      </c>
      <c r="U229" s="98"/>
      <c r="V229" s="98"/>
      <c r="W229" s="98"/>
      <c r="X229" s="98"/>
      <c r="Y229" s="98"/>
      <c r="Z229" s="98"/>
      <c r="AA229" s="98"/>
      <c r="AB229" s="295"/>
      <c r="BN229" s="106"/>
      <c r="BO229" s="98"/>
    </row>
    <row r="230" spans="1:67" ht="17.25" customHeight="1"/>
    <row r="231" spans="1:67" ht="17.25" customHeight="1" thickBot="1"/>
    <row r="232" spans="1:67" ht="17.25" customHeight="1" thickBot="1">
      <c r="B232" s="245" t="s">
        <v>449</v>
      </c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</row>
    <row r="233" spans="1:67" ht="17.25" customHeight="1">
      <c r="AD233" s="218"/>
    </row>
    <row r="234" spans="1:67" ht="17.25" customHeight="1" thickBot="1">
      <c r="C234" s="460" t="s">
        <v>444</v>
      </c>
      <c r="D234" s="460"/>
      <c r="E234" s="460"/>
      <c r="F234" s="460"/>
      <c r="G234" s="189"/>
      <c r="H234" s="98"/>
      <c r="I234" s="98"/>
      <c r="J234" s="98"/>
      <c r="K234" s="98"/>
      <c r="L234" s="98"/>
      <c r="Q234" s="240" t="s">
        <v>450</v>
      </c>
      <c r="R234" s="240"/>
      <c r="S234" s="240"/>
      <c r="T234" s="240"/>
      <c r="U234" s="240"/>
      <c r="V234" s="240"/>
      <c r="W234" s="240"/>
    </row>
    <row r="235" spans="1:67" ht="17.25" customHeight="1" thickTop="1" thickBot="1">
      <c r="D235" s="282" t="s">
        <v>49</v>
      </c>
      <c r="E235" s="459">
        <f>I244</f>
        <v>0</v>
      </c>
      <c r="F235" s="459"/>
      <c r="G235" s="415" t="str" cm="1">
        <f t="array" ref="G235">latitudeDecimal2Txt(E235)</f>
        <v>N 00°00.00 (N 00.0000) [N 00°00'00.00]</v>
      </c>
      <c r="H235" s="415"/>
      <c r="I235" s="415"/>
      <c r="J235" s="415"/>
      <c r="K235" s="415"/>
      <c r="L235" s="415"/>
      <c r="R235" s="281" t="s">
        <v>49</v>
      </c>
      <c r="S235" s="419">
        <f>AG238</f>
        <v>45.986510932129548</v>
      </c>
      <c r="T235" s="419"/>
      <c r="U235" s="415" t="str" cm="1">
        <f t="array" ref="U235">latitudeDecimal2Txt(S235)</f>
        <v>N 45°59.19 (N 45.9865) [N 45°59'11.43]</v>
      </c>
      <c r="V235" s="415"/>
      <c r="W235" s="415"/>
      <c r="X235" s="415"/>
      <c r="Y235" s="415"/>
      <c r="Z235" s="415"/>
      <c r="AC235" s="269" t="s">
        <v>510</v>
      </c>
      <c r="AD235" s="270">
        <f>D239</f>
        <v>30</v>
      </c>
    </row>
    <row r="236" spans="1:67" ht="17.25" customHeight="1" thickTop="1" thickBot="1">
      <c r="D236" s="282" t="s">
        <v>50</v>
      </c>
      <c r="E236" s="459">
        <v>-7</v>
      </c>
      <c r="F236" s="459"/>
      <c r="G236" s="415" t="str" cm="1">
        <f t="array" ref="G236">longitudeDecimal2Txt(E236)</f>
        <v>W 07°00.00 (W 07.0000) [W 07°00'00.00]</v>
      </c>
      <c r="H236" s="415"/>
      <c r="I236" s="415"/>
      <c r="J236" s="415"/>
      <c r="K236" s="415"/>
      <c r="L236" s="415"/>
      <c r="R236" s="281" t="s">
        <v>50</v>
      </c>
      <c r="S236" s="419">
        <f>AG239</f>
        <v>19.55032446575666</v>
      </c>
      <c r="T236" s="419"/>
      <c r="U236" s="415" t="str" cm="1">
        <f t="array" ref="U236">longitudeDecimal2Txt(S236)</f>
        <v>E 19°33.01 (E 19.5503) [E 19°33'01.16]</v>
      </c>
      <c r="V236" s="415"/>
      <c r="W236" s="415"/>
      <c r="X236" s="415"/>
      <c r="Y236" s="415"/>
      <c r="Z236" s="415"/>
      <c r="AC236" s="271" t="s">
        <v>512</v>
      </c>
      <c r="AD236" s="270">
        <f>E235</f>
        <v>0</v>
      </c>
    </row>
    <row r="237" spans="1:67" ht="17.25" customHeight="1" thickTop="1"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AC237" s="269" t="s">
        <v>513</v>
      </c>
      <c r="AD237" s="270">
        <f>E236</f>
        <v>-7</v>
      </c>
    </row>
    <row r="238" spans="1:67" ht="17.25" customHeight="1">
      <c r="C238" s="460" t="s">
        <v>445</v>
      </c>
      <c r="D238" s="460"/>
      <c r="E238" s="460"/>
      <c r="F238" s="244"/>
      <c r="G238" s="98"/>
      <c r="H238" s="98"/>
      <c r="I238" s="98"/>
      <c r="J238" s="98"/>
      <c r="K238" s="98"/>
      <c r="L238" s="98"/>
      <c r="AC238" s="269" t="s">
        <v>459</v>
      </c>
      <c r="AD238" s="269">
        <f>TAN(AD235*Outils!F43) * (1 / COS(AD236*Outils!F43))</f>
        <v>0</v>
      </c>
      <c r="AE238" s="416" t="s">
        <v>516</v>
      </c>
      <c r="AF238" s="416"/>
      <c r="AG238" s="273">
        <f>S226</f>
        <v>45.986510932129548</v>
      </c>
    </row>
    <row r="239" spans="1:67" ht="17.25" customHeight="1">
      <c r="D239" s="459">
        <v>30</v>
      </c>
      <c r="E239" s="459"/>
      <c r="F239" s="283" t="s">
        <v>34</v>
      </c>
      <c r="G239" s="98"/>
      <c r="H239" s="98"/>
      <c r="I239" s="98"/>
      <c r="J239" s="98"/>
      <c r="K239" s="98"/>
      <c r="L239" s="98"/>
      <c r="AC239" s="269" t="s">
        <v>460</v>
      </c>
      <c r="AD239" s="269">
        <f>AD237-AD236*AD238</f>
        <v>-7</v>
      </c>
      <c r="AE239" s="416"/>
      <c r="AF239" s="416"/>
      <c r="AG239" s="272">
        <f>E236+(S226-E235)*TAN(D239*Outils!F10)/COS(Outils!F10*E235)</f>
        <v>19.55032446575666</v>
      </c>
    </row>
    <row r="241" spans="7:20">
      <c r="S241" s="98"/>
      <c r="T241" s="98"/>
    </row>
    <row r="243" spans="7:20" ht="17.25" customHeight="1">
      <c r="G243" s="41"/>
      <c r="P243" s="98"/>
      <c r="Q243" s="98"/>
    </row>
    <row r="244" spans="7:20" ht="17.25" customHeight="1">
      <c r="G244" s="41"/>
    </row>
    <row r="245" spans="7:20">
      <c r="K245" s="98"/>
      <c r="L245" s="98"/>
    </row>
    <row r="246" spans="7:20">
      <c r="K246" s="98"/>
      <c r="L246" s="98"/>
    </row>
  </sheetData>
  <protectedRanges>
    <protectedRange sqref="M117:Y117 M103:Y103" name="Heure visee" securityDescriptor="O:WDG:WDD:(A;;CC;;;WD)"/>
  </protectedRanges>
  <dataConsolidate link="1"/>
  <mergeCells count="420"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</mergeCells>
  <conditionalFormatting sqref="C92:Z92">
    <cfRule type="expression" dxfId="9" priority="8">
      <formula>$AA92="N"</formula>
    </cfRule>
  </conditionalFormatting>
  <conditionalFormatting sqref="E93:Z96">
    <cfRule type="expression" dxfId="8" priority="6">
      <formula>$AA93="N"</formula>
    </cfRule>
  </conditionalFormatting>
  <conditionalFormatting sqref="E101:K101">
    <cfRule type="expression" dxfId="5" priority="2">
      <formula>($E101)</formula>
    </cfRule>
  </conditionalFormatting>
  <conditionalFormatting sqref="E102:K105">
    <cfRule type="expression" dxfId="4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Outils!$C$15:$C$16</xm:f>
          </x14:formula1>
          <xm:sqref>P151:P154 U159:U160 P159:P160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186"/>
  <sheetViews>
    <sheetView topLeftCell="D132" zoomScaleNormal="100" workbookViewId="0">
      <selection activeCell="L139" sqref="L139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</row>
    <row r="2" spans="2:66" ht="17.25" customHeight="1"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</row>
    <row r="3" spans="2:66" ht="17.25" customHeight="1">
      <c r="C3" s="506"/>
      <c r="D3" s="506"/>
      <c r="E3" s="506"/>
      <c r="F3" s="506"/>
      <c r="G3" s="502" t="s">
        <v>233</v>
      </c>
      <c r="H3" s="502"/>
      <c r="I3" s="502"/>
      <c r="J3" s="504" t="s">
        <v>232</v>
      </c>
      <c r="K3" s="504"/>
      <c r="L3" s="504"/>
      <c r="N3" s="434" t="s">
        <v>435</v>
      </c>
      <c r="O3" s="434"/>
      <c r="P3" s="434"/>
      <c r="Q3" s="435" t="s">
        <v>353</v>
      </c>
      <c r="R3" s="435"/>
      <c r="S3" s="435"/>
    </row>
    <row r="4" spans="2:66" ht="17.25" customHeight="1">
      <c r="C4" s="506"/>
      <c r="D4" s="506"/>
      <c r="E4" s="506"/>
      <c r="F4" s="506"/>
      <c r="G4" s="503"/>
      <c r="H4" s="503"/>
      <c r="I4" s="503"/>
      <c r="J4" s="505"/>
      <c r="K4" s="505"/>
      <c r="L4" s="505"/>
      <c r="N4" s="434"/>
      <c r="O4" s="434"/>
      <c r="P4" s="434"/>
      <c r="Q4" s="435"/>
      <c r="R4" s="435"/>
      <c r="S4" s="435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2010/5/5 [YYYY/MM/DD]</v>
      </c>
      <c r="F7" s="230"/>
      <c r="G7" s="231"/>
      <c r="H7" s="232"/>
      <c r="I7" s="230" t="str" cm="1">
        <f t="array" ref="I7">heureDecimal2Txt(E11)</f>
        <v>08:18:53.00(08.3147)</v>
      </c>
      <c r="J7" s="230"/>
      <c r="K7" s="230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83"/>
      <c r="AB7" s="146"/>
    </row>
    <row r="8" spans="2:66" ht="17.25" customHeight="1">
      <c r="C8" s="498" t="s">
        <v>1</v>
      </c>
      <c r="D8" s="499"/>
      <c r="E8" s="632" t="s">
        <v>549</v>
      </c>
      <c r="F8" s="633"/>
      <c r="G8" s="633"/>
      <c r="H8" s="143"/>
      <c r="I8" s="436"/>
      <c r="J8" s="436"/>
      <c r="K8" s="436"/>
      <c r="L8" s="436"/>
      <c r="M8" s="436"/>
      <c r="N8" s="436"/>
      <c r="O8" s="436"/>
      <c r="AC8" s="6" t="s">
        <v>319</v>
      </c>
      <c r="AD8" s="6" cm="1">
        <f t="array" ref="AD8">heureConvert2Decimal(I11)</f>
        <v>8.3147222222222226</v>
      </c>
    </row>
    <row r="9" spans="2:66" ht="17.25" customHeight="1" thickBot="1">
      <c r="C9" s="477" t="s">
        <v>11</v>
      </c>
      <c r="D9" s="479"/>
      <c r="E9" s="477" t="s">
        <v>2</v>
      </c>
      <c r="F9" s="478"/>
      <c r="G9" s="478"/>
      <c r="H9" s="479"/>
      <c r="I9" s="582" t="s">
        <v>437</v>
      </c>
      <c r="J9" s="582"/>
      <c r="K9" s="582"/>
      <c r="L9" s="582" t="s">
        <v>433</v>
      </c>
      <c r="M9" s="582"/>
      <c r="N9" s="582"/>
      <c r="O9" s="582"/>
      <c r="P9" s="582"/>
      <c r="Q9" s="582" t="s">
        <v>434</v>
      </c>
      <c r="R9" s="582"/>
      <c r="S9" s="582"/>
      <c r="T9" s="582"/>
      <c r="U9" s="582"/>
      <c r="V9" s="613" t="s">
        <v>187</v>
      </c>
      <c r="W9" s="614"/>
      <c r="X9" s="614"/>
      <c r="Y9" s="615"/>
      <c r="AB9" s="147"/>
      <c r="AC9" s="6" t="s">
        <v>320</v>
      </c>
      <c r="AD9" s="151">
        <f>L11</f>
        <v>0</v>
      </c>
    </row>
    <row r="10" spans="2:66" ht="17.25" customHeight="1">
      <c r="C10" s="500"/>
      <c r="D10" s="501"/>
      <c r="E10" s="480"/>
      <c r="F10" s="481"/>
      <c r="G10" s="481"/>
      <c r="H10" s="4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16"/>
      <c r="W10" s="617"/>
      <c r="X10" s="617"/>
      <c r="Y10" s="618"/>
      <c r="AC10" s="6" t="s">
        <v>321</v>
      </c>
      <c r="AD10" s="6">
        <f>Q11/3600</f>
        <v>0</v>
      </c>
    </row>
    <row r="11" spans="2:66" ht="17.25" customHeight="1" thickBot="1">
      <c r="C11" s="480"/>
      <c r="D11" s="482"/>
      <c r="E11" s="456">
        <f>AD8+AD9+AD10+AD11</f>
        <v>8.3147222222222226</v>
      </c>
      <c r="F11" s="457"/>
      <c r="G11" s="457"/>
      <c r="H11" s="458"/>
      <c r="I11" s="627" t="s">
        <v>550</v>
      </c>
      <c r="J11" s="627"/>
      <c r="K11" s="627"/>
      <c r="L11" s="659">
        <v>0</v>
      </c>
      <c r="M11" s="659"/>
      <c r="N11" s="659"/>
      <c r="O11" s="659"/>
      <c r="P11" s="659"/>
      <c r="Q11" s="659">
        <v>0</v>
      </c>
      <c r="R11" s="659"/>
      <c r="S11" s="659"/>
      <c r="T11" s="659"/>
      <c r="U11" s="660"/>
      <c r="V11" s="658" t="s">
        <v>186</v>
      </c>
      <c r="W11" s="658"/>
      <c r="X11" s="658"/>
      <c r="Y11" s="658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688" t="str" cm="1">
        <f t="array" ref="E12">heureDecimal2Txt(E11)</f>
        <v>08:18:53.00(08.3147)</v>
      </c>
      <c r="F12" s="689"/>
      <c r="G12" s="689"/>
      <c r="H12" s="69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430" t="s">
        <v>322</v>
      </c>
      <c r="D15" s="431"/>
      <c r="E15" s="431"/>
      <c r="F15" s="431"/>
      <c r="G15" s="431"/>
      <c r="H15" s="431"/>
      <c r="I15" s="432"/>
      <c r="J15" s="433" t="s">
        <v>324</v>
      </c>
      <c r="K15" s="433"/>
      <c r="L15" s="433"/>
      <c r="M15" s="433"/>
      <c r="N15" s="433"/>
      <c r="O15" s="433"/>
      <c r="P15"/>
      <c r="Q15"/>
      <c r="R15"/>
      <c r="S15"/>
      <c r="T15"/>
      <c r="U15"/>
      <c r="V15"/>
      <c r="W15"/>
      <c r="X15"/>
      <c r="Y15"/>
      <c r="Z15"/>
      <c r="AA15"/>
      <c r="AC15" s="152" t="s">
        <v>323</v>
      </c>
      <c r="AD15" s="152" t="s">
        <v>324</v>
      </c>
    </row>
    <row r="16" spans="2:66" ht="18" customHeight="1" thickTop="1" thickBot="1">
      <c r="B16" s="96"/>
      <c r="C16" s="430" t="s">
        <v>224</v>
      </c>
      <c r="D16" s="431"/>
      <c r="E16" s="431"/>
      <c r="F16" s="431"/>
      <c r="G16" s="431"/>
      <c r="H16" s="431"/>
      <c r="I16" s="432"/>
      <c r="J16" s="427" cm="1">
        <f t="array" ref="J16">angleConvert2Decimal(M16)</f>
        <v>0.9</v>
      </c>
      <c r="K16" s="428"/>
      <c r="L16" s="429"/>
      <c r="M16" s="424" t="s">
        <v>133</v>
      </c>
      <c r="N16" s="425"/>
      <c r="O16" s="426"/>
      <c r="P16" s="421" t="str" cm="1">
        <f t="array" ref="P16">angleDecimal2Txt(J16)</f>
        <v>+00°54.00 (+00.9000) [+00°54'00.00]</v>
      </c>
      <c r="Q16" s="422"/>
      <c r="R16" s="422"/>
      <c r="S16" s="422"/>
      <c r="T16" s="422"/>
      <c r="U16" s="422"/>
      <c r="V16" s="422"/>
      <c r="W16" s="422"/>
      <c r="X16" s="423"/>
      <c r="Y16" s="96"/>
    </row>
    <row r="17" spans="2:43" ht="18" customHeight="1" thickTop="1" thickBot="1">
      <c r="C17" s="583" t="s">
        <v>223</v>
      </c>
      <c r="D17" s="583"/>
      <c r="E17" s="583"/>
      <c r="F17" s="583"/>
      <c r="G17" s="583"/>
      <c r="H17" s="583"/>
      <c r="I17" s="583"/>
      <c r="J17" s="599" cm="1">
        <f t="array" ref="J17">angleConvert2Decimal(M17)</f>
        <v>33.4</v>
      </c>
      <c r="K17" s="612"/>
      <c r="L17" s="580"/>
      <c r="M17" s="513" t="s">
        <v>374</v>
      </c>
      <c r="N17" s="514"/>
      <c r="O17" s="515"/>
      <c r="P17" s="450" t="str" cm="1">
        <f t="array" ref="P17">angleDecimal2Txt(J17)</f>
        <v>+33°24.00 (+33.3999) [+33°24'00.00]</v>
      </c>
      <c r="Q17" s="450"/>
      <c r="R17" s="450"/>
      <c r="S17" s="450"/>
      <c r="T17" s="450"/>
      <c r="U17" s="450"/>
      <c r="V17" s="450"/>
      <c r="W17" s="450"/>
      <c r="X17" s="450"/>
      <c r="Y17" s="96"/>
    </row>
    <row r="18" spans="2:43" ht="18" customHeight="1" thickTop="1" thickBot="1">
      <c r="C18" s="583" t="s">
        <v>231</v>
      </c>
      <c r="D18" s="583"/>
      <c r="E18" s="583"/>
      <c r="F18" s="583"/>
      <c r="G18" s="583"/>
      <c r="H18" s="583"/>
      <c r="I18" s="583"/>
      <c r="J18" s="599" cm="1">
        <f t="array" ref="J18">angleConvert2Decimal(M18)</f>
        <v>16.25</v>
      </c>
      <c r="K18" s="612"/>
      <c r="L18" s="580"/>
      <c r="M18" s="513">
        <f>(J17-J16)/2</f>
        <v>16.25</v>
      </c>
      <c r="N18" s="514"/>
      <c r="O18" s="515"/>
      <c r="P18" s="450" t="str" cm="1">
        <f t="array" ref="P18">angleDecimal2Txt(J18)</f>
        <v>+16°15.00 (+16.2500) [+16°15'00.00]</v>
      </c>
      <c r="Q18" s="450"/>
      <c r="R18" s="450"/>
      <c r="S18" s="450"/>
      <c r="T18" s="450"/>
      <c r="U18" s="450"/>
      <c r="V18" s="450"/>
      <c r="W18" s="450"/>
      <c r="X18" s="450"/>
      <c r="Y18" s="96"/>
    </row>
    <row r="19" spans="2:43" ht="18" customHeight="1" thickTop="1" thickBot="1">
      <c r="C19" s="691" t="s">
        <v>21</v>
      </c>
      <c r="D19" s="691"/>
      <c r="E19" s="691"/>
      <c r="F19" s="691"/>
      <c r="G19" s="691"/>
      <c r="H19" s="691"/>
      <c r="I19" s="691"/>
      <c r="J19" s="661">
        <f>M19</f>
        <v>2</v>
      </c>
      <c r="K19" s="662"/>
      <c r="L19" s="663"/>
      <c r="M19" s="625">
        <v>2</v>
      </c>
      <c r="N19" s="625"/>
      <c r="O19" s="625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43" ht="18" customHeight="1" thickTop="1" thickBot="1">
      <c r="B20" s="96"/>
      <c r="C20" s="718" t="s">
        <v>22</v>
      </c>
      <c r="D20" s="719"/>
      <c r="E20" s="719"/>
      <c r="F20" s="719"/>
      <c r="G20" s="719"/>
      <c r="H20" s="719"/>
      <c r="I20" s="720"/>
      <c r="J20" s="438" cm="1">
        <f t="array" ref="J20">angleConvert2Decimal(M20)</f>
        <v>0.05</v>
      </c>
      <c r="K20" s="527"/>
      <c r="L20" s="527"/>
      <c r="M20" s="624" t="s">
        <v>704</v>
      </c>
      <c r="N20" s="625"/>
      <c r="O20" s="625"/>
      <c r="P20" s="450" t="str" cm="1">
        <f t="array" ref="P20">angleDecimal2Txt(J20)</f>
        <v>+00°03.00 (+00.0500) [+00°03'00.00]</v>
      </c>
      <c r="Q20" s="450"/>
      <c r="R20" s="450"/>
      <c r="S20" s="450"/>
      <c r="T20" s="450"/>
      <c r="U20" s="450"/>
      <c r="V20" s="450"/>
      <c r="W20" s="450"/>
      <c r="X20" s="450"/>
      <c r="Y20" s="96"/>
    </row>
    <row r="21" spans="2:43" ht="18" customHeight="1" thickTop="1" thickBot="1">
      <c r="C21" s="728" t="s">
        <v>32</v>
      </c>
      <c r="D21" s="728"/>
      <c r="E21" s="728"/>
      <c r="F21" s="728"/>
      <c r="G21" s="728"/>
      <c r="H21" s="728"/>
      <c r="I21" s="728"/>
      <c r="J21" s="438" cm="1">
        <f t="array" ref="J21">IF(J15=AC15,J18,angleConvert2Decimal(M21))</f>
        <v>18.916666666666668</v>
      </c>
      <c r="K21" s="527"/>
      <c r="L21" s="527"/>
      <c r="M21" s="624" t="s">
        <v>705</v>
      </c>
      <c r="N21" s="625"/>
      <c r="O21" s="625"/>
      <c r="P21" s="450" t="str" cm="1">
        <f t="array" ref="P21">angleDecimal2Txt(J21)</f>
        <v>+18°55.00 (+18.9166) [+18°55'00.00]</v>
      </c>
      <c r="Q21" s="450"/>
      <c r="R21" s="450"/>
      <c r="S21" s="450"/>
      <c r="T21" s="450"/>
      <c r="U21" s="450"/>
      <c r="V21" s="450"/>
      <c r="W21" s="450"/>
      <c r="X21" s="450"/>
      <c r="Y21" s="96"/>
    </row>
    <row r="22" spans="2:43" ht="18" customHeight="1" thickTop="1">
      <c r="C22" s="721" t="s">
        <v>37</v>
      </c>
      <c r="D22" s="721"/>
      <c r="E22" s="721"/>
      <c r="F22" s="721"/>
      <c r="G22" s="721"/>
      <c r="H22" s="721"/>
      <c r="I22" s="721"/>
      <c r="J22" s="722" t="str">
        <f>M22</f>
        <v>Lune</v>
      </c>
      <c r="K22" s="723"/>
      <c r="L22" s="724"/>
      <c r="M22" s="634" t="s">
        <v>40</v>
      </c>
      <c r="N22" s="635"/>
      <c r="O22" s="636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43" ht="18" customHeight="1">
      <c r="C23" s="721" t="s">
        <v>84</v>
      </c>
      <c r="D23" s="721"/>
      <c r="E23" s="721"/>
      <c r="F23" s="721"/>
      <c r="G23" s="721"/>
      <c r="H23" s="721"/>
      <c r="I23" s="721"/>
      <c r="J23" s="446" t="str">
        <f>M23</f>
        <v>BordSup</v>
      </c>
      <c r="K23" s="446"/>
      <c r="L23" s="446"/>
      <c r="M23" s="620" t="s">
        <v>345</v>
      </c>
      <c r="N23" s="620"/>
      <c r="O23" s="620"/>
      <c r="P23" s="96"/>
      <c r="Q23" s="96"/>
      <c r="R23" s="96"/>
      <c r="S23" s="96"/>
      <c r="T23" s="96"/>
      <c r="U23" s="96"/>
      <c r="V23" s="96"/>
      <c r="W23" s="96"/>
      <c r="X23" s="96"/>
      <c r="Y23" s="96"/>
      <c r="AH23" s="98"/>
    </row>
    <row r="24" spans="2:43" ht="17.25" customHeight="1">
      <c r="C24" s="729" t="s">
        <v>306</v>
      </c>
      <c r="D24" s="730"/>
      <c r="E24" s="109"/>
      <c r="F24" s="109"/>
      <c r="G24" s="109"/>
      <c r="H24" s="109"/>
      <c r="I24" s="110"/>
      <c r="J24" s="645" cm="1">
        <f t="array" ref="J24">angleConvert2Decimal(M24)</f>
        <v>0.90833333333333333</v>
      </c>
      <c r="K24" s="442"/>
      <c r="L24" s="443"/>
      <c r="M24" s="651" t="s">
        <v>551</v>
      </c>
      <c r="N24" s="652"/>
      <c r="O24" s="652"/>
      <c r="P24"/>
      <c r="Q24"/>
      <c r="R24"/>
      <c r="S24"/>
      <c r="T24"/>
      <c r="U24"/>
      <c r="V24"/>
      <c r="W24"/>
      <c r="X24"/>
      <c r="Y24" s="96"/>
      <c r="AH24" s="98"/>
    </row>
    <row r="25" spans="2:43" ht="17.25" customHeight="1">
      <c r="C25" s="111"/>
      <c r="D25" s="694" t="s">
        <v>307</v>
      </c>
      <c r="E25" s="694"/>
      <c r="F25" s="694"/>
      <c r="G25" s="694"/>
      <c r="H25" s="694"/>
      <c r="I25" s="695"/>
      <c r="J25" s="646"/>
      <c r="K25" s="503"/>
      <c r="L25" s="647"/>
      <c r="M25" s="653"/>
      <c r="N25" s="654"/>
      <c r="O25" s="654"/>
      <c r="P25"/>
      <c r="Q25"/>
      <c r="R25"/>
      <c r="S25"/>
      <c r="T25"/>
      <c r="U25"/>
      <c r="V25"/>
      <c r="W25"/>
      <c r="X25"/>
      <c r="Y25" s="96"/>
      <c r="AH25" s="98"/>
    </row>
    <row r="26" spans="2:43" ht="17.25" customHeight="1" thickBot="1">
      <c r="C26" s="111"/>
      <c r="D26" s="694"/>
      <c r="E26" s="694"/>
      <c r="F26" s="694"/>
      <c r="G26" s="694"/>
      <c r="H26" s="694"/>
      <c r="I26" s="695"/>
      <c r="J26" s="646"/>
      <c r="K26" s="503"/>
      <c r="L26" s="647"/>
      <c r="M26" s="653"/>
      <c r="N26" s="654"/>
      <c r="O26" s="654"/>
      <c r="P26"/>
      <c r="Q26"/>
      <c r="R26"/>
      <c r="S26"/>
      <c r="T26"/>
      <c r="U26"/>
      <c r="V26"/>
      <c r="W26"/>
      <c r="X26"/>
      <c r="Y26" s="96"/>
    </row>
    <row r="27" spans="2:43" ht="17.25" customHeight="1" thickTop="1" thickBot="1">
      <c r="C27" s="112"/>
      <c r="D27" s="696"/>
      <c r="E27" s="696"/>
      <c r="F27" s="696"/>
      <c r="G27" s="696"/>
      <c r="H27" s="696"/>
      <c r="I27" s="697"/>
      <c r="J27" s="648"/>
      <c r="K27" s="649"/>
      <c r="L27" s="650"/>
      <c r="M27" s="655"/>
      <c r="N27" s="656"/>
      <c r="O27" s="656"/>
      <c r="P27" s="623" t="str" cm="1">
        <f t="array" ref="P27">angleDecimal2Txt(J24)</f>
        <v>+00°54.50 (+00.9083) [+00°54'30.00]</v>
      </c>
      <c r="Q27" s="623"/>
      <c r="R27" s="623"/>
      <c r="S27" s="450"/>
      <c r="T27" s="450"/>
      <c r="U27" s="450"/>
      <c r="V27" s="450"/>
      <c r="W27" s="450"/>
      <c r="X27" s="450"/>
      <c r="Y27" s="96"/>
      <c r="AC27" s="153" t="s">
        <v>130</v>
      </c>
      <c r="AD27" s="154" t="s">
        <v>85</v>
      </c>
      <c r="AE27" s="154" t="s">
        <v>345</v>
      </c>
      <c r="AF27" s="154" t="s">
        <v>86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637" t="s">
        <v>134</v>
      </c>
      <c r="D28" s="638"/>
      <c r="E28" s="638"/>
      <c r="F28" s="638"/>
      <c r="G28" s="638"/>
      <c r="H28" s="638"/>
      <c r="I28" s="639"/>
      <c r="J28" s="645" cm="1">
        <f t="array" ref="J28">angleConvert2Decimal(M28)</f>
        <v>0.495</v>
      </c>
      <c r="K28" s="442"/>
      <c r="L28" s="443"/>
      <c r="M28" s="651">
        <f>P30</f>
        <v>0.495</v>
      </c>
      <c r="N28" s="652"/>
      <c r="O28" s="652"/>
      <c r="P28" s="657" t="s">
        <v>129</v>
      </c>
      <c r="Q28" s="657"/>
      <c r="R28" s="657"/>
      <c r="S28" s="96"/>
      <c r="T28" s="96"/>
      <c r="U28" s="96"/>
      <c r="V28" s="96"/>
      <c r="W28" s="96"/>
      <c r="X28" s="96"/>
      <c r="Y28" s="96"/>
      <c r="AC28" s="319" t="s">
        <v>346</v>
      </c>
      <c r="AD28" s="320">
        <v>0.5</v>
      </c>
      <c r="AE28" s="320">
        <v>-0.5</v>
      </c>
      <c r="AF28" s="320">
        <v>0</v>
      </c>
      <c r="AI28" t="s">
        <v>557</v>
      </c>
      <c r="AJ28">
        <f>J24*60</f>
        <v>54.5</v>
      </c>
      <c r="AK28" t="s">
        <v>582</v>
      </c>
      <c r="AM28">
        <f>INDEX($AC$30:$AO$32,3,$AL$27)</f>
        <v>0.49</v>
      </c>
      <c r="AN28">
        <f>INDEX($AC$30:$AO$32,3,1+$AL$27)</f>
        <v>0.5</v>
      </c>
      <c r="AP28" t="s">
        <v>583</v>
      </c>
      <c r="AQ28">
        <f>AJ28-AM27</f>
        <v>0.5</v>
      </c>
    </row>
    <row r="29" spans="2:43" ht="17.25" customHeight="1" thickBot="1">
      <c r="C29" s="640"/>
      <c r="D29" s="508"/>
      <c r="E29" s="508"/>
      <c r="F29" s="508"/>
      <c r="G29" s="508"/>
      <c r="H29" s="508"/>
      <c r="I29" s="641"/>
      <c r="J29" s="646"/>
      <c r="K29" s="503"/>
      <c r="L29" s="647"/>
      <c r="M29" s="653"/>
      <c r="N29" s="654"/>
      <c r="O29" s="654"/>
      <c r="P29" s="657"/>
      <c r="Q29" s="657"/>
      <c r="R29" s="657"/>
      <c r="S29" s="96"/>
      <c r="T29" s="96"/>
      <c r="U29" s="96"/>
      <c r="V29" s="96"/>
      <c r="W29" s="96"/>
      <c r="X29" s="96"/>
      <c r="Y29" s="96"/>
      <c r="AC29" s="414" t="s">
        <v>571</v>
      </c>
      <c r="AD29" s="414"/>
      <c r="AE29" s="414"/>
      <c r="AF29" s="414"/>
      <c r="AG29" s="414"/>
      <c r="AH29" s="414"/>
      <c r="AI29" s="414"/>
      <c r="AJ29" s="414"/>
      <c r="AK29" s="414"/>
      <c r="AL29" s="414"/>
      <c r="AM29" s="414"/>
      <c r="AN29" s="414"/>
      <c r="AO29" s="414"/>
      <c r="AP29" t="s">
        <v>584</v>
      </c>
      <c r="AQ29">
        <f>AN27-AM27</f>
        <v>1</v>
      </c>
    </row>
    <row r="30" spans="2:43" ht="17.25" customHeight="1" thickTop="1" thickBot="1">
      <c r="C30" s="640"/>
      <c r="D30" s="508"/>
      <c r="E30" s="508"/>
      <c r="F30" s="508"/>
      <c r="G30" s="508"/>
      <c r="H30" s="508"/>
      <c r="I30" s="641"/>
      <c r="J30" s="646"/>
      <c r="K30" s="503"/>
      <c r="L30" s="647"/>
      <c r="M30" s="653"/>
      <c r="N30" s="654"/>
      <c r="O30" s="654"/>
      <c r="P30" s="626">
        <f>AQ31</f>
        <v>0.495</v>
      </c>
      <c r="Q30" s="626"/>
      <c r="R30" s="626"/>
      <c r="S30" s="521" t="str">
        <f>angleDecimal2Txt(AQ31)</f>
        <v>+00°29.69 (+00.4950) [+00°29'42.00]</v>
      </c>
      <c r="T30" s="521"/>
      <c r="U30" s="521"/>
      <c r="V30" s="521"/>
      <c r="W30" s="521"/>
      <c r="X30" s="522"/>
      <c r="Y30" s="96"/>
      <c r="AC30" s="315">
        <v>54</v>
      </c>
      <c r="AD30" s="315">
        <v>55</v>
      </c>
      <c r="AE30" s="315">
        <v>55.5</v>
      </c>
      <c r="AF30" s="315">
        <v>56</v>
      </c>
      <c r="AG30" s="315">
        <v>56.5</v>
      </c>
      <c r="AH30" s="315">
        <v>57</v>
      </c>
      <c r="AI30" s="315">
        <v>57.5</v>
      </c>
      <c r="AJ30" s="315">
        <v>58</v>
      </c>
      <c r="AK30" s="315">
        <v>58.5</v>
      </c>
      <c r="AL30" s="315">
        <v>59</v>
      </c>
      <c r="AM30" s="315">
        <v>59.5</v>
      </c>
      <c r="AN30" s="315">
        <v>60</v>
      </c>
      <c r="AO30" s="315">
        <v>61</v>
      </c>
      <c r="AP30" t="s">
        <v>585</v>
      </c>
      <c r="AQ30">
        <f>AQ28/AQ29</f>
        <v>0.5</v>
      </c>
    </row>
    <row r="31" spans="2:43" ht="17.25" customHeight="1" thickTop="1" thickBot="1">
      <c r="C31" s="642"/>
      <c r="D31" s="643"/>
      <c r="E31" s="643"/>
      <c r="F31" s="643"/>
      <c r="G31" s="643"/>
      <c r="H31" s="643"/>
      <c r="I31" s="644"/>
      <c r="J31" s="648"/>
      <c r="K31" s="649"/>
      <c r="L31" s="650"/>
      <c r="M31" s="655"/>
      <c r="N31" s="656"/>
      <c r="O31" s="656"/>
      <c r="P31" s="623" t="str" cm="1">
        <f t="array" ref="P31">angleDecimal2Txt(J28)</f>
        <v>+00°29.69 (+00.4950) [+00°29'42.00]</v>
      </c>
      <c r="Q31" s="623"/>
      <c r="R31" s="623"/>
      <c r="S31" s="450"/>
      <c r="T31" s="450"/>
      <c r="U31" s="450"/>
      <c r="V31" s="450"/>
      <c r="W31" s="450"/>
      <c r="X31" s="450"/>
      <c r="Y31" s="96"/>
      <c r="AC31" s="321" t="s">
        <v>558</v>
      </c>
      <c r="AD31" s="321" t="s">
        <v>572</v>
      </c>
      <c r="AE31" s="321" t="s">
        <v>573</v>
      </c>
      <c r="AF31" s="321" t="s">
        <v>574</v>
      </c>
      <c r="AG31" s="321" t="s">
        <v>575</v>
      </c>
      <c r="AH31" s="321" t="s">
        <v>576</v>
      </c>
      <c r="AI31" s="321" t="s">
        <v>577</v>
      </c>
      <c r="AJ31" s="321" t="s">
        <v>578</v>
      </c>
      <c r="AK31" s="321" t="s">
        <v>579</v>
      </c>
      <c r="AL31" s="321" t="s">
        <v>566</v>
      </c>
      <c r="AM31" s="321" t="s">
        <v>580</v>
      </c>
      <c r="AN31" s="321" t="s">
        <v>581</v>
      </c>
      <c r="AO31" s="321" t="s">
        <v>559</v>
      </c>
      <c r="AP31" s="322" t="s">
        <v>586</v>
      </c>
      <c r="AQ31">
        <f>AM28+AQ30*(AN28-AM28)</f>
        <v>0.495</v>
      </c>
    </row>
    <row r="32" spans="2:43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AC32" s="315">
        <f>angleConvert2Decimal(AC31)</f>
        <v>0.49</v>
      </c>
      <c r="AD32" s="315">
        <f>angleConvert2Decimal(AD31)</f>
        <v>0.5</v>
      </c>
      <c r="AE32" s="315">
        <f>angleConvert2Decimal(AE31)</f>
        <v>0.505</v>
      </c>
      <c r="AF32" s="315">
        <f>angleConvert2Decimal(AF31)</f>
        <v>0.51</v>
      </c>
      <c r="AG32" s="315">
        <f>angleConvert2Decimal(AG31)</f>
        <v>0.51333333333333331</v>
      </c>
      <c r="AH32" s="315">
        <f t="shared" ref="AH32:AO32" si="0">angleConvert2Decimal(AH31)</f>
        <v>0.51833333333333331</v>
      </c>
      <c r="AI32" s="315">
        <f t="shared" si="0"/>
        <v>0.52333333333333332</v>
      </c>
      <c r="AJ32" s="315">
        <f t="shared" si="0"/>
        <v>0.52833333333333332</v>
      </c>
      <c r="AK32" s="315">
        <f t="shared" si="0"/>
        <v>0.53333333333333333</v>
      </c>
      <c r="AL32" s="315">
        <f t="shared" si="0"/>
        <v>0.53666666666666674</v>
      </c>
      <c r="AM32" s="315">
        <f t="shared" si="0"/>
        <v>0.54166666666666663</v>
      </c>
      <c r="AN32" s="315">
        <f t="shared" si="0"/>
        <v>0.54666666666666663</v>
      </c>
      <c r="AO32" s="315">
        <f t="shared" si="0"/>
        <v>0.55499999999999994</v>
      </c>
    </row>
    <row r="33" spans="1:66" ht="17.25" customHeight="1" thickBot="1">
      <c r="B33" s="107" t="s">
        <v>362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731" t="s">
        <v>7</v>
      </c>
      <c r="F34" s="731"/>
      <c r="G34" s="731"/>
      <c r="H34" s="731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731"/>
      <c r="F35" s="731"/>
      <c r="G35" s="731"/>
      <c r="H35" s="731"/>
      <c r="I35" s="96"/>
      <c r="J35" s="96" t="s">
        <v>225</v>
      </c>
      <c r="K35" s="96"/>
      <c r="L35" s="96" t="s">
        <v>226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725" t="s">
        <v>41</v>
      </c>
      <c r="B36" s="726"/>
      <c r="C36" s="727"/>
      <c r="D36" s="96"/>
      <c r="E36" s="96"/>
      <c r="F36" s="598">
        <f>AD37</f>
        <v>40</v>
      </c>
      <c r="G36" s="621"/>
      <c r="H36" s="621"/>
      <c r="I36" s="517" t="s">
        <v>3</v>
      </c>
      <c r="J36" s="519" t="s">
        <v>706</v>
      </c>
      <c r="K36" s="517"/>
      <c r="L36" s="517"/>
      <c r="M36" s="517"/>
      <c r="N36" s="517"/>
      <c r="O36" s="448" t="str" cm="1">
        <f t="array" ref="O36">angleDecimal2Txt(F36)</f>
        <v>+40°00.00 (+40.0000) [+40°00'00.00]</v>
      </c>
      <c r="P36" s="448"/>
      <c r="Q36" s="448"/>
      <c r="R36" s="448"/>
      <c r="S36" s="448"/>
      <c r="T36" s="448"/>
      <c r="U36" s="448"/>
      <c r="V36" s="448"/>
      <c r="W36" s="448"/>
      <c r="X36" s="448"/>
      <c r="Y36" s="96"/>
      <c r="Z36" s="96"/>
      <c r="AC36" s="6" t="s">
        <v>325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621"/>
      <c r="G37" s="621"/>
      <c r="H37" s="621"/>
      <c r="I37" s="517"/>
      <c r="J37" s="517"/>
      <c r="K37" s="517"/>
      <c r="L37" s="517"/>
      <c r="M37" s="517"/>
      <c r="N37" s="517"/>
      <c r="O37" s="448"/>
      <c r="P37" s="448"/>
      <c r="Q37" s="448"/>
      <c r="R37" s="448"/>
      <c r="S37" s="448"/>
      <c r="T37" s="448"/>
      <c r="U37" s="448"/>
      <c r="V37" s="448"/>
      <c r="W37" s="448"/>
      <c r="X37" s="448"/>
      <c r="Y37" s="96"/>
      <c r="Z37" s="96"/>
      <c r="AC37" s="6" t="s">
        <v>326</v>
      </c>
      <c r="AD37" s="6" cm="1">
        <f t="array" ref="AD37">angleConvert2Decimal(J36)*AD36</f>
        <v>40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622" t="s">
        <v>8</v>
      </c>
      <c r="F39" s="622"/>
      <c r="G39" s="622"/>
      <c r="H39" s="622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622"/>
      <c r="F40" s="622"/>
      <c r="G40" s="622"/>
      <c r="H40" s="622"/>
      <c r="I40" s="96"/>
      <c r="J40" s="96" t="s">
        <v>225</v>
      </c>
      <c r="K40" s="96"/>
      <c r="L40" s="96" t="s">
        <v>234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598">
        <f>AD42</f>
        <v>3.75</v>
      </c>
      <c r="G41" s="621"/>
      <c r="H41" s="621"/>
      <c r="I41" s="517" t="s">
        <v>5</v>
      </c>
      <c r="J41" s="519" t="s">
        <v>707</v>
      </c>
      <c r="K41" s="517"/>
      <c r="L41" s="517"/>
      <c r="M41" s="517"/>
      <c r="N41" s="517"/>
      <c r="O41" s="448" t="str" cm="1">
        <f t="array" ref="O41">angleDecimal2Txt(F41)</f>
        <v>+03°45.00 (+03.7500) [+03°45'00.00]</v>
      </c>
      <c r="P41" s="448"/>
      <c r="Q41" s="448"/>
      <c r="R41" s="448"/>
      <c r="S41" s="448"/>
      <c r="T41" s="448"/>
      <c r="U41" s="448"/>
      <c r="V41" s="448"/>
      <c r="W41" s="448"/>
      <c r="X41" s="448"/>
      <c r="Y41" s="96"/>
      <c r="Z41" s="96"/>
      <c r="AC41" s="6" t="s">
        <v>327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621"/>
      <c r="G42" s="621"/>
      <c r="H42" s="621"/>
      <c r="I42" s="517"/>
      <c r="J42" s="517"/>
      <c r="K42" s="517"/>
      <c r="L42" s="517"/>
      <c r="M42" s="517"/>
      <c r="N42" s="517"/>
      <c r="O42" s="448"/>
      <c r="P42" s="448"/>
      <c r="Q42" s="448"/>
      <c r="R42" s="448"/>
      <c r="S42" s="448"/>
      <c r="T42" s="448"/>
      <c r="U42" s="448"/>
      <c r="V42" s="448"/>
      <c r="W42" s="448"/>
      <c r="X42" s="448"/>
      <c r="Y42" s="96"/>
      <c r="Z42" s="96"/>
      <c r="AC42" s="6" t="s">
        <v>328</v>
      </c>
      <c r="AD42" s="6" cm="1">
        <f t="array" ref="AD42">angleConvert2Decimal(J41)*AD41</f>
        <v>3.75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510">
        <f>IF(G46=AD46,F50,F58)</f>
        <v>-16.989644444444444</v>
      </c>
      <c r="G45" s="510"/>
      <c r="H45" s="510"/>
      <c r="I45" s="108"/>
      <c r="J45" s="108"/>
      <c r="K45" s="108" t="str" cm="1">
        <f t="array" ref="K45">angleDecimal2Txt(F45)</f>
        <v>-16°59.37 (-16.9896) [-16°59'22.72]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508" t="s">
        <v>42</v>
      </c>
      <c r="D46" s="508"/>
      <c r="E46" s="508"/>
      <c r="F46" s="508"/>
      <c r="G46" s="512" t="s">
        <v>10</v>
      </c>
      <c r="H46" s="512"/>
      <c r="I46" s="512"/>
      <c r="AB46" s="149"/>
      <c r="AC46" s="706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706"/>
      <c r="AD47" s="152" t="s">
        <v>16</v>
      </c>
      <c r="AF47" s="98"/>
      <c r="AG47" s="98"/>
    </row>
    <row r="48" spans="1:66" ht="17.25" customHeight="1">
      <c r="F48" s="518" t="s">
        <v>9</v>
      </c>
      <c r="G48" s="518"/>
      <c r="H48" s="518"/>
      <c r="I48" s="518" t="s">
        <v>12</v>
      </c>
      <c r="J48" s="518"/>
      <c r="K48" s="518"/>
      <c r="L48" s="518"/>
      <c r="M48" s="511" t="s">
        <v>13</v>
      </c>
      <c r="N48" s="511"/>
      <c r="O48" s="511"/>
      <c r="P48" s="520" t="s">
        <v>17</v>
      </c>
      <c r="Q48" s="520"/>
      <c r="R48" s="520"/>
      <c r="S48" s="520"/>
      <c r="T48" s="520"/>
      <c r="U48" s="96"/>
      <c r="AD48" s="157" t="s">
        <v>101</v>
      </c>
      <c r="AE48" s="6" t="s">
        <v>337</v>
      </c>
    </row>
    <row r="49" spans="1:35" ht="17.25" customHeight="1" thickBot="1">
      <c r="F49" s="518"/>
      <c r="G49" s="518"/>
      <c r="H49" s="518"/>
      <c r="I49" s="518"/>
      <c r="J49" s="518"/>
      <c r="K49" s="518"/>
      <c r="L49" s="518"/>
      <c r="M49" s="511"/>
      <c r="N49" s="511"/>
      <c r="O49" s="511"/>
      <c r="P49" s="520"/>
      <c r="Q49" s="520"/>
      <c r="R49" s="520"/>
      <c r="S49" s="520"/>
      <c r="T49" s="520"/>
      <c r="U49" s="96"/>
      <c r="AC49" s="6" t="s">
        <v>329</v>
      </c>
      <c r="AD49" s="6">
        <f>VLOOKUP(P50,$A$38:$C$39,3)</f>
        <v>-1</v>
      </c>
      <c r="AE49" s="6" cm="1">
        <f t="array" ref="AE49">AD49*angleConvert2Decimal(Q50)</f>
        <v>-17.04</v>
      </c>
    </row>
    <row r="50" spans="1:35" ht="17.25" customHeight="1" thickTop="1" thickBot="1">
      <c r="E50" s="98"/>
      <c r="F50" s="597">
        <f>IF(G46=AD47,"---",AD54)</f>
        <v>-16.989644444444444</v>
      </c>
      <c r="G50" s="597"/>
      <c r="H50" s="597"/>
      <c r="I50" s="468">
        <f>E11</f>
        <v>8.3147222222222226</v>
      </c>
      <c r="J50" s="468"/>
      <c r="K50" s="468"/>
      <c r="L50" s="468"/>
      <c r="M50" s="700">
        <v>8</v>
      </c>
      <c r="N50" s="516"/>
      <c r="O50" s="516"/>
      <c r="P50" s="516" t="s">
        <v>4</v>
      </c>
      <c r="Q50" s="627" t="s">
        <v>552</v>
      </c>
      <c r="R50" s="698"/>
      <c r="S50" s="698"/>
      <c r="T50" s="698"/>
      <c r="U50" s="448" t="str" cm="1">
        <f t="array" ref="U50">angleDecimal2Txt(AE49)</f>
        <v>-17°02.39 (-17.0399) [-17°02'24.00]</v>
      </c>
      <c r="V50" s="619"/>
      <c r="W50" s="619"/>
      <c r="X50" s="619"/>
      <c r="Y50" s="619"/>
      <c r="AC50" s="6" t="s">
        <v>330</v>
      </c>
      <c r="AD50" s="6">
        <f>VLOOKUP(P52,$A$38:$C$39,3)</f>
        <v>-1</v>
      </c>
      <c r="AE50" s="6" cm="1">
        <f t="array" ref="AE50">AD50*angleConvert2Decimal(Q52)</f>
        <v>-16.88</v>
      </c>
    </row>
    <row r="51" spans="1:35" ht="17.25" customHeight="1" thickTop="1" thickBot="1">
      <c r="F51" s="598"/>
      <c r="G51" s="598"/>
      <c r="H51" s="598"/>
      <c r="I51" s="468"/>
      <c r="J51" s="468"/>
      <c r="K51" s="468"/>
      <c r="L51" s="468"/>
      <c r="M51" s="701"/>
      <c r="N51" s="517"/>
      <c r="O51" s="517"/>
      <c r="P51" s="517"/>
      <c r="Q51" s="699"/>
      <c r="R51" s="699"/>
      <c r="S51" s="699"/>
      <c r="T51" s="699"/>
      <c r="U51" s="619"/>
      <c r="V51" s="619"/>
      <c r="W51" s="619"/>
      <c r="X51" s="619"/>
      <c r="Y51" s="619"/>
      <c r="AC51" s="6" t="s">
        <v>45</v>
      </c>
      <c r="AD51" s="8">
        <f>AE50-AE49</f>
        <v>0.16000000000000014</v>
      </c>
    </row>
    <row r="52" spans="1:35" ht="17.25" customHeight="1" thickTop="1" thickBot="1">
      <c r="F52" s="598"/>
      <c r="G52" s="598"/>
      <c r="H52" s="598"/>
      <c r="I52" s="468"/>
      <c r="J52" s="468"/>
      <c r="K52" s="468"/>
      <c r="L52" s="468"/>
      <c r="M52" s="701">
        <v>9</v>
      </c>
      <c r="N52" s="517"/>
      <c r="O52" s="517"/>
      <c r="P52" s="517" t="s">
        <v>4</v>
      </c>
      <c r="Q52" s="705" t="s">
        <v>553</v>
      </c>
      <c r="R52" s="699"/>
      <c r="S52" s="699"/>
      <c r="T52" s="699"/>
      <c r="U52" s="448" t="str" cm="1">
        <f t="array" ref="U52">angleDecimal2Txt((AE50))</f>
        <v>-16°52.79 (-16.8799) [-16°52'48.00]</v>
      </c>
      <c r="V52" s="619"/>
      <c r="W52" s="619"/>
      <c r="X52" s="619"/>
      <c r="Y52" s="619"/>
      <c r="AC52" s="6" t="s">
        <v>331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598"/>
      <c r="G53" s="598"/>
      <c r="H53" s="598"/>
      <c r="I53" s="468"/>
      <c r="J53" s="468"/>
      <c r="K53" s="468"/>
      <c r="L53" s="468"/>
      <c r="M53" s="701"/>
      <c r="N53" s="517"/>
      <c r="O53" s="517"/>
      <c r="P53" s="517"/>
      <c r="Q53" s="699"/>
      <c r="R53" s="699"/>
      <c r="S53" s="699"/>
      <c r="T53" s="699"/>
      <c r="U53" s="619"/>
      <c r="V53" s="619"/>
      <c r="W53" s="619"/>
      <c r="X53" s="619"/>
      <c r="Y53" s="619"/>
      <c r="AC53" s="6" t="s">
        <v>46</v>
      </c>
      <c r="AD53" s="8">
        <f>I50-M50</f>
        <v>0.31472222222222257</v>
      </c>
      <c r="AI53" s="41"/>
    </row>
    <row r="54" spans="1:35" ht="17.25" customHeight="1" thickTop="1" thickBot="1">
      <c r="F54" s="450" t="str" cm="1">
        <f t="array" ref="F54">angleDecimal2Txt(F50)</f>
        <v>-16°59.37 (-16.9896) [-16°59'22.72]</v>
      </c>
      <c r="G54" s="450"/>
      <c r="H54" s="450"/>
      <c r="I54" s="623"/>
      <c r="J54" s="623"/>
      <c r="K54" s="623"/>
      <c r="AA54" s="96"/>
      <c r="AC54" s="6" t="s">
        <v>44</v>
      </c>
      <c r="AD54" s="6">
        <f>AE49+(AD51/AD52)*AD53</f>
        <v>-16.989644444444444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518" t="s">
        <v>9</v>
      </c>
      <c r="G56" s="518"/>
      <c r="H56" s="518"/>
      <c r="I56" s="518" t="s">
        <v>12</v>
      </c>
      <c r="J56" s="518"/>
      <c r="K56" s="518"/>
      <c r="L56" s="518"/>
      <c r="M56" s="511" t="s">
        <v>13</v>
      </c>
      <c r="N56" s="511"/>
      <c r="O56" s="511"/>
      <c r="P56" s="520" t="s">
        <v>18</v>
      </c>
      <c r="Q56" s="520"/>
      <c r="R56" s="520"/>
      <c r="S56" s="520"/>
      <c r="T56" s="520"/>
      <c r="U56" s="520" t="s">
        <v>227</v>
      </c>
      <c r="V56" s="520"/>
      <c r="W56" s="520"/>
      <c r="X56" s="520"/>
      <c r="Y56" s="520"/>
      <c r="AA56" s="96"/>
      <c r="AC56" s="6" t="s">
        <v>332</v>
      </c>
      <c r="AD56" s="6">
        <f>VLOOKUP(P58,$A$38:$C$39,3)</f>
        <v>-1</v>
      </c>
    </row>
    <row r="57" spans="1:35" ht="17.25" customHeight="1">
      <c r="F57" s="518"/>
      <c r="G57" s="518"/>
      <c r="H57" s="518"/>
      <c r="I57" s="518"/>
      <c r="J57" s="518"/>
      <c r="K57" s="518"/>
      <c r="L57" s="518"/>
      <c r="M57" s="511"/>
      <c r="N57" s="511"/>
      <c r="O57" s="511"/>
      <c r="P57" s="520"/>
      <c r="Q57" s="520"/>
      <c r="R57" s="520"/>
      <c r="S57" s="520"/>
      <c r="T57" s="520"/>
      <c r="U57" s="520"/>
      <c r="V57" s="520"/>
      <c r="W57" s="520"/>
      <c r="X57" s="520"/>
      <c r="Y57" s="520"/>
      <c r="Z57" s="96"/>
      <c r="AA57" s="96"/>
      <c r="AC57" s="6" t="s">
        <v>333</v>
      </c>
      <c r="AD57" s="6" cm="1">
        <f t="array" ref="AD57">angleConvert2Decimal(Q58)*AD56</f>
        <v>-12.24</v>
      </c>
    </row>
    <row r="58" spans="1:35" ht="17.25" customHeight="1">
      <c r="E58" s="98"/>
      <c r="F58" s="597" t="str">
        <f>IF(G46=AD47,AD60,"---")</f>
        <v>---</v>
      </c>
      <c r="G58" s="597"/>
      <c r="H58" s="597"/>
      <c r="I58" s="468">
        <f>E11</f>
        <v>8.3147222222222226</v>
      </c>
      <c r="J58" s="468"/>
      <c r="K58" s="468"/>
      <c r="L58" s="468"/>
      <c r="M58" s="700">
        <v>0</v>
      </c>
      <c r="N58" s="516"/>
      <c r="O58" s="516"/>
      <c r="P58" s="516" t="s">
        <v>4</v>
      </c>
      <c r="Q58" s="711" t="s">
        <v>221</v>
      </c>
      <c r="R58" s="516"/>
      <c r="S58" s="516"/>
      <c r="T58" s="516"/>
      <c r="U58" s="516" t="s">
        <v>3</v>
      </c>
      <c r="V58" s="711" t="s">
        <v>170</v>
      </c>
      <c r="W58" s="516"/>
      <c r="X58" s="516"/>
      <c r="Y58" s="516"/>
      <c r="Z58" s="96"/>
      <c r="AC58" s="6" t="s">
        <v>334</v>
      </c>
      <c r="AD58" s="6">
        <f>VLOOKUP(U58,$A$38:$C$39,3)</f>
        <v>1</v>
      </c>
    </row>
    <row r="59" spans="1:35" ht="17.25" customHeight="1" collapsed="1" thickBot="1">
      <c r="F59" s="598"/>
      <c r="G59" s="598"/>
      <c r="H59" s="598"/>
      <c r="I59" s="468"/>
      <c r="J59" s="468"/>
      <c r="K59" s="468"/>
      <c r="L59" s="468"/>
      <c r="M59" s="701"/>
      <c r="N59" s="517"/>
      <c r="O59" s="517"/>
      <c r="P59" s="517"/>
      <c r="Q59" s="517"/>
      <c r="R59" s="517"/>
      <c r="S59" s="517"/>
      <c r="T59" s="517"/>
      <c r="U59" s="517"/>
      <c r="V59" s="517"/>
      <c r="W59" s="517"/>
      <c r="X59" s="517"/>
      <c r="Y59" s="517"/>
      <c r="Z59" s="96"/>
      <c r="AC59" s="6" t="s">
        <v>335</v>
      </c>
      <c r="AD59" s="6" cm="1">
        <f t="array" ref="AD59">angleConvert2Decimal(V58)*AD58</f>
        <v>1.6E-2</v>
      </c>
    </row>
    <row r="60" spans="1:35" ht="17.25" customHeight="1" thickTop="1" thickBot="1">
      <c r="F60" s="450" t="e" cm="1">
        <f t="array" ref="F60">angleDecimal2Txt(F58)</f>
        <v>#VALUE!</v>
      </c>
      <c r="G60" s="450"/>
      <c r="H60" s="450"/>
      <c r="I60" s="623"/>
      <c r="J60" s="623"/>
      <c r="K60" s="623"/>
      <c r="P60" s="450" t="str" cm="1">
        <f t="array" ref="P60">angleDecimal2Txt(AD57)</f>
        <v>-12°14.40 (-12.2400) [-12°14'24.00]</v>
      </c>
      <c r="Q60" s="450"/>
      <c r="R60" s="450"/>
      <c r="S60" s="450"/>
      <c r="T60" s="450"/>
      <c r="U60" s="450" t="str" cm="1">
        <f t="array" ref="U60">angleDecimal2Txt(AD59)</f>
        <v>+00°00.96 (+00.0160) [+00°00'57.60]</v>
      </c>
      <c r="V60" s="630"/>
      <c r="W60" s="630"/>
      <c r="X60" s="630"/>
      <c r="Y60" s="630"/>
      <c r="AC60" s="6" t="s">
        <v>336</v>
      </c>
      <c r="AD60" s="6">
        <f>AD57+AD59*(I58-M58)</f>
        <v>-12.106964444444445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689</v>
      </c>
      <c r="C63" s="108"/>
      <c r="D63" s="108"/>
      <c r="E63" s="108"/>
      <c r="F63" s="510">
        <f>IF(G64=AD64,F68,F76)</f>
        <v>40.252541666666673</v>
      </c>
      <c r="G63" s="510"/>
      <c r="H63" s="510"/>
      <c r="I63" s="108"/>
      <c r="J63" s="108"/>
      <c r="K63" s="108"/>
      <c r="L63" s="507">
        <f>IF(F63&gt;360,F63-360,F63)</f>
        <v>40.252541666666673</v>
      </c>
      <c r="M63" s="507"/>
      <c r="N63" s="108" t="s">
        <v>34</v>
      </c>
      <c r="O63" s="108"/>
      <c r="P63" s="108"/>
      <c r="Q63" s="108" t="str">
        <f>angleDecimal2Txt(L63)</f>
        <v>+40°15.15 (+40.2525) [+40°15'09.15]</v>
      </c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508" t="s">
        <v>42</v>
      </c>
      <c r="D64" s="508"/>
      <c r="E64" s="508"/>
      <c r="F64" s="509"/>
      <c r="G64" s="666" t="s">
        <v>10</v>
      </c>
      <c r="H64" s="667"/>
      <c r="I64" s="668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706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706"/>
      <c r="AD65" s="152" t="s">
        <v>16</v>
      </c>
    </row>
    <row r="66" spans="3:32" ht="17.25" customHeight="1">
      <c r="F66" s="477" t="s">
        <v>9</v>
      </c>
      <c r="G66" s="478"/>
      <c r="H66" s="479"/>
      <c r="I66" s="477" t="s">
        <v>12</v>
      </c>
      <c r="J66" s="478"/>
      <c r="K66" s="478"/>
      <c r="L66" s="479"/>
      <c r="M66" s="483" t="s">
        <v>13</v>
      </c>
      <c r="N66" s="484"/>
      <c r="O66" s="485"/>
      <c r="P66" s="469" t="s">
        <v>17</v>
      </c>
      <c r="Q66" s="470"/>
      <c r="R66" s="470"/>
      <c r="S66" s="470"/>
      <c r="T66" s="471"/>
      <c r="U66" s="96"/>
      <c r="AD66" s="157" t="s">
        <v>101</v>
      </c>
      <c r="AE66" s="6" t="s">
        <v>337</v>
      </c>
    </row>
    <row r="67" spans="3:32" ht="17.25" customHeight="1" thickBot="1">
      <c r="F67" s="480"/>
      <c r="G67" s="481"/>
      <c r="H67" s="482"/>
      <c r="I67" s="480"/>
      <c r="J67" s="481"/>
      <c r="K67" s="481"/>
      <c r="L67" s="482"/>
      <c r="M67" s="486"/>
      <c r="N67" s="487"/>
      <c r="O67" s="488"/>
      <c r="P67" s="472"/>
      <c r="Q67" s="473"/>
      <c r="R67" s="473"/>
      <c r="S67" s="473"/>
      <c r="T67" s="474"/>
      <c r="U67" s="96"/>
      <c r="Z67"/>
      <c r="AC67" s="6" t="s">
        <v>329</v>
      </c>
      <c r="AD67" s="6">
        <f>VLOOKUP(P68,$B$38:$C$39,2)</f>
        <v>1</v>
      </c>
      <c r="AE67" s="6" cm="1">
        <f t="array" ref="AE67">AD67*angleConvert2Decimal(Q68)</f>
        <v>35.673333333333332</v>
      </c>
    </row>
    <row r="68" spans="3:32" ht="17.25" customHeight="1" thickTop="1" thickBot="1">
      <c r="E68" s="98"/>
      <c r="F68" s="597">
        <f>IF(G64=AD65,"---",AF72)</f>
        <v>40.252541666666673</v>
      </c>
      <c r="G68" s="597"/>
      <c r="H68" s="597"/>
      <c r="I68" s="468">
        <f>E11</f>
        <v>8.3147222222222226</v>
      </c>
      <c r="J68" s="468"/>
      <c r="K68" s="468"/>
      <c r="L68" s="468"/>
      <c r="M68" s="593">
        <v>8</v>
      </c>
      <c r="N68" s="594"/>
      <c r="O68" s="594"/>
      <c r="P68" s="468" t="s">
        <v>5</v>
      </c>
      <c r="Q68" s="669" t="s">
        <v>554</v>
      </c>
      <c r="R68" s="669"/>
      <c r="S68" s="669"/>
      <c r="T68" s="670"/>
      <c r="U68" s="448" t="str" cm="1">
        <f t="array" ref="U68">angleDecimal2Txt(AE67)</f>
        <v>+35°40.39 (+35.6733) [+35°40'24.00]</v>
      </c>
      <c r="V68" s="619"/>
      <c r="W68" s="619"/>
      <c r="X68" s="619"/>
      <c r="Y68" s="619"/>
      <c r="Z68"/>
      <c r="AC68" s="6" t="s">
        <v>330</v>
      </c>
      <c r="AD68" s="6">
        <f>VLOOKUP(P70,$B$38:$C$39,2)</f>
        <v>1</v>
      </c>
      <c r="AE68" s="6" cm="1">
        <f t="array" ref="AE68">AD68*angleConvert2Decimal(Q70)</f>
        <v>50.223333333333336</v>
      </c>
    </row>
    <row r="69" spans="3:32" ht="17.25" customHeight="1" thickTop="1" thickBot="1">
      <c r="F69" s="598"/>
      <c r="G69" s="598"/>
      <c r="H69" s="598"/>
      <c r="I69" s="468"/>
      <c r="J69" s="468"/>
      <c r="K69" s="468"/>
      <c r="L69" s="468"/>
      <c r="M69" s="595"/>
      <c r="N69" s="596"/>
      <c r="O69" s="596"/>
      <c r="P69" s="468"/>
      <c r="Q69" s="671"/>
      <c r="R69" s="671"/>
      <c r="S69" s="671"/>
      <c r="T69" s="672"/>
      <c r="U69" s="619"/>
      <c r="V69" s="619"/>
      <c r="W69" s="619"/>
      <c r="X69" s="619"/>
      <c r="Y69" s="619"/>
      <c r="Z69"/>
      <c r="AC69" s="6" t="s">
        <v>45</v>
      </c>
      <c r="AD69" s="8">
        <f>AE68-AE67</f>
        <v>14.550000000000004</v>
      </c>
    </row>
    <row r="70" spans="3:32" ht="17.25" customHeight="1" thickTop="1" thickBot="1">
      <c r="F70" s="598"/>
      <c r="G70" s="598"/>
      <c r="H70" s="598"/>
      <c r="I70" s="468"/>
      <c r="J70" s="468"/>
      <c r="K70" s="468"/>
      <c r="L70" s="468"/>
      <c r="M70" s="664">
        <v>9</v>
      </c>
      <c r="N70" s="665"/>
      <c r="O70" s="665"/>
      <c r="P70" s="468" t="s">
        <v>5</v>
      </c>
      <c r="Q70" s="673" t="s">
        <v>555</v>
      </c>
      <c r="R70" s="673"/>
      <c r="S70" s="673"/>
      <c r="T70" s="674"/>
      <c r="U70" s="448" t="str" cm="1">
        <f t="array" ref="U70">angleDecimal2Txt((AE68))</f>
        <v>+50°13.40 (+50.2233) [+50°13'24.00]</v>
      </c>
      <c r="V70" s="619"/>
      <c r="W70" s="619"/>
      <c r="X70" s="619"/>
      <c r="Y70" s="619"/>
      <c r="Z70"/>
      <c r="AC70" s="6" t="s">
        <v>331</v>
      </c>
      <c r="AD70" s="8">
        <f>M70-M68</f>
        <v>1</v>
      </c>
      <c r="AE70" s="98"/>
    </row>
    <row r="71" spans="3:32" ht="17.25" customHeight="1" thickTop="1" thickBot="1">
      <c r="F71" s="598"/>
      <c r="G71" s="598"/>
      <c r="H71" s="598"/>
      <c r="I71" s="468"/>
      <c r="J71" s="468"/>
      <c r="K71" s="468"/>
      <c r="L71" s="468"/>
      <c r="M71" s="595"/>
      <c r="N71" s="596"/>
      <c r="O71" s="596"/>
      <c r="P71" s="468"/>
      <c r="Q71" s="671"/>
      <c r="R71" s="671"/>
      <c r="S71" s="671"/>
      <c r="T71" s="672"/>
      <c r="U71" s="619"/>
      <c r="V71" s="619"/>
      <c r="W71" s="619"/>
      <c r="X71" s="619"/>
      <c r="Y71" s="619"/>
      <c r="Z71"/>
      <c r="AC71" s="6" t="s">
        <v>46</v>
      </c>
      <c r="AD71" s="8">
        <f>I68-M68</f>
        <v>0.31472222222222257</v>
      </c>
    </row>
    <row r="72" spans="3:32" ht="17.25" customHeight="1" thickTop="1" thickBot="1">
      <c r="F72" s="421">
        <f>AC73</f>
        <v>0</v>
      </c>
      <c r="G72" s="422"/>
      <c r="H72" s="422"/>
      <c r="I72" s="692"/>
      <c r="J72" s="692"/>
      <c r="K72" s="693"/>
      <c r="Q72" s="190"/>
      <c r="Z72"/>
      <c r="AA72" s="96"/>
      <c r="AC72" s="6" t="s">
        <v>505</v>
      </c>
      <c r="AD72" s="6">
        <f>IF(AF72&gt;360,AF72-360,AF72)</f>
        <v>40.252541666666673</v>
      </c>
      <c r="AE72" s="6" t="s">
        <v>44</v>
      </c>
      <c r="AF72" s="6">
        <f>(AE67+(AD69/AD70)*AD71)</f>
        <v>40.252541666666673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77" t="s">
        <v>9</v>
      </c>
      <c r="G74" s="478"/>
      <c r="H74" s="479"/>
      <c r="I74" s="477" t="s">
        <v>12</v>
      </c>
      <c r="J74" s="478"/>
      <c r="K74" s="478"/>
      <c r="L74" s="479"/>
      <c r="M74" s="483" t="s">
        <v>13</v>
      </c>
      <c r="N74" s="484"/>
      <c r="O74" s="485"/>
      <c r="P74" s="469" t="s">
        <v>18</v>
      </c>
      <c r="Q74" s="470"/>
      <c r="R74" s="470"/>
      <c r="S74" s="470"/>
      <c r="T74" s="471"/>
      <c r="U74" s="469" t="s">
        <v>126</v>
      </c>
      <c r="V74" s="470"/>
      <c r="W74" s="470"/>
      <c r="X74" s="470"/>
      <c r="Y74" s="471"/>
      <c r="AA74" s="96"/>
      <c r="AC74" s="6" t="s">
        <v>332</v>
      </c>
      <c r="AD74" s="6">
        <f>VLOOKUP(P76,$B$38:$C$39,2)</f>
        <v>1</v>
      </c>
    </row>
    <row r="75" spans="3:32" ht="17.25" customHeight="1" collapsed="1">
      <c r="F75" s="480"/>
      <c r="G75" s="481"/>
      <c r="H75" s="482"/>
      <c r="I75" s="480"/>
      <c r="J75" s="481"/>
      <c r="K75" s="481"/>
      <c r="L75" s="482"/>
      <c r="M75" s="486"/>
      <c r="N75" s="487"/>
      <c r="O75" s="488"/>
      <c r="P75" s="472"/>
      <c r="Q75" s="473"/>
      <c r="R75" s="473"/>
      <c r="S75" s="473"/>
      <c r="T75" s="474"/>
      <c r="U75" s="472"/>
      <c r="V75" s="475"/>
      <c r="W75" s="475"/>
      <c r="X75" s="475"/>
      <c r="Y75" s="476"/>
      <c r="Z75" s="96"/>
      <c r="AA75" s="96"/>
      <c r="AC75" s="6" t="s">
        <v>333</v>
      </c>
      <c r="AD75" s="6" cm="1">
        <f t="array" ref="AD75">angleConvert2Decimal(Q76)*AD74</f>
        <v>176.49</v>
      </c>
    </row>
    <row r="76" spans="3:32" ht="17.25" customHeight="1">
      <c r="E76" s="98"/>
      <c r="F76" s="597" t="str">
        <f>IF(G64=AD65,AF78,"---")</f>
        <v>---</v>
      </c>
      <c r="G76" s="597"/>
      <c r="H76" s="597"/>
      <c r="I76" s="588">
        <f>E11</f>
        <v>8.3147222222222226</v>
      </c>
      <c r="J76" s="589"/>
      <c r="K76" s="589"/>
      <c r="L76" s="590"/>
      <c r="M76" s="593">
        <v>0</v>
      </c>
      <c r="N76" s="594"/>
      <c r="O76" s="594"/>
      <c r="P76" s="468" t="s">
        <v>5</v>
      </c>
      <c r="Q76" s="709" t="s">
        <v>222</v>
      </c>
      <c r="R76" s="709"/>
      <c r="S76" s="709"/>
      <c r="T76" s="709"/>
      <c r="U76" s="468" t="s">
        <v>5</v>
      </c>
      <c r="V76" s="468" t="s">
        <v>171</v>
      </c>
      <c r="W76" s="468"/>
      <c r="X76" s="468"/>
      <c r="Y76" s="468"/>
      <c r="Z76" s="96"/>
      <c r="AC76" s="6" t="s">
        <v>334</v>
      </c>
      <c r="AD76" s="6">
        <f>VLOOKUP(U76,$B$38:$C$39,2)</f>
        <v>1</v>
      </c>
    </row>
    <row r="77" spans="3:32" ht="17.25" customHeight="1" thickBot="1">
      <c r="F77" s="598"/>
      <c r="G77" s="598"/>
      <c r="H77" s="598"/>
      <c r="I77" s="526"/>
      <c r="J77" s="591"/>
      <c r="K77" s="591"/>
      <c r="L77" s="592"/>
      <c r="M77" s="595"/>
      <c r="N77" s="596"/>
      <c r="O77" s="596"/>
      <c r="P77" s="468"/>
      <c r="Q77" s="710"/>
      <c r="R77" s="710"/>
      <c r="S77" s="710"/>
      <c r="T77" s="710"/>
      <c r="U77" s="468"/>
      <c r="V77" s="468"/>
      <c r="W77" s="468"/>
      <c r="X77" s="468"/>
      <c r="Y77" s="468"/>
      <c r="Z77" s="96"/>
      <c r="AC77" s="6" t="s">
        <v>335</v>
      </c>
      <c r="AD77" s="6" cm="1">
        <f t="array" ref="AD77">angleConvert2Decimal(V76)*AD76</f>
        <v>15.002000000000001</v>
      </c>
    </row>
    <row r="78" spans="3:32" ht="17.25" customHeight="1" thickTop="1" thickBot="1">
      <c r="F78" s="450" t="e" cm="1">
        <f t="array" ref="F78">angleDecimal2Txt(F76)</f>
        <v>#VALUE!</v>
      </c>
      <c r="G78" s="450"/>
      <c r="H78" s="450"/>
      <c r="I78" s="450"/>
      <c r="J78" s="450"/>
      <c r="K78" s="450"/>
      <c r="P78" s="623" t="str" cm="1">
        <f t="array" ref="P78">angleDecimal2Txt(AD75)</f>
        <v>+176°29.39 (+176.4900) [+176°29'24.00]</v>
      </c>
      <c r="Q78" s="450"/>
      <c r="R78" s="450"/>
      <c r="S78" s="450"/>
      <c r="T78" s="450"/>
      <c r="U78" s="623" t="str" cm="1">
        <f t="array" ref="U78">angleDecimal2Txt(AD77)</f>
        <v>+15°00.12 (+15.0020) [+15°00'07.20]</v>
      </c>
      <c r="V78" s="712"/>
      <c r="W78" s="712"/>
      <c r="X78" s="712"/>
      <c r="Y78" s="712"/>
      <c r="AC78" s="6" t="s">
        <v>505</v>
      </c>
      <c r="AD78" s="6">
        <f>IF(AF78&gt;360,AF78-360,AF78)</f>
        <v>301.22746277777782</v>
      </c>
      <c r="AE78" s="6" t="s">
        <v>44</v>
      </c>
      <c r="AF78" s="6">
        <f>MOD(AD75+AD77*(I76-M76),360)</f>
        <v>301.22746277777782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510">
        <f>I83</f>
        <v>44.002541666666673</v>
      </c>
      <c r="G82" s="510"/>
      <c r="H82" s="510"/>
      <c r="I82" s="108"/>
      <c r="J82" s="628" t="s">
        <v>83</v>
      </c>
      <c r="K82" s="628"/>
      <c r="L82" s="628"/>
      <c r="M82" s="600" t="str">
        <f>J22</f>
        <v>Lune</v>
      </c>
      <c r="N82" s="600"/>
      <c r="O82" s="600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707" t="s">
        <v>23</v>
      </c>
      <c r="D83" s="707"/>
      <c r="E83" s="707"/>
      <c r="F83" s="707"/>
      <c r="G83" s="707"/>
      <c r="H83" s="708"/>
      <c r="I83" s="702">
        <f>AD84</f>
        <v>44.002541666666673</v>
      </c>
      <c r="J83" s="703"/>
      <c r="K83" s="703"/>
      <c r="L83" s="704"/>
      <c r="M83" s="118" t="s">
        <v>53</v>
      </c>
      <c r="N83" s="576">
        <f>AD83</f>
        <v>44.002541666666673</v>
      </c>
      <c r="O83" s="576"/>
      <c r="P83" s="576"/>
      <c r="Q83" s="576"/>
      <c r="AC83" s="6" t="s">
        <v>338</v>
      </c>
      <c r="AD83" s="8">
        <f>F63+F41</f>
        <v>44.002541666666673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630">
        <f>AC85</f>
        <v>0</v>
      </c>
      <c r="J84" s="630"/>
      <c r="K84" s="630"/>
      <c r="L84" s="630"/>
      <c r="M84" s="630"/>
      <c r="N84" s="630"/>
      <c r="AB84" s="150"/>
      <c r="AC84" s="6" t="s">
        <v>339</v>
      </c>
      <c r="AD84" s="8">
        <f>IF(AD83&gt;360,AD83-360,AD83)</f>
        <v>44.002541666666673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675" t="s">
        <v>100</v>
      </c>
      <c r="E86" s="679"/>
      <c r="F86" s="510">
        <f>IF(G87=AD87,O126,O116)</f>
        <v>19.389482410477992</v>
      </c>
      <c r="G86" s="510"/>
      <c r="H86" s="510"/>
      <c r="I86" s="108" t="str">
        <f>angleDecimal2Txt(F86,0)</f>
        <v>+19°23.36</v>
      </c>
      <c r="J86" s="108"/>
      <c r="K86" s="108"/>
      <c r="L86" s="108" t="s">
        <v>88</v>
      </c>
      <c r="M86" s="675">
        <f>O89</f>
        <v>18.916666666666668</v>
      </c>
      <c r="N86" s="675"/>
      <c r="O86" s="108"/>
      <c r="P86" s="144"/>
      <c r="Q86" s="108" t="s">
        <v>127</v>
      </c>
      <c r="R86" s="108"/>
      <c r="S86" s="714">
        <f>-O103+O98+O107</f>
        <v>0.56425220118885888</v>
      </c>
      <c r="T86" s="715"/>
      <c r="U86" s="716"/>
      <c r="V86" s="717" t="str" cm="1">
        <f t="array" ref="V86">angleDecimal2Txt(S86)</f>
        <v>+00°33.85 (+00.5642) [+00°33'51.30]</v>
      </c>
      <c r="W86" s="717"/>
      <c r="X86" s="717"/>
      <c r="Y86" s="717"/>
      <c r="Z86" s="717"/>
      <c r="AA86" s="108"/>
      <c r="AB86" s="148"/>
    </row>
    <row r="87" spans="1:66" ht="17.25" customHeight="1">
      <c r="C87" s="508" t="s">
        <v>42</v>
      </c>
      <c r="D87" s="508"/>
      <c r="E87" s="508"/>
      <c r="F87" s="508"/>
      <c r="G87" s="629" t="s">
        <v>59</v>
      </c>
      <c r="H87" s="629"/>
      <c r="I87" s="629"/>
      <c r="P87" s="98" t="s">
        <v>97</v>
      </c>
      <c r="V87" s="96"/>
      <c r="W87" s="96"/>
      <c r="X87" s="96"/>
      <c r="Y87" s="96"/>
      <c r="Z87" s="96"/>
      <c r="AC87" s="706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581" t="s">
        <v>90</v>
      </c>
      <c r="G88" s="581"/>
      <c r="H88" s="631"/>
      <c r="I88" s="631"/>
      <c r="J88" s="713">
        <f>IF(G87=AD87,"---",O116)</f>
        <v>19.389482410477992</v>
      </c>
      <c r="K88" s="713"/>
      <c r="L88" s="713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706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558" t="s">
        <v>55</v>
      </c>
      <c r="I89" s="558"/>
      <c r="J89" s="558"/>
      <c r="K89" s="558"/>
      <c r="L89" s="558"/>
      <c r="M89" s="558"/>
      <c r="N89" s="558"/>
      <c r="O89" s="437">
        <f>J21</f>
        <v>18.916666666666668</v>
      </c>
      <c r="P89" s="437"/>
      <c r="Q89" s="437"/>
      <c r="R89" s="437"/>
      <c r="S89" s="98" t="s">
        <v>71</v>
      </c>
      <c r="U89" s="450" t="str" cm="1">
        <f t="array" ref="U89">angleDecimal2Txt(O89)</f>
        <v>+18°55.00 (+18.9166) [+18°55'00.00]</v>
      </c>
      <c r="V89" s="450"/>
      <c r="W89" s="450"/>
      <c r="X89" s="450"/>
      <c r="Y89" s="450"/>
      <c r="Z89" s="450"/>
    </row>
    <row r="90" spans="1:66" ht="17.25" customHeight="1" thickTop="1" thickBot="1">
      <c r="C90" s="98"/>
      <c r="D90" s="98"/>
      <c r="E90" s="98"/>
      <c r="F90" s="98"/>
      <c r="G90" s="98"/>
      <c r="H90" s="558" t="s">
        <v>26</v>
      </c>
      <c r="I90" s="558"/>
      <c r="J90" s="558"/>
      <c r="K90" s="558"/>
      <c r="L90" s="558"/>
      <c r="M90" s="558"/>
      <c r="N90" s="558"/>
      <c r="O90" s="437">
        <f>J20</f>
        <v>0.05</v>
      </c>
      <c r="P90" s="437"/>
      <c r="Q90" s="437"/>
      <c r="R90" s="437"/>
      <c r="S90" s="98" t="s">
        <v>71</v>
      </c>
      <c r="U90" s="450" t="str" cm="1">
        <f t="array" ref="U90">angleDecimal2Txt(O90)</f>
        <v>+00°03.00 (+00.0500) [+00°03'00.00]</v>
      </c>
      <c r="V90" s="450"/>
      <c r="W90" s="450"/>
      <c r="X90" s="450"/>
      <c r="Y90" s="450"/>
      <c r="Z90" s="450"/>
      <c r="AC90" s="6" t="s">
        <v>87</v>
      </c>
      <c r="AD90" s="8">
        <f>O90</f>
        <v>0.05</v>
      </c>
    </row>
    <row r="91" spans="1:66" ht="17.25" customHeight="1" thickTop="1" thickBot="1">
      <c r="G91" s="98"/>
      <c r="H91" s="587" t="s">
        <v>96</v>
      </c>
      <c r="I91" s="587"/>
      <c r="J91" s="587"/>
      <c r="K91" s="587"/>
      <c r="L91" s="587"/>
      <c r="M91" s="587"/>
      <c r="N91" s="587"/>
      <c r="O91" s="446">
        <f>AD92</f>
        <v>4.1436457377531689E-2</v>
      </c>
      <c r="P91" s="446"/>
      <c r="Q91" s="446"/>
      <c r="R91" s="446"/>
      <c r="S91" s="98" t="s">
        <v>71</v>
      </c>
      <c r="U91" s="450" t="str" cm="1">
        <f t="array" ref="U91">angleDecimal2Txt(O91)</f>
        <v>+00°02.48 (+00.0414) [+00°02'29.17]</v>
      </c>
      <c r="V91" s="450"/>
      <c r="W91" s="450"/>
      <c r="X91" s="450"/>
      <c r="Y91" s="450"/>
      <c r="Z91" s="450"/>
      <c r="AC91" s="6" t="s">
        <v>54</v>
      </c>
      <c r="AD91" s="6">
        <f>J19</f>
        <v>2</v>
      </c>
    </row>
    <row r="92" spans="1:66" ht="17.25" customHeight="1" thickTop="1" thickBot="1">
      <c r="K92" s="96"/>
      <c r="L92" s="96"/>
      <c r="M92" s="685" t="s">
        <v>175</v>
      </c>
      <c r="N92" s="685"/>
      <c r="O92" s="685"/>
      <c r="P92" s="685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4.1436457377531689E-2</v>
      </c>
    </row>
    <row r="93" spans="1:66" ht="17.25" customHeight="1" thickTop="1" thickBot="1">
      <c r="G93" s="98"/>
      <c r="H93" s="454" t="s">
        <v>56</v>
      </c>
      <c r="I93" s="454"/>
      <c r="J93" s="454"/>
      <c r="K93" s="454"/>
      <c r="L93" s="454"/>
      <c r="M93" s="454"/>
      <c r="N93" s="454"/>
      <c r="O93" s="599">
        <f>O89-O90-O91</f>
        <v>18.825230209289135</v>
      </c>
      <c r="P93" s="580"/>
      <c r="Q93" s="98" t="s">
        <v>71</v>
      </c>
      <c r="R93" s="605">
        <f>O93*Outils!F10</f>
        <v>0.32856224959799663</v>
      </c>
      <c r="S93" s="605"/>
      <c r="T93" s="119" t="s">
        <v>92</v>
      </c>
      <c r="U93" s="450" t="str" cm="1">
        <f t="array" ref="U93">angleDecimal2Txt(O93)</f>
        <v>+18°49.51 (+18.8252) [+18°49'30.82]</v>
      </c>
      <c r="V93" s="450"/>
      <c r="W93" s="450"/>
      <c r="X93" s="450"/>
      <c r="Y93" s="450"/>
      <c r="Z93" s="450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601" t="s">
        <v>89</v>
      </c>
      <c r="N95" s="601"/>
      <c r="O95" s="601"/>
      <c r="P95" s="601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602" t="s">
        <v>235</v>
      </c>
      <c r="N96" s="602"/>
      <c r="O96" s="601"/>
      <c r="P96" s="601"/>
    </row>
    <row r="97" spans="1:32" ht="17.25" customHeight="1" thickTop="1" thickBot="1">
      <c r="A97" s="96"/>
      <c r="B97" s="96"/>
      <c r="C97" s="96"/>
      <c r="D97" s="96"/>
      <c r="E97" s="96"/>
      <c r="F97" s="98"/>
      <c r="G97" s="98"/>
      <c r="H97" s="446" t="s">
        <v>60</v>
      </c>
      <c r="I97" s="446"/>
      <c r="J97" s="446"/>
      <c r="K97" s="446"/>
      <c r="L97" s="446"/>
      <c r="M97" s="446"/>
      <c r="N97" s="446"/>
      <c r="O97" s="603">
        <f>J24</f>
        <v>0.90833333333333333</v>
      </c>
      <c r="P97" s="604"/>
      <c r="Q97" s="604"/>
      <c r="R97" s="604"/>
      <c r="S97" s="98" t="s">
        <v>71</v>
      </c>
      <c r="U97" s="450" t="str" cm="1">
        <f t="array" ref="U97">angleDecimal2Txt(O97)</f>
        <v>+00°54.50 (+00.9083) [+00°54'30.00]</v>
      </c>
      <c r="V97" s="450"/>
      <c r="W97" s="450"/>
      <c r="X97" s="450"/>
      <c r="Y97" s="450"/>
      <c r="Z97" s="450"/>
      <c r="AC97" s="6" t="s">
        <v>556</v>
      </c>
      <c r="AD97" s="6">
        <f>ASIN(SIN(O97*Outils!F10)*COS(R93))*Outils!F11</f>
        <v>0.8597403430148185</v>
      </c>
      <c r="AF97">
        <f>ASIN(SIN(O97*Outils!F10)*COS(R93))*Outils!F11</f>
        <v>0.8597403430148185</v>
      </c>
    </row>
    <row r="98" spans="1:32" ht="17.25" customHeight="1" thickTop="1" thickBot="1">
      <c r="A98" s="96"/>
      <c r="B98" s="96"/>
      <c r="C98" s="96"/>
      <c r="D98" s="96"/>
      <c r="E98" s="96"/>
      <c r="F98" s="98"/>
      <c r="G98" s="98"/>
      <c r="H98" s="568" t="s">
        <v>236</v>
      </c>
      <c r="I98" s="569"/>
      <c r="J98" s="569"/>
      <c r="K98" s="569"/>
      <c r="L98" s="569"/>
      <c r="M98" s="569"/>
      <c r="N98" s="570"/>
      <c r="O98" s="438">
        <f>AF97</f>
        <v>0.8597403430148185</v>
      </c>
      <c r="P98" s="438"/>
      <c r="Q98" s="438"/>
      <c r="R98" s="438"/>
      <c r="S98" s="98" t="s">
        <v>71</v>
      </c>
      <c r="U98" s="450" t="str" cm="1">
        <f t="array" ref="U98">angleDecimal2Txt(O98)</f>
        <v>+00°51.58 (+00.8597) [+00°51'35.06]</v>
      </c>
      <c r="V98" s="450"/>
      <c r="W98" s="450"/>
      <c r="X98" s="450"/>
      <c r="Y98" s="450"/>
      <c r="Z98" s="450"/>
    </row>
    <row r="99" spans="1:32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2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54" t="s">
        <v>191</v>
      </c>
      <c r="T100" s="555"/>
      <c r="U100" s="556"/>
      <c r="Y100" s="96"/>
      <c r="Z100" s="96"/>
      <c r="AC100" s="6" t="s">
        <v>57</v>
      </c>
      <c r="AD100" s="6" t="s">
        <v>342</v>
      </c>
    </row>
    <row r="101" spans="1:32" ht="17.25" customHeight="1">
      <c r="A101" s="96"/>
      <c r="B101" s="96"/>
      <c r="C101" s="96"/>
      <c r="D101" s="96"/>
      <c r="F101" s="98"/>
      <c r="G101" s="98"/>
      <c r="H101" s="446" t="s">
        <v>93</v>
      </c>
      <c r="I101" s="446"/>
      <c r="J101" s="446"/>
      <c r="K101" s="446"/>
      <c r="L101" s="446"/>
      <c r="M101" s="446"/>
      <c r="N101" s="446"/>
      <c r="O101" s="571">
        <f>S101</f>
        <v>10</v>
      </c>
      <c r="P101" s="572"/>
      <c r="Q101" s="572"/>
      <c r="R101" s="572"/>
      <c r="S101" s="682">
        <v>10</v>
      </c>
      <c r="T101" s="683"/>
      <c r="U101" s="684"/>
      <c r="Y101" s="96"/>
      <c r="Z101" s="96"/>
      <c r="AC101" s="6" t="s">
        <v>343</v>
      </c>
      <c r="AD101" s="6">
        <f>1/TAN((O93 + 7.31 / (O93 + 4.4)) * Outils!F10)</f>
        <v>2.8813247814879501</v>
      </c>
    </row>
    <row r="102" spans="1:32" ht="17.25" customHeight="1" thickBot="1">
      <c r="A102" s="96"/>
      <c r="B102" s="96"/>
      <c r="C102" s="96"/>
      <c r="D102" s="96"/>
      <c r="E102" s="96"/>
      <c r="F102" s="98"/>
      <c r="G102" s="98"/>
      <c r="H102" s="446" t="s">
        <v>94</v>
      </c>
      <c r="I102" s="446"/>
      <c r="J102" s="446"/>
      <c r="K102" s="446"/>
      <c r="L102" s="446"/>
      <c r="M102" s="446"/>
      <c r="N102" s="446"/>
      <c r="O102" s="571">
        <f>S102</f>
        <v>1010</v>
      </c>
      <c r="P102" s="572"/>
      <c r="Q102" s="572"/>
      <c r="R102" s="572"/>
      <c r="S102" s="682">
        <v>1010</v>
      </c>
      <c r="T102" s="683"/>
      <c r="U102" s="684"/>
      <c r="Y102" s="96"/>
      <c r="Z102" s="96"/>
      <c r="AC102" s="6" t="s">
        <v>344</v>
      </c>
      <c r="AD102" s="6">
        <f>AD101/60</f>
        <v>4.8022079691465838E-2</v>
      </c>
    </row>
    <row r="103" spans="1:32" ht="17.25" customHeight="1" thickTop="1" thickBot="1">
      <c r="A103" s="96"/>
      <c r="B103" s="96"/>
      <c r="C103" s="96"/>
      <c r="D103" s="96"/>
      <c r="E103" s="96"/>
      <c r="F103" s="98"/>
      <c r="G103" s="98"/>
      <c r="H103" s="568" t="s">
        <v>237</v>
      </c>
      <c r="I103" s="569"/>
      <c r="J103" s="569"/>
      <c r="K103" s="569"/>
      <c r="L103" s="569"/>
      <c r="M103" s="569"/>
      <c r="N103" s="570"/>
      <c r="O103" s="438">
        <f>AD104</f>
        <v>4.7988141825959507E-2</v>
      </c>
      <c r="P103" s="438"/>
      <c r="Q103" s="438"/>
      <c r="R103" s="438"/>
      <c r="S103" s="98" t="s">
        <v>71</v>
      </c>
      <c r="U103" s="450" t="str" cm="1">
        <f t="array" ref="U103">angleDecimal2Txt(O103)</f>
        <v>+00°02.87 (+00.0479) [+00°02'52.75]</v>
      </c>
      <c r="V103" s="450"/>
      <c r="W103" s="450"/>
      <c r="X103" s="450"/>
      <c r="Y103" s="450"/>
      <c r="Z103" s="450"/>
      <c r="AC103" s="6" t="s">
        <v>128</v>
      </c>
      <c r="AD103" s="6">
        <f xml:space="preserve"> 0.28 * O102 / (273 + O101)</f>
        <v>0.99929328621908131</v>
      </c>
    </row>
    <row r="104" spans="1:32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341</v>
      </c>
      <c r="AD104" s="6">
        <f>AD103*AD102</f>
        <v>4.7988141825959507E-2</v>
      </c>
    </row>
    <row r="105" spans="1:32" ht="17.25" customHeight="1">
      <c r="A105" s="96"/>
      <c r="B105" s="96"/>
      <c r="C105" s="96"/>
      <c r="D105" s="96"/>
      <c r="E105" s="96"/>
      <c r="F105" s="98"/>
      <c r="G105" s="98"/>
      <c r="H105" s="446" t="s">
        <v>134</v>
      </c>
      <c r="I105" s="446"/>
      <c r="J105" s="446"/>
      <c r="K105" s="446"/>
      <c r="L105" s="446"/>
      <c r="M105" s="446"/>
      <c r="N105" s="446"/>
      <c r="O105" s="557">
        <f>J28</f>
        <v>0.495</v>
      </c>
      <c r="P105" s="557"/>
      <c r="Q105" s="557"/>
      <c r="R105" s="557"/>
    </row>
    <row r="106" spans="1:32" ht="17.25" customHeight="1" thickBot="1">
      <c r="B106" s="96"/>
      <c r="C106" s="96"/>
      <c r="D106" s="96"/>
      <c r="H106" s="446" t="s">
        <v>98</v>
      </c>
      <c r="I106" s="446"/>
      <c r="J106" s="446"/>
      <c r="K106" s="446"/>
      <c r="L106" s="446"/>
      <c r="M106" s="446"/>
      <c r="N106" s="446"/>
      <c r="O106" s="557" t="str">
        <f>J23</f>
        <v>BordSup</v>
      </c>
      <c r="P106" s="557"/>
      <c r="Q106" s="557"/>
      <c r="R106" s="557"/>
      <c r="AC106" s="6" t="s">
        <v>37</v>
      </c>
      <c r="AD106" s="419" t="str">
        <f>J22</f>
        <v>Lune</v>
      </c>
      <c r="AE106" s="419"/>
    </row>
    <row r="107" spans="1:32" ht="17.25" customHeight="1" thickTop="1" thickBot="1">
      <c r="H107" s="573" t="s">
        <v>99</v>
      </c>
      <c r="I107" s="574"/>
      <c r="J107" s="574"/>
      <c r="K107" s="574"/>
      <c r="L107" s="574"/>
      <c r="M107" s="574"/>
      <c r="N107" s="575"/>
      <c r="O107" s="576">
        <f>AD110</f>
        <v>-0.2475</v>
      </c>
      <c r="P107" s="576"/>
      <c r="Q107" s="576"/>
      <c r="R107" s="576"/>
      <c r="S107" s="98" t="s">
        <v>71</v>
      </c>
      <c r="U107" s="450" t="str" cm="1">
        <f t="array" ref="U107">angleDecimal2Txt(O107)</f>
        <v>-00°14.84 (-00.2475) [-00°14'51.00]</v>
      </c>
      <c r="V107" s="450"/>
      <c r="W107" s="450"/>
      <c r="X107" s="450"/>
      <c r="Y107" s="450"/>
      <c r="Z107" s="450"/>
      <c r="AC107" s="6" t="s">
        <v>348</v>
      </c>
      <c r="AD107" s="419" t="str">
        <f>O106</f>
        <v>BordSup</v>
      </c>
      <c r="AE107" s="419"/>
    </row>
    <row r="108" spans="1:32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349</v>
      </c>
      <c r="AD108" s="678">
        <f>HLOOKUP(AD107,AD27:AF28,2)</f>
        <v>-0.5</v>
      </c>
      <c r="AE108" s="678"/>
    </row>
    <row r="109" spans="1:32" ht="17.25" customHeight="1">
      <c r="G109" s="584" t="s">
        <v>167</v>
      </c>
      <c r="H109" s="585"/>
      <c r="I109" s="585"/>
      <c r="J109" s="585"/>
      <c r="K109" s="585"/>
      <c r="L109" s="585"/>
      <c r="M109" s="585"/>
      <c r="N109" s="585"/>
      <c r="O109" s="585"/>
      <c r="P109" s="585"/>
      <c r="Q109" s="585"/>
      <c r="R109" s="585"/>
      <c r="S109" s="586"/>
      <c r="T109" s="96"/>
      <c r="U109" s="96"/>
      <c r="V109" s="96"/>
      <c r="W109" s="96"/>
      <c r="X109" s="96"/>
      <c r="Y109" s="96"/>
      <c r="Z109" s="96"/>
      <c r="AC109" s="6" t="s">
        <v>134</v>
      </c>
      <c r="AD109" s="8">
        <f>J28</f>
        <v>0.495</v>
      </c>
      <c r="AE109" s="6" cm="1">
        <f t="array" ref="AE109">angleConvert2Decimal(AD109)</f>
        <v>0.495</v>
      </c>
    </row>
    <row r="110" spans="1:32" ht="17.25" customHeight="1">
      <c r="G110" s="588" t="s">
        <v>180</v>
      </c>
      <c r="H110" s="590"/>
      <c r="I110" s="606" t="s">
        <v>172</v>
      </c>
      <c r="J110" s="607"/>
      <c r="K110" s="607"/>
      <c r="L110" s="607"/>
      <c r="M110" s="607"/>
      <c r="N110" s="608"/>
      <c r="O110" s="559">
        <f>(O98-O103-O91+O105/2) * 60</f>
        <v>61.068944628679638</v>
      </c>
      <c r="P110" s="560"/>
      <c r="Q110" s="560"/>
      <c r="R110" s="560"/>
      <c r="S110" s="563" t="s">
        <v>168</v>
      </c>
      <c r="T110" s="96"/>
      <c r="U110" s="96"/>
      <c r="V110" s="96"/>
      <c r="W110" s="96"/>
      <c r="X110" s="96"/>
      <c r="Y110" s="96"/>
      <c r="Z110" s="96"/>
      <c r="AC110" s="6" t="s">
        <v>349</v>
      </c>
      <c r="AD110" s="678">
        <f>AE109*AD108</f>
        <v>-0.2475</v>
      </c>
      <c r="AE110" s="678"/>
    </row>
    <row r="111" spans="1:32" ht="17.25" customHeight="1">
      <c r="G111" s="686"/>
      <c r="H111" s="687"/>
      <c r="I111" s="609" t="s">
        <v>176</v>
      </c>
      <c r="J111" s="610"/>
      <c r="K111" s="610"/>
      <c r="L111" s="610"/>
      <c r="M111" s="610"/>
      <c r="N111" s="611"/>
      <c r="O111" s="561"/>
      <c r="P111" s="562"/>
      <c r="Q111" s="562"/>
      <c r="R111" s="562"/>
      <c r="S111" s="564"/>
      <c r="T111" s="96"/>
      <c r="U111" s="96"/>
      <c r="V111" s="96"/>
      <c r="W111" s="96"/>
      <c r="X111" s="96"/>
      <c r="Y111" s="96"/>
      <c r="Z111" s="96"/>
    </row>
    <row r="112" spans="1:32" ht="17.25" customHeight="1">
      <c r="H112" s="96"/>
      <c r="I112" s="606" t="s">
        <v>173</v>
      </c>
      <c r="J112" s="607"/>
      <c r="K112" s="607"/>
      <c r="L112" s="607"/>
      <c r="M112" s="607"/>
      <c r="N112" s="608"/>
      <c r="O112" s="560">
        <f>(O98-O103+O105/2)*60</f>
        <v>63.555132071331542</v>
      </c>
      <c r="P112" s="560"/>
      <c r="Q112" s="560"/>
      <c r="R112" s="560"/>
      <c r="S112" s="563" t="s">
        <v>168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65" t="s">
        <v>174</v>
      </c>
      <c r="J113" s="566"/>
      <c r="K113" s="566"/>
      <c r="L113" s="566"/>
      <c r="M113" s="566"/>
      <c r="N113" s="567"/>
      <c r="O113" s="562"/>
      <c r="P113" s="562"/>
      <c r="Q113" s="562"/>
      <c r="R113" s="562"/>
      <c r="S113" s="564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455" t="s">
        <v>99</v>
      </c>
      <c r="J114" s="455"/>
      <c r="K114" s="455"/>
      <c r="L114" s="455"/>
      <c r="M114" s="455"/>
      <c r="N114" s="455"/>
      <c r="O114" s="531">
        <f>O107*60</f>
        <v>-14.85</v>
      </c>
      <c r="P114" s="532"/>
      <c r="Q114" s="532"/>
      <c r="R114" s="532"/>
      <c r="S114" s="159" t="s">
        <v>168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577" t="s">
        <v>238</v>
      </c>
      <c r="I116" s="578"/>
      <c r="J116" s="578"/>
      <c r="K116" s="578"/>
      <c r="L116" s="578"/>
      <c r="M116" s="578"/>
      <c r="N116" s="579"/>
      <c r="O116" s="580">
        <f>O93-O103+O98+O107</f>
        <v>19.389482410477992</v>
      </c>
      <c r="P116" s="438"/>
      <c r="Q116" s="438"/>
      <c r="R116" s="438"/>
      <c r="S116" s="98" t="s">
        <v>71</v>
      </c>
      <c r="U116" s="450" t="str" cm="1">
        <f t="array" ref="U116">angleDecimal2Txt(O116)</f>
        <v>+19°23.36 (+19.3894) [+19°23'22.13]</v>
      </c>
      <c r="V116" s="450"/>
      <c r="W116" s="450"/>
      <c r="X116" s="450"/>
      <c r="Y116" s="450"/>
      <c r="Z116" s="450"/>
    </row>
    <row r="117" spans="2:28" ht="17.25" customHeight="1" thickTop="1"/>
    <row r="118" spans="2:28" ht="17.25" customHeight="1">
      <c r="F118" s="581" t="s">
        <v>91</v>
      </c>
      <c r="G118" s="581"/>
      <c r="H118" s="581"/>
      <c r="I118" s="581"/>
      <c r="J118" s="438" t="str">
        <f>IF(G87=AD87,O126,"---")</f>
        <v>---</v>
      </c>
      <c r="K118" s="438"/>
      <c r="L118" s="438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551" t="s">
        <v>40</v>
      </c>
      <c r="V120" s="551"/>
    </row>
    <row r="121" spans="2:28" ht="17.25" customHeight="1">
      <c r="T121" s="237" t="s">
        <v>108</v>
      </c>
      <c r="U121" s="551" t="s">
        <v>110</v>
      </c>
      <c r="V121" s="551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553" t="s">
        <v>105</v>
      </c>
      <c r="L122" s="98" t="s">
        <v>87</v>
      </c>
      <c r="N122" s="553" t="s">
        <v>107</v>
      </c>
      <c r="O122" s="122" t="s">
        <v>439</v>
      </c>
      <c r="Q122" s="553" t="s">
        <v>107</v>
      </c>
      <c r="R122" s="98" t="s">
        <v>440</v>
      </c>
      <c r="T122" s="235" t="s">
        <v>109</v>
      </c>
      <c r="U122" s="552" t="s">
        <v>111</v>
      </c>
      <c r="V122" s="552"/>
      <c r="Z122"/>
      <c r="AA122"/>
    </row>
    <row r="123" spans="2:28" ht="17.25" customHeight="1" thickBot="1">
      <c r="I123" s="122"/>
      <c r="J123" s="124">
        <f>O89</f>
        <v>18.916666666666668</v>
      </c>
      <c r="K123" s="553"/>
      <c r="L123" s="533">
        <f>O90</f>
        <v>0.05</v>
      </c>
      <c r="M123" s="534"/>
      <c r="N123" s="553"/>
      <c r="O123" s="537" t="s">
        <v>242</v>
      </c>
      <c r="P123" s="538"/>
      <c r="Q123" s="553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438</v>
      </c>
      <c r="L124" s="535" cm="1">
        <f t="array" ref="L124">angleConvert2Decimal(L123)</f>
        <v>0.05</v>
      </c>
      <c r="M124" s="536"/>
      <c r="O124" s="676" cm="1">
        <f t="array" ref="O124">angleConvert2Decimal(O123)</f>
        <v>0.17166666666666669</v>
      </c>
      <c r="P124" s="677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421" t="str" cm="1">
        <f t="array" ref="W124">angleDecimal2Txt(V124)</f>
        <v>-00°21.69 (-00.3616) [-00°21'42.00]</v>
      </c>
      <c r="X124" s="422"/>
      <c r="Y124" s="422"/>
      <c r="Z124" s="422"/>
      <c r="AA124" s="423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577" t="s">
        <v>241</v>
      </c>
      <c r="I126" s="578"/>
      <c r="J126" s="578"/>
      <c r="K126" s="578"/>
      <c r="L126" s="578"/>
      <c r="M126" s="578"/>
      <c r="N126" s="579"/>
      <c r="O126" s="580">
        <f>J123-L124+O124+R124</f>
        <v>18.504999999999999</v>
      </c>
      <c r="P126" s="438"/>
      <c r="Q126" s="438"/>
      <c r="R126" s="438"/>
      <c r="S126" s="98" t="s">
        <v>71</v>
      </c>
      <c r="U126" s="450" t="str" cm="1">
        <f t="array" ref="U126">angleDecimal2Txt(O126)</f>
        <v>+18°30.30 (+18.5049) [+18°30'18.00]</v>
      </c>
      <c r="V126" s="450"/>
      <c r="W126" s="450"/>
      <c r="X126" s="450"/>
      <c r="Y126" s="450"/>
      <c r="Z126" s="450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548" t="s">
        <v>113</v>
      </c>
      <c r="P129" s="548"/>
      <c r="Q129" s="548"/>
      <c r="R129" s="548"/>
      <c r="S129" s="548"/>
      <c r="T129" s="548"/>
      <c r="U129" s="548"/>
      <c r="V129" s="548"/>
      <c r="W129" s="548"/>
      <c r="X129" s="548"/>
      <c r="Y129" s="548"/>
      <c r="Z129" s="548"/>
      <c r="AA129" s="548"/>
    </row>
    <row r="130" spans="1:31" ht="17.25" customHeight="1">
      <c r="C130" s="96"/>
      <c r="D130" s="96"/>
      <c r="E130" s="539" t="s">
        <v>24</v>
      </c>
      <c r="F130" s="540"/>
      <c r="G130" s="540"/>
      <c r="H130" s="540"/>
      <c r="I130" s="449">
        <f>AD132</f>
        <v>19.82527160332306</v>
      </c>
      <c r="J130" s="449"/>
      <c r="K130" s="449"/>
      <c r="L130" s="449"/>
      <c r="M130" s="449"/>
      <c r="O130" s="437" t="s">
        <v>114</v>
      </c>
      <c r="P130" s="437"/>
      <c r="Q130" s="437">
        <f>F45</f>
        <v>-16.989644444444444</v>
      </c>
      <c r="R130" s="437"/>
      <c r="S130" s="437"/>
      <c r="T130" s="526" t="s">
        <v>71</v>
      </c>
      <c r="U130" s="462">
        <f>Q130*Outils!$F$10</f>
        <v>-0.29652523429871841</v>
      </c>
      <c r="V130" s="463"/>
      <c r="W130" s="524"/>
      <c r="X130" s="526" t="s">
        <v>92</v>
      </c>
      <c r="AC130" s="6" t="s">
        <v>350</v>
      </c>
      <c r="AD130" s="6">
        <f>SIN(U130)*SIN(U131)+COS(U130)*COS(U131)*COS(U132)</f>
        <v>0.3391528840891907</v>
      </c>
      <c r="AE130" s="6"/>
    </row>
    <row r="131" spans="1:31" ht="17.25" customHeight="1" thickBot="1">
      <c r="C131" s="96"/>
      <c r="D131" s="96"/>
      <c r="E131" s="542"/>
      <c r="F131" s="543"/>
      <c r="G131" s="543"/>
      <c r="H131" s="543"/>
      <c r="I131" s="449"/>
      <c r="J131" s="449"/>
      <c r="K131" s="449"/>
      <c r="L131" s="449"/>
      <c r="M131" s="449"/>
      <c r="N131" s="130" t="s">
        <v>181</v>
      </c>
      <c r="O131" s="437" t="s">
        <v>115</v>
      </c>
      <c r="P131" s="437"/>
      <c r="Q131" s="437">
        <f>F36</f>
        <v>40</v>
      </c>
      <c r="R131" s="437"/>
      <c r="S131" s="437"/>
      <c r="T131" s="526"/>
      <c r="U131" s="462">
        <f>Q131*Outils!$F$10</f>
        <v>0.69813170079773179</v>
      </c>
      <c r="V131" s="463"/>
      <c r="W131" s="524"/>
      <c r="X131" s="526"/>
      <c r="AC131" s="6" t="s">
        <v>351</v>
      </c>
      <c r="AD131" s="6">
        <f>ASIN(AD130)</f>
        <v>0.34601626458012258</v>
      </c>
      <c r="AE131" s="6" t="s">
        <v>92</v>
      </c>
    </row>
    <row r="132" spans="1:31" ht="17.25" customHeight="1" thickTop="1" thickBot="1">
      <c r="C132" s="96"/>
      <c r="D132" s="96"/>
      <c r="E132" s="545"/>
      <c r="F132" s="546"/>
      <c r="G132" s="546"/>
      <c r="H132" s="546"/>
      <c r="I132" s="450" t="str" cm="1">
        <f t="array" ref="I132">angleDecimal2Txt(I130)</f>
        <v>+19°49.51 (+19.8252) [+19°49'30.97]</v>
      </c>
      <c r="J132" s="450"/>
      <c r="K132" s="450"/>
      <c r="L132" s="450"/>
      <c r="M132" s="450"/>
      <c r="O132" s="437" t="s">
        <v>51</v>
      </c>
      <c r="P132" s="437"/>
      <c r="Q132" s="437">
        <f>F82</f>
        <v>44.002541666666673</v>
      </c>
      <c r="R132" s="437"/>
      <c r="S132" s="437"/>
      <c r="T132" s="526"/>
      <c r="U132" s="462">
        <f>Q132*Outils!$F$10</f>
        <v>0.76798923132932662</v>
      </c>
      <c r="V132" s="463"/>
      <c r="W132" s="524"/>
      <c r="X132" s="526"/>
      <c r="AC132" s="6"/>
      <c r="AD132" s="6">
        <f>AD131*Outils!F11</f>
        <v>19.82527160332306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539" t="s">
        <v>31</v>
      </c>
      <c r="F134" s="540"/>
      <c r="G134" s="540"/>
      <c r="H134" s="540"/>
      <c r="I134" s="449">
        <f>F86</f>
        <v>19.389482410477992</v>
      </c>
      <c r="J134" s="449"/>
      <c r="K134" s="449"/>
      <c r="L134" s="449"/>
      <c r="M134" s="449"/>
    </row>
    <row r="135" spans="1:31" ht="17.25" customHeight="1" thickBot="1">
      <c r="C135" s="96"/>
      <c r="D135" s="96"/>
      <c r="E135" s="542"/>
      <c r="F135" s="543"/>
      <c r="G135" s="543"/>
      <c r="H135" s="543"/>
      <c r="I135" s="449"/>
      <c r="J135" s="449"/>
      <c r="K135" s="449"/>
      <c r="L135" s="449"/>
      <c r="M135" s="449"/>
      <c r="O135" s="417" t="s">
        <v>33</v>
      </c>
      <c r="P135" s="418"/>
      <c r="Q135" s="418"/>
      <c r="R135" s="418"/>
      <c r="S135" s="525"/>
      <c r="T135" s="131">
        <f>I134-I130</f>
        <v>-0.43578919284506767</v>
      </c>
      <c r="U135" s="132" t="s">
        <v>34</v>
      </c>
      <c r="V135" s="133">
        <f>T135*60</f>
        <v>-26.14735157070406</v>
      </c>
      <c r="W135" s="132" t="s">
        <v>146</v>
      </c>
      <c r="X135" s="96"/>
      <c r="Y135" s="527" t="str">
        <f>IF(T135&gt;0,"Vers Pg", "Oppose de Pg")</f>
        <v>Oppose de Pg</v>
      </c>
      <c r="Z135" s="527"/>
    </row>
    <row r="136" spans="1:31" ht="17.25" customHeight="1" thickTop="1" thickBot="1">
      <c r="C136" s="96"/>
      <c r="D136" s="96"/>
      <c r="E136" s="545"/>
      <c r="F136" s="546"/>
      <c r="G136" s="546"/>
      <c r="H136" s="546"/>
      <c r="I136" s="450" t="str" cm="1">
        <f t="array" ref="I136">angleDecimal2Txt(I134)</f>
        <v>+19°23.36 (+19.3894) [+19°23'22.13]</v>
      </c>
      <c r="J136" s="450"/>
      <c r="K136" s="450"/>
      <c r="L136" s="450"/>
      <c r="M136" s="450"/>
      <c r="S136" s="1261" t="s">
        <v>623</v>
      </c>
      <c r="T136" s="1262" t="s">
        <v>687</v>
      </c>
      <c r="U136" s="1262"/>
      <c r="V136" s="1262">
        <f>F45</f>
        <v>-16.989644444444444</v>
      </c>
      <c r="W136" s="1262"/>
      <c r="X136" s="1263" t="str">
        <f>latitudeDecimal2Txt(V136)</f>
        <v>S 16°59.37 (S 16.9896) [S 16°59'22.72]</v>
      </c>
      <c r="Y136" s="1263"/>
      <c r="Z136" s="1263"/>
      <c r="AA136" s="1263"/>
      <c r="AB136" s="1263"/>
      <c r="AC136" s="1263"/>
    </row>
    <row r="137" spans="1:31" ht="17.25" customHeight="1" thickTop="1">
      <c r="C137" s="96"/>
      <c r="D137" s="96"/>
      <c r="E137" s="98"/>
      <c r="F137" s="98"/>
      <c r="G137" s="98"/>
      <c r="S137" s="1261"/>
      <c r="T137" s="1264" t="s">
        <v>688</v>
      </c>
      <c r="U137" s="1264"/>
      <c r="V137" s="1262">
        <f>IF(F63&gt;180,360-F63,-F63)</f>
        <v>-40.252541666666673</v>
      </c>
      <c r="W137" s="1264"/>
      <c r="X137" s="1265" t="str">
        <f>longitudeDecimal2Txt(V137)</f>
        <v>W 40°15.15 (W 40.2525) [W 40°15'09.15]</v>
      </c>
      <c r="Y137" s="1265"/>
      <c r="Z137" s="1265"/>
      <c r="AA137" s="1265"/>
      <c r="AB137" s="1265"/>
      <c r="AC137" s="1265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549" t="s">
        <v>116</v>
      </c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C141" s="6" t="s">
        <v>117</v>
      </c>
      <c r="AD141" s="6">
        <f>(SIN(U142)-SIN(U143)*SIN(AD131))/(COS(U143)*COS(AD131))</f>
        <v>-0.70798282342972663</v>
      </c>
      <c r="AE141" s="6"/>
    </row>
    <row r="142" spans="1:31" ht="17.25" customHeight="1">
      <c r="A142" s="96"/>
      <c r="B142" s="96"/>
      <c r="C142" s="96"/>
      <c r="D142" s="96"/>
      <c r="E142" s="539" t="s">
        <v>124</v>
      </c>
      <c r="F142" s="540"/>
      <c r="G142" s="540"/>
      <c r="H142" s="541"/>
      <c r="I142" s="442">
        <f>AD143</f>
        <v>135.07102840568382</v>
      </c>
      <c r="J142" s="442"/>
      <c r="K142" s="442"/>
      <c r="L142" s="442"/>
      <c r="M142" s="443"/>
      <c r="O142" s="437" t="s">
        <v>114</v>
      </c>
      <c r="P142" s="437"/>
      <c r="Q142" s="437">
        <f>F45</f>
        <v>-16.989644444444444</v>
      </c>
      <c r="R142" s="437"/>
      <c r="S142" s="437"/>
      <c r="T142" s="526" t="s">
        <v>71</v>
      </c>
      <c r="U142" s="437">
        <f>Q142*Outils!$F$10</f>
        <v>-0.29652523429871841</v>
      </c>
      <c r="V142" s="437"/>
      <c r="W142" s="437"/>
      <c r="X142" s="526" t="s">
        <v>92</v>
      </c>
      <c r="AC142" s="6" t="s">
        <v>352</v>
      </c>
      <c r="AD142" s="6">
        <f>ACOS(AD141)</f>
        <v>2.3574341697339696</v>
      </c>
      <c r="AE142" s="6" t="s">
        <v>92</v>
      </c>
    </row>
    <row r="143" spans="1:31" ht="17.25" customHeight="1" thickBot="1">
      <c r="C143" s="96"/>
      <c r="D143" s="96"/>
      <c r="E143" s="542"/>
      <c r="F143" s="543"/>
      <c r="G143" s="543"/>
      <c r="H143" s="544"/>
      <c r="I143" s="444"/>
      <c r="J143" s="444"/>
      <c r="K143" s="444"/>
      <c r="L143" s="444"/>
      <c r="M143" s="445"/>
      <c r="N143" s="130" t="s">
        <v>181</v>
      </c>
      <c r="O143" s="437" t="s">
        <v>115</v>
      </c>
      <c r="P143" s="437"/>
      <c r="Q143" s="437">
        <f>F36</f>
        <v>40</v>
      </c>
      <c r="R143" s="437"/>
      <c r="S143" s="437"/>
      <c r="T143" s="526"/>
      <c r="U143" s="437">
        <f>Q143*Outils!$F$10</f>
        <v>0.69813170079773179</v>
      </c>
      <c r="V143" s="437"/>
      <c r="W143" s="437"/>
      <c r="X143" s="526"/>
      <c r="AC143" s="6"/>
      <c r="AD143" s="6">
        <f>AD142*Outils!$F$11</f>
        <v>135.07102840568382</v>
      </c>
      <c r="AE143" s="6" t="s">
        <v>71</v>
      </c>
    </row>
    <row r="144" spans="1:31" ht="17.25" customHeight="1" thickTop="1" thickBot="1">
      <c r="C144" s="96"/>
      <c r="D144" s="96"/>
      <c r="E144" s="545"/>
      <c r="F144" s="546"/>
      <c r="G144" s="546"/>
      <c r="H144" s="547"/>
      <c r="I144" s="447" t="str" cm="1">
        <f t="array" ref="I144">angleDecimal2Txt(I142)</f>
        <v>+135°04.26 (+135.0710) [+135°04'15.70]</v>
      </c>
      <c r="J144" s="448"/>
      <c r="K144" s="448"/>
      <c r="L144" s="448"/>
      <c r="M144" s="448"/>
      <c r="O144" s="437" t="s">
        <v>51</v>
      </c>
      <c r="P144" s="437"/>
      <c r="Q144" s="437">
        <f>F82</f>
        <v>44.002541666666673</v>
      </c>
      <c r="R144" s="437"/>
      <c r="S144" s="437"/>
      <c r="T144" s="526"/>
      <c r="U144" s="437">
        <f>Q144*Outils!$F$10</f>
        <v>0.76798923132932662</v>
      </c>
      <c r="V144" s="437"/>
      <c r="W144" s="437"/>
      <c r="X144" s="526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439" t="s">
        <v>239</v>
      </c>
      <c r="J146" s="440"/>
      <c r="K146" s="440"/>
      <c r="L146" s="440"/>
      <c r="M146" s="440"/>
      <c r="N146" s="441"/>
      <c r="O146" s="439" t="s">
        <v>240</v>
      </c>
      <c r="P146" s="440"/>
      <c r="Q146" s="440"/>
      <c r="R146" s="440"/>
      <c r="S146" s="440"/>
      <c r="T146" s="441"/>
    </row>
    <row r="147" spans="2:30" ht="17.25" customHeight="1">
      <c r="F147" s="98"/>
      <c r="G147" s="98"/>
      <c r="I147" s="680"/>
      <c r="J147" s="528" t="s">
        <v>182</v>
      </c>
      <c r="K147" s="529"/>
      <c r="L147" s="530"/>
      <c r="M147" s="492" t="s">
        <v>183</v>
      </c>
      <c r="N147" s="493"/>
      <c r="O147" s="680"/>
      <c r="P147" s="528" t="s">
        <v>182</v>
      </c>
      <c r="Q147" s="529"/>
      <c r="R147" s="530"/>
      <c r="S147" s="492" t="s">
        <v>184</v>
      </c>
      <c r="T147" s="493"/>
    </row>
    <row r="148" spans="2:30" ht="17.25" customHeight="1">
      <c r="F148" s="98"/>
      <c r="G148" s="98"/>
      <c r="I148" s="681"/>
      <c r="J148" s="489" t="s">
        <v>118</v>
      </c>
      <c r="K148" s="490"/>
      <c r="L148" s="491"/>
      <c r="M148" s="494" t="s">
        <v>119</v>
      </c>
      <c r="N148" s="495"/>
      <c r="O148" s="681"/>
      <c r="P148" s="489" t="s">
        <v>118</v>
      </c>
      <c r="Q148" s="490"/>
      <c r="R148" s="491"/>
      <c r="S148" s="494" t="s">
        <v>120</v>
      </c>
      <c r="T148" s="495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496"/>
      <c r="U149" s="496"/>
      <c r="V149" s="496"/>
      <c r="W149" s="96"/>
      <c r="X149" s="496"/>
      <c r="Y149" s="496"/>
      <c r="Z149" s="496"/>
    </row>
    <row r="150" spans="2:30" ht="17.25" customHeight="1">
      <c r="F150" s="96"/>
      <c r="N150" s="523"/>
      <c r="O150" s="523"/>
      <c r="Q150" s="496"/>
      <c r="R150" s="496"/>
      <c r="S150" s="496"/>
      <c r="T150" s="496"/>
      <c r="U150" s="496"/>
      <c r="V150" s="496"/>
      <c r="W150" s="96"/>
      <c r="X150" s="496"/>
      <c r="Y150" s="496"/>
      <c r="Z150" s="496"/>
    </row>
    <row r="151" spans="2:30" ht="17.25" customHeight="1">
      <c r="I151" s="437" t="s">
        <v>115</v>
      </c>
      <c r="J151" s="437"/>
      <c r="K151" s="141">
        <f>F36</f>
        <v>40</v>
      </c>
      <c r="L151" s="438" t="str">
        <f>CONCATENATE("Sens: ",IF(Q143&gt;0,"Nord","Sud"))</f>
        <v>Sens: Nord</v>
      </c>
      <c r="M151" s="438"/>
    </row>
    <row r="152" spans="2:30" ht="17.25" customHeight="1" thickBot="1">
      <c r="I152" s="437" t="s">
        <v>51</v>
      </c>
      <c r="J152" s="437"/>
      <c r="K152" s="141">
        <f>Q144</f>
        <v>44.002541666666673</v>
      </c>
      <c r="L152" s="438" t="str">
        <f>CONCATENATE("Is &gt; 180? ", IF(Q144&gt;180,"Y", "N"))</f>
        <v>Is &gt; 180? N</v>
      </c>
      <c r="M152" s="438"/>
      <c r="O152" s="417" t="s">
        <v>125</v>
      </c>
      <c r="P152" s="418"/>
      <c r="Q152" s="418"/>
      <c r="R152" s="418"/>
      <c r="S152" s="418"/>
      <c r="T152" s="451">
        <f>ABS(IF(Q131&gt;0,IF(Q132&gt;180,I142,360-I142),IF(Q132&gt;180,180-I142,180+I142)))</f>
        <v>224.92897159431618</v>
      </c>
      <c r="U152" s="452"/>
      <c r="V152" s="132" t="s">
        <v>34</v>
      </c>
      <c r="W152" s="96"/>
    </row>
    <row r="153" spans="2:30" ht="17.25" customHeight="1" thickTop="1" thickBot="1">
      <c r="I153" s="462" t="s">
        <v>185</v>
      </c>
      <c r="J153" s="463"/>
      <c r="K153" s="464"/>
      <c r="L153" s="438" t="str">
        <f>IF(K151&gt;0,IF(K152&gt;180,M147,M148),IF(K152&gt;180,S147,S148))</f>
        <v>Zn = 360 - Z</v>
      </c>
      <c r="M153" s="438"/>
      <c r="T153" s="450" t="str" cm="1">
        <f t="array" ref="T153">angleDecimal2Txt(T152)</f>
        <v>+224°55.73 (+224.9289) [+224°55'44.29]</v>
      </c>
      <c r="U153" s="450"/>
      <c r="V153" s="450"/>
      <c r="W153" s="450"/>
      <c r="X153" s="450"/>
      <c r="Y153" s="450"/>
    </row>
    <row r="154" spans="2:30" ht="17.25" customHeight="1" thickTop="1"/>
    <row r="155" spans="2:30" ht="17.25" customHeight="1" thickBot="1"/>
    <row r="156" spans="2:30" ht="17.25" customHeight="1" thickBot="1">
      <c r="B156" s="107" t="s">
        <v>441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461" t="s">
        <v>442</v>
      </c>
      <c r="D158" s="461"/>
      <c r="E158" s="461"/>
      <c r="F158" s="461"/>
      <c r="G158" s="239"/>
      <c r="H158" s="461" t="s">
        <v>443</v>
      </c>
      <c r="I158" s="461"/>
      <c r="J158" s="461"/>
      <c r="L158" s="465" t="s">
        <v>429</v>
      </c>
      <c r="M158" s="465"/>
      <c r="N158" s="465"/>
      <c r="Q158" s="420" t="s">
        <v>444</v>
      </c>
      <c r="R158" s="420"/>
      <c r="S158" s="420"/>
      <c r="T158" s="420"/>
      <c r="U158" s="189"/>
      <c r="AC158" t="s">
        <v>392</v>
      </c>
      <c r="AD158" s="218">
        <f>I159/60</f>
        <v>-0.43578919284506767</v>
      </c>
    </row>
    <row r="159" spans="2:30" ht="17.25" customHeight="1" thickTop="1" thickBot="1">
      <c r="D159" s="243" t="s">
        <v>49</v>
      </c>
      <c r="E159" s="466">
        <f>F36</f>
        <v>40</v>
      </c>
      <c r="F159" s="466"/>
      <c r="I159" s="466">
        <f>V135</f>
        <v>-26.14735157070406</v>
      </c>
      <c r="J159" s="466"/>
      <c r="K159" s="98" t="s">
        <v>146</v>
      </c>
      <c r="M159" s="466">
        <f>T152</f>
        <v>224.92897159431618</v>
      </c>
      <c r="N159" s="466"/>
      <c r="R159" s="241" t="s">
        <v>49</v>
      </c>
      <c r="S159" s="419">
        <f>AD161</f>
        <v>40.308531263170615</v>
      </c>
      <c r="T159" s="419"/>
      <c r="U159" s="415" t="str" cm="1">
        <f t="array" ref="U159">latitudeDecimal2Txt(S159)</f>
        <v>N 40°18.51 (N 40.3085) [N 40°18'30.71]</v>
      </c>
      <c r="V159" s="415"/>
      <c r="W159" s="415"/>
      <c r="X159" s="415"/>
      <c r="Y159" s="415"/>
      <c r="Z159" s="415"/>
      <c r="AC159" t="s">
        <v>419</v>
      </c>
      <c r="AD159" s="218">
        <f>M159</f>
        <v>224.92897159431618</v>
      </c>
    </row>
    <row r="160" spans="2:30" ht="17.25" customHeight="1" thickTop="1" thickBot="1">
      <c r="D160" s="243" t="s">
        <v>50</v>
      </c>
      <c r="E160" s="466">
        <f>F41</f>
        <v>3.75</v>
      </c>
      <c r="F160" s="466"/>
      <c r="R160" s="241" t="s">
        <v>50</v>
      </c>
      <c r="S160" s="419">
        <f>AD163</f>
        <v>4.1526727998642485</v>
      </c>
      <c r="T160" s="419"/>
      <c r="U160" s="415" t="str" cm="1">
        <f t="array" ref="U160">longitudeDecimal2Txt(S160)</f>
        <v>E 04°09.16 (E 04.1526) [E 04°09'09.62]</v>
      </c>
      <c r="V160" s="415"/>
      <c r="W160" s="415"/>
      <c r="X160" s="415"/>
      <c r="Y160" s="415"/>
      <c r="Z160" s="415"/>
      <c r="AC160" s="98"/>
      <c r="AD160" s="98"/>
    </row>
    <row r="161" spans="2:33" ht="17.25" customHeight="1" thickTop="1">
      <c r="D161" s="98"/>
      <c r="AC161" t="s">
        <v>446</v>
      </c>
      <c r="AD161">
        <f>E159+AD158*COS(AD159*Outils!$F$10)</f>
        <v>40.308531263170615</v>
      </c>
    </row>
    <row r="162" spans="2:33" ht="17.25" customHeight="1">
      <c r="C162"/>
      <c r="D162"/>
      <c r="E162"/>
      <c r="Q162" s="420" t="s">
        <v>445</v>
      </c>
      <c r="R162" s="420"/>
      <c r="S162" s="420"/>
      <c r="AC162" t="s">
        <v>447</v>
      </c>
      <c r="AD162">
        <f>(E159+AD161)/2</f>
        <v>40.154265631585304</v>
      </c>
    </row>
    <row r="163" spans="2:33" ht="17.25" customHeight="1">
      <c r="R163" s="419">
        <f>M159-90</f>
        <v>134.92897159431618</v>
      </c>
      <c r="S163" s="419"/>
      <c r="T163" s="132" t="s">
        <v>34</v>
      </c>
      <c r="AC163" t="s">
        <v>448</v>
      </c>
      <c r="AD163">
        <f>E160+(AD158*SIN(M159*Outils!$F$10)/COS(AD162*Outils!$F$10))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449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460" t="s">
        <v>444</v>
      </c>
      <c r="D168" s="460"/>
      <c r="E168" s="460"/>
      <c r="F168" s="460"/>
      <c r="G168" s="189"/>
      <c r="H168" s="98"/>
      <c r="I168" s="98"/>
      <c r="J168" s="98"/>
      <c r="K168" s="98"/>
      <c r="L168" s="98"/>
      <c r="Q168" s="240" t="s">
        <v>450</v>
      </c>
      <c r="R168" s="240"/>
      <c r="S168" s="240"/>
      <c r="T168" s="240"/>
      <c r="U168" s="240"/>
      <c r="V168" s="240"/>
      <c r="W168" s="240"/>
      <c r="AC168" t="s">
        <v>509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459">
        <v>46</v>
      </c>
      <c r="F169" s="459"/>
      <c r="G169" s="415" t="str" cm="1">
        <f t="array" ref="G169">latitudeDecimal2Txt(E169)</f>
        <v>N 46°00.00 (N 46.0000) [N 46°00'00.00]</v>
      </c>
      <c r="H169" s="415"/>
      <c r="I169" s="415"/>
      <c r="J169" s="415"/>
      <c r="K169" s="415"/>
      <c r="L169" s="415"/>
      <c r="R169" s="241" t="s">
        <v>49</v>
      </c>
      <c r="S169" s="419">
        <f>AG173</f>
        <v>48.792187285988142</v>
      </c>
      <c r="T169" s="419"/>
      <c r="U169" s="415" t="str" cm="1">
        <f t="array" ref="U169">latitudeDecimal2Txt(S169)</f>
        <v>N 48°47.53 (N 48.7921) [N 48°47'31.87]</v>
      </c>
      <c r="V169" s="415"/>
      <c r="W169" s="415"/>
      <c r="X169" s="415"/>
      <c r="Y169" s="415"/>
      <c r="Z169" s="415"/>
      <c r="AC169" s="269" t="s">
        <v>510</v>
      </c>
      <c r="AD169" s="270">
        <f>R163</f>
        <v>134.92897159431618</v>
      </c>
    </row>
    <row r="170" spans="2:33" customFormat="1" ht="17.25" customHeight="1" thickTop="1" thickBot="1">
      <c r="D170" s="242" t="s">
        <v>50</v>
      </c>
      <c r="E170" s="459">
        <v>-7</v>
      </c>
      <c r="F170" s="459"/>
      <c r="G170" s="415" t="str" cm="1">
        <f t="array" ref="G170">longitudeDecimal2Txt(E170)</f>
        <v>W 07°00.00 (W 07.0000) [W 07°00'00.00]</v>
      </c>
      <c r="H170" s="415"/>
      <c r="I170" s="415"/>
      <c r="J170" s="415"/>
      <c r="K170" s="415"/>
      <c r="L170" s="415"/>
      <c r="R170" s="241" t="s">
        <v>50</v>
      </c>
      <c r="S170" s="419">
        <f>AG174</f>
        <v>-7.0000000000000071</v>
      </c>
      <c r="T170" s="419"/>
      <c r="U170" s="415" t="str" cm="1">
        <f t="array" ref="U170">longitudeDecimal2Txt(S170)</f>
        <v>W 07°00.00 (W 07.0000) [W 07°00'00.00]</v>
      </c>
      <c r="V170" s="415"/>
      <c r="W170" s="415"/>
      <c r="X170" s="415"/>
      <c r="Y170" s="415"/>
      <c r="Z170" s="415"/>
      <c r="AC170" s="271" t="s">
        <v>512</v>
      </c>
      <c r="AD170" s="270">
        <f>S159</f>
        <v>40.308531263170615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69" t="s">
        <v>513</v>
      </c>
      <c r="AD171" s="270">
        <f>S160</f>
        <v>4.1526727998642485</v>
      </c>
    </row>
    <row r="172" spans="2:33" customFormat="1" ht="17.25" customHeight="1">
      <c r="C172" s="460" t="s">
        <v>445</v>
      </c>
      <c r="D172" s="460"/>
      <c r="E172" s="460"/>
      <c r="F172" s="244"/>
      <c r="G172" s="98"/>
      <c r="H172" s="98"/>
      <c r="I172" s="98"/>
      <c r="J172" s="98"/>
      <c r="K172" s="98"/>
      <c r="L172" s="98"/>
      <c r="AC172" s="269" t="s">
        <v>459</v>
      </c>
      <c r="AD172" s="269">
        <f>TAN(AD169*Outils!F10) * (1 / COS(AD170*Outils!F10))</f>
        <v>-1.314606906487978</v>
      </c>
    </row>
    <row r="173" spans="2:33" customFormat="1" ht="17.25" customHeight="1">
      <c r="D173" s="459">
        <v>180</v>
      </c>
      <c r="E173" s="459"/>
      <c r="F173" s="248" t="s">
        <v>34</v>
      </c>
      <c r="G173" s="98"/>
      <c r="H173" s="98"/>
      <c r="I173" s="98"/>
      <c r="J173" s="98"/>
      <c r="K173" s="98"/>
      <c r="L173" s="98"/>
      <c r="AC173" s="269" t="s">
        <v>460</v>
      </c>
      <c r="AD173" s="269">
        <f>AD171-AD170*AD172</f>
        <v>57.142546388814914</v>
      </c>
      <c r="AE173" s="416" t="s">
        <v>517</v>
      </c>
      <c r="AF173" s="416"/>
      <c r="AG173" s="272">
        <f>(AD178-AD173)/(AD172-AD177)</f>
        <v>48.792187285988142</v>
      </c>
    </row>
    <row r="174" spans="2:33" customFormat="1" ht="15">
      <c r="AC174" s="266" t="s">
        <v>511</v>
      </c>
      <c r="AD174" s="267">
        <f>D173</f>
        <v>180</v>
      </c>
      <c r="AE174" s="416"/>
      <c r="AF174" s="416"/>
      <c r="AG174" s="272">
        <f>AD172*AG173+AD173</f>
        <v>-7.0000000000000071</v>
      </c>
    </row>
    <row r="175" spans="2:33" customFormat="1" ht="18.75">
      <c r="S175" s="98"/>
      <c r="T175" s="98"/>
      <c r="AC175" s="268" t="s">
        <v>512</v>
      </c>
      <c r="AD175" s="267">
        <f>E169</f>
        <v>46</v>
      </c>
    </row>
    <row r="176" spans="2:33" customFormat="1" ht="18">
      <c r="AC176" s="266" t="s">
        <v>513</v>
      </c>
      <c r="AD176" s="267">
        <f>E170</f>
        <v>-7</v>
      </c>
      <c r="AE176" s="416" t="s">
        <v>518</v>
      </c>
      <c r="AF176" s="416"/>
      <c r="AG176" s="273">
        <f>E169</f>
        <v>46</v>
      </c>
    </row>
    <row r="177" spans="11:33" customFormat="1" ht="17.25" customHeight="1">
      <c r="P177" s="98"/>
      <c r="Q177" s="98"/>
      <c r="AC177" s="266" t="s">
        <v>514</v>
      </c>
      <c r="AD177" s="266">
        <f>TAN(AD174*Outils!F10) * (1 / COS(AD175*Outils!F10))</f>
        <v>-1.7636704702760584E-16</v>
      </c>
      <c r="AE177" s="416"/>
      <c r="AF177" s="416"/>
      <c r="AG177" s="272">
        <f>E170+(E169-S159)*TAN(R163*Outils!F10)/COS(Outils!F10*S159)</f>
        <v>-14.482044109496318</v>
      </c>
    </row>
    <row r="178" spans="11:33" customFormat="1" ht="17.25" customHeight="1">
      <c r="AC178" s="266" t="s">
        <v>515</v>
      </c>
      <c r="AD178" s="266">
        <f>AD176-AD175*AD177</f>
        <v>-6.999999999999992</v>
      </c>
    </row>
    <row r="179" spans="11:33" customFormat="1" ht="15">
      <c r="K179" s="98"/>
      <c r="L179" s="98"/>
      <c r="AE179" s="416" t="s">
        <v>516</v>
      </c>
      <c r="AF179" s="416"/>
      <c r="AG179" s="272">
        <f>IF($AE$168,AG176,AG173)</f>
        <v>48.792187285988142</v>
      </c>
    </row>
    <row r="180" spans="11:33" customFormat="1" ht="15">
      <c r="K180" s="98"/>
      <c r="L180" s="98"/>
      <c r="AC180" s="266"/>
      <c r="AE180" s="416"/>
      <c r="AF180" s="416"/>
      <c r="AG180" s="272">
        <f>IF($AE$168,AG177,AG174)</f>
        <v>-7.0000000000000071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protectedRanges>
    <protectedRange sqref="I11:Y11" name="Heure visee" securityDescriptor="O:WDG:WDD:(A;;CC;;;WD)"/>
  </protectedRanges>
  <dataConsolidate link="1"/>
  <mergeCells count="334"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84"/>
  <sheetViews>
    <sheetView topLeftCell="A24" zoomScale="90" zoomScaleNormal="90" workbookViewId="0">
      <selection activeCell="H42" sqref="H42"/>
    </sheetView>
  </sheetViews>
  <sheetFormatPr baseColWidth="10" defaultColWidth="5.140625" defaultRowHeight="17.25" customHeight="1" outlineLevelCol="1"/>
  <cols>
    <col min="1" max="1" width="6.42578125" style="98" customWidth="1"/>
    <col min="2" max="2" width="8.5703125" style="98" customWidth="1"/>
    <col min="3" max="4" width="10.42578125" style="143" customWidth="1"/>
    <col min="5" max="5" width="6.28515625" style="1248" customWidth="1"/>
    <col min="6" max="6" width="8.28515625" style="335" customWidth="1"/>
    <col min="7" max="7" width="10.42578125" style="143" customWidth="1"/>
    <col min="8" max="11" width="10.42578125" style="98" customWidth="1"/>
    <col min="12" max="12" width="9.85546875" style="98" customWidth="1"/>
    <col min="13" max="13" width="9.7109375" style="337" customWidth="1"/>
    <col min="14" max="14" width="9.28515625" style="98" customWidth="1"/>
    <col min="15" max="15" width="8.5703125" style="98" customWidth="1"/>
    <col min="16" max="18" width="9.28515625" style="98" customWidth="1"/>
    <col min="19" max="19" width="10.5703125" style="98" customWidth="1"/>
    <col min="20" max="20" width="12.5703125" style="98" customWidth="1"/>
    <col min="21" max="21" width="9.42578125" style="98" customWidth="1"/>
    <col min="22" max="22" width="8.7109375" style="98" customWidth="1"/>
    <col min="23" max="23" width="9.140625" style="325" customWidth="1"/>
    <col min="24" max="24" width="11.28515625" style="325" customWidth="1"/>
    <col min="25" max="25" width="11.7109375" style="325" customWidth="1"/>
    <col min="26" max="26" width="12.42578125" style="325" customWidth="1"/>
    <col min="27" max="27" width="13" style="337" customWidth="1"/>
    <col min="28" max="28" width="11.28515625" style="385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1:66" customFormat="1" ht="17.25" customHeight="1">
      <c r="B1" s="98"/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  <c r="Z1" s="325"/>
      <c r="AA1" s="337"/>
      <c r="AB1" s="385"/>
      <c r="BN1" s="106"/>
    </row>
    <row r="2" spans="1:66" customFormat="1" ht="17.25" customHeight="1">
      <c r="B2" s="98"/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  <c r="Z2" s="325"/>
      <c r="AA2" s="337"/>
      <c r="AB2" s="385"/>
      <c r="BN2" s="106"/>
    </row>
    <row r="3" spans="1:66" customFormat="1" ht="17.25" customHeight="1">
      <c r="B3" s="98"/>
      <c r="C3" s="506"/>
      <c r="D3" s="506"/>
      <c r="E3" s="506"/>
      <c r="F3" s="506"/>
      <c r="G3" s="502" t="s">
        <v>233</v>
      </c>
      <c r="H3" s="502"/>
      <c r="I3" s="502"/>
      <c r="J3" s="504" t="s">
        <v>232</v>
      </c>
      <c r="K3" s="504"/>
      <c r="L3" s="504"/>
      <c r="M3" s="337"/>
      <c r="N3" s="98"/>
      <c r="O3" s="98"/>
      <c r="P3" s="98"/>
      <c r="Q3" s="98"/>
      <c r="R3" s="98"/>
      <c r="S3" s="98"/>
      <c r="T3" s="98"/>
      <c r="U3" s="98"/>
      <c r="V3" s="98"/>
      <c r="W3" s="325"/>
      <c r="X3" s="325"/>
      <c r="Y3" s="325"/>
      <c r="Z3" s="325"/>
      <c r="AA3" s="337"/>
      <c r="AB3" s="385"/>
      <c r="BN3" s="106"/>
    </row>
    <row r="4" spans="1:66" customFormat="1" ht="17.25" customHeight="1">
      <c r="B4" s="98"/>
      <c r="C4" s="506"/>
      <c r="D4" s="506"/>
      <c r="E4" s="506"/>
      <c r="F4" s="506"/>
      <c r="G4" s="503"/>
      <c r="H4" s="503"/>
      <c r="I4" s="503"/>
      <c r="J4" s="505"/>
      <c r="K4" s="505"/>
      <c r="L4" s="505"/>
      <c r="M4" s="337"/>
      <c r="N4" s="98"/>
      <c r="O4" s="98" t="s">
        <v>47</v>
      </c>
      <c r="P4" s="98" t="s">
        <v>353</v>
      </c>
      <c r="Q4" s="98"/>
      <c r="R4" s="98"/>
      <c r="S4" s="98"/>
      <c r="T4" s="98"/>
      <c r="U4" s="98"/>
      <c r="V4" s="98"/>
      <c r="W4" s="325"/>
      <c r="X4" s="325"/>
      <c r="Y4" s="325"/>
      <c r="Z4" s="325"/>
      <c r="AA4" s="337"/>
      <c r="AB4" s="385"/>
      <c r="BN4" s="106"/>
    </row>
    <row r="5" spans="1:66" ht="17.25" customHeight="1" thickBot="1"/>
    <row r="6" spans="1:66" customFormat="1" ht="17.25" customHeight="1" thickBot="1">
      <c r="B6" s="107" t="s">
        <v>0</v>
      </c>
      <c r="C6" s="108"/>
      <c r="D6" s="108"/>
      <c r="E6" s="1249" t="str">
        <f>dateDecimale2txt(dateConvert2Decimal(E7))</f>
        <v>2024/9/30 [YYYY/MM/DD]</v>
      </c>
      <c r="F6" s="230"/>
      <c r="G6" s="231"/>
      <c r="H6" s="232"/>
      <c r="I6" s="230"/>
      <c r="J6" s="230"/>
      <c r="K6" s="230"/>
      <c r="L6" s="108"/>
      <c r="M6" s="351"/>
      <c r="N6" s="108" t="s">
        <v>560</v>
      </c>
      <c r="O6" s="108"/>
      <c r="P6" s="108"/>
      <c r="Q6" s="108"/>
      <c r="R6" s="108"/>
      <c r="S6" s="108" t="s">
        <v>561</v>
      </c>
      <c r="T6" s="453">
        <f>dateConvert2Decimal(E7)</f>
        <v>1727654400</v>
      </c>
      <c r="U6" s="453"/>
      <c r="V6" s="453"/>
      <c r="W6" s="108" t="s">
        <v>562</v>
      </c>
      <c r="X6" s="675">
        <f>(T6/86400)+DATE(1970,1,1)</f>
        <v>45565</v>
      </c>
      <c r="Y6" s="675"/>
      <c r="Z6" s="108" t="s">
        <v>563</v>
      </c>
      <c r="AA6" s="395">
        <f>INT(MONTH(X6))</f>
        <v>9</v>
      </c>
      <c r="AB6" s="385"/>
      <c r="BN6" s="106"/>
    </row>
    <row r="7" spans="1:66" customFormat="1" ht="17.25" customHeight="1">
      <c r="B7" s="98"/>
      <c r="C7" s="498" t="s">
        <v>1</v>
      </c>
      <c r="D7" s="499"/>
      <c r="E7" s="632" t="s">
        <v>637</v>
      </c>
      <c r="F7" s="633"/>
      <c r="G7" s="633"/>
      <c r="H7" s="143"/>
      <c r="I7" s="98"/>
      <c r="J7" s="98"/>
      <c r="K7" s="98"/>
      <c r="L7" s="98"/>
      <c r="M7" s="337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385"/>
      <c r="BN7" s="106"/>
    </row>
    <row r="8" spans="1:66" customFormat="1" ht="17.25" customHeight="1" thickBot="1">
      <c r="B8" s="98"/>
      <c r="C8" s="96"/>
      <c r="D8" s="96"/>
      <c r="E8" s="1250"/>
      <c r="F8" s="342"/>
      <c r="G8" s="96"/>
      <c r="H8" s="96"/>
      <c r="I8" s="96"/>
      <c r="J8" s="96"/>
      <c r="K8" s="96"/>
      <c r="L8" s="96"/>
      <c r="M8" s="353"/>
      <c r="N8" s="96"/>
      <c r="O8" s="96"/>
      <c r="P8" s="96"/>
      <c r="Q8" s="96"/>
      <c r="R8" s="96"/>
      <c r="S8" s="96"/>
      <c r="T8" s="96"/>
      <c r="U8" s="96"/>
      <c r="V8" s="96"/>
      <c r="W8" s="344"/>
      <c r="X8" s="344"/>
      <c r="Y8" s="344"/>
      <c r="Z8" s="325"/>
      <c r="AA8" s="337"/>
      <c r="AB8" s="385"/>
      <c r="BN8" s="106"/>
    </row>
    <row r="9" spans="1:66" customFormat="1" ht="17.25" customHeight="1" thickBot="1">
      <c r="B9" s="107" t="s">
        <v>19</v>
      </c>
      <c r="C9" s="108"/>
      <c r="D9" s="108"/>
      <c r="E9" s="1251"/>
      <c r="F9" s="343"/>
      <c r="G9" s="108"/>
      <c r="H9" s="108"/>
      <c r="I9" s="108"/>
      <c r="J9" s="108"/>
      <c r="K9" s="108"/>
      <c r="L9" s="108"/>
      <c r="M9" s="351"/>
      <c r="N9" s="108"/>
      <c r="O9" s="108"/>
      <c r="P9" s="108"/>
      <c r="Q9" s="108"/>
      <c r="R9" s="108"/>
      <c r="S9" s="108"/>
      <c r="T9" s="108"/>
      <c r="U9" s="108"/>
      <c r="V9" s="108"/>
      <c r="W9" s="345"/>
      <c r="X9" s="345"/>
      <c r="Y9" s="345"/>
      <c r="Z9" s="345"/>
      <c r="AA9" s="351"/>
      <c r="AB9" s="386"/>
      <c r="BN9" s="106"/>
    </row>
    <row r="10" spans="1:66" ht="17.25" customHeight="1">
      <c r="C10" s="96"/>
      <c r="D10" s="96"/>
      <c r="E10" s="731" t="s">
        <v>7</v>
      </c>
      <c r="F10" s="731"/>
      <c r="G10" s="731"/>
      <c r="H10" s="731"/>
      <c r="I10" s="96"/>
      <c r="J10" s="96"/>
      <c r="K10" s="96"/>
      <c r="L10" s="96"/>
      <c r="M10" s="353"/>
      <c r="N10" s="96"/>
      <c r="O10" s="96"/>
      <c r="P10" s="96"/>
      <c r="Q10" s="96"/>
      <c r="R10" s="96"/>
      <c r="S10" s="96"/>
      <c r="T10" s="96"/>
      <c r="U10" s="96"/>
      <c r="V10" s="96"/>
    </row>
    <row r="11" spans="1:66" ht="17.25" customHeight="1" thickBot="1">
      <c r="C11" s="96"/>
      <c r="D11" s="96"/>
      <c r="E11" s="731"/>
      <c r="F11" s="731"/>
      <c r="G11" s="731"/>
      <c r="H11" s="731"/>
      <c r="I11" s="96"/>
      <c r="J11" s="96" t="s">
        <v>225</v>
      </c>
      <c r="K11" s="96"/>
      <c r="L11" s="96" t="s">
        <v>226</v>
      </c>
      <c r="M11" s="353"/>
      <c r="N11" s="96"/>
      <c r="O11" s="96"/>
      <c r="P11" s="96"/>
      <c r="Q11" s="96"/>
      <c r="R11" s="96"/>
      <c r="S11" s="96"/>
      <c r="T11" s="96"/>
      <c r="U11" s="96"/>
      <c r="V11" s="96"/>
    </row>
    <row r="12" spans="1:66" ht="17.25" customHeight="1" thickTop="1" thickBot="1">
      <c r="A12" s="725" t="s">
        <v>41</v>
      </c>
      <c r="B12" s="726"/>
      <c r="C12" s="727"/>
      <c r="D12" s="96"/>
      <c r="E12" s="1250"/>
      <c r="F12" s="950">
        <f>AD12*angleConvert2Decimal(I12)</f>
        <v>5.0999999999999996</v>
      </c>
      <c r="G12" s="951"/>
      <c r="H12" s="348" t="s">
        <v>3</v>
      </c>
      <c r="I12" s="347" t="s">
        <v>638</v>
      </c>
      <c r="J12" s="952" t="str">
        <f>angleDecimal2Txt(F12)</f>
        <v>+05°06.00 (+05.0999) [+05°06'00.00]</v>
      </c>
      <c r="K12" s="953"/>
      <c r="L12" s="953"/>
      <c r="M12" s="447"/>
      <c r="N12"/>
      <c r="O12"/>
      <c r="P12"/>
      <c r="Q12"/>
      <c r="R12"/>
      <c r="S12"/>
      <c r="T12"/>
      <c r="U12"/>
      <c r="V12"/>
      <c r="W12"/>
      <c r="X12"/>
      <c r="Y12" s="344"/>
      <c r="Z12" s="344"/>
      <c r="AC12" s="6" t="s">
        <v>325</v>
      </c>
      <c r="AD12" s="6">
        <f>VLOOKUP(H12,$A$13:$C$14,3)</f>
        <v>1</v>
      </c>
      <c r="AG12" s="98"/>
      <c r="AH12" s="98"/>
      <c r="BN12" s="113"/>
    </row>
    <row r="13" spans="1:66" ht="17.25" customHeight="1">
      <c r="A13" s="99" t="s">
        <v>3</v>
      </c>
      <c r="B13" s="114" t="s">
        <v>5</v>
      </c>
      <c r="C13" s="100">
        <v>1</v>
      </c>
      <c r="D13" s="96"/>
      <c r="E13" s="1250"/>
      <c r="F13" s="342"/>
      <c r="G13" s="96"/>
      <c r="H13" s="96"/>
      <c r="BN13" s="113"/>
    </row>
    <row r="14" spans="1:66" ht="17.25" customHeight="1" thickBot="1">
      <c r="A14" s="101" t="s">
        <v>4</v>
      </c>
      <c r="B14" s="102" t="s">
        <v>6</v>
      </c>
      <c r="C14" s="103">
        <v>-1</v>
      </c>
      <c r="D14" s="96"/>
      <c r="E14" s="622" t="s">
        <v>8</v>
      </c>
      <c r="F14" s="622"/>
      <c r="G14" s="622"/>
      <c r="H14" s="622"/>
      <c r="I14" s="96"/>
      <c r="J14" s="96"/>
      <c r="K14" s="96"/>
      <c r="L14" s="96"/>
      <c r="M14" s="353"/>
      <c r="N14" s="96"/>
      <c r="O14" s="96"/>
      <c r="P14" s="96"/>
      <c r="Q14" s="96"/>
      <c r="R14" s="96"/>
      <c r="S14" s="96"/>
      <c r="T14" s="96"/>
      <c r="U14" s="96"/>
      <c r="V14" s="96"/>
      <c r="BN14" s="113"/>
    </row>
    <row r="15" spans="1:66" ht="17.25" customHeight="1" thickBot="1">
      <c r="C15" s="96"/>
      <c r="D15" s="96"/>
      <c r="E15" s="622"/>
      <c r="F15" s="622"/>
      <c r="G15" s="622"/>
      <c r="H15" s="622"/>
      <c r="I15" s="96"/>
      <c r="J15" s="96" t="s">
        <v>225</v>
      </c>
      <c r="K15" s="96"/>
      <c r="L15" s="96" t="s">
        <v>234</v>
      </c>
      <c r="M15" s="353"/>
      <c r="N15" s="96"/>
      <c r="O15" s="96"/>
      <c r="P15" s="96"/>
      <c r="Q15" s="96"/>
      <c r="R15" s="96"/>
      <c r="S15" s="96"/>
      <c r="T15" s="96"/>
      <c r="U15" s="96"/>
      <c r="V15" s="96"/>
      <c r="BN15" s="113"/>
    </row>
    <row r="16" spans="1:66" ht="17.25" customHeight="1" thickTop="1" thickBot="1">
      <c r="B16" s="96"/>
      <c r="C16" s="96"/>
      <c r="D16" s="96"/>
      <c r="E16" s="1250"/>
      <c r="F16" s="950">
        <f>AD16*angleConvert2Decimal(I16)</f>
        <v>-12.85</v>
      </c>
      <c r="G16" s="951"/>
      <c r="H16" s="348" t="s">
        <v>6</v>
      </c>
      <c r="I16" s="347" t="s">
        <v>639</v>
      </c>
      <c r="J16" s="952" t="str">
        <f>angleDecimal2Txt(F16)</f>
        <v>-12°51.00 (-12.8499) [-12°51'00.00]</v>
      </c>
      <c r="K16" s="953"/>
      <c r="L16" s="953"/>
      <c r="M16" s="447"/>
      <c r="N16"/>
      <c r="O16"/>
      <c r="P16"/>
      <c r="Q16"/>
      <c r="R16"/>
      <c r="S16"/>
      <c r="T16"/>
      <c r="U16"/>
      <c r="V16"/>
      <c r="W16"/>
      <c r="X16"/>
      <c r="Y16" s="344"/>
      <c r="Z16" s="344"/>
      <c r="AC16" s="6" t="s">
        <v>327</v>
      </c>
      <c r="AD16" s="6">
        <f>VLOOKUP(H16,B13:C14,2)</f>
        <v>-1</v>
      </c>
    </row>
    <row r="17" spans="1:67" ht="17.25" customHeight="1" thickTop="1" thickBot="1">
      <c r="C17" s="96"/>
      <c r="D17" s="96"/>
      <c r="E17" s="1250"/>
      <c r="F17" s="342"/>
      <c r="G17" s="96"/>
      <c r="H17" s="96"/>
      <c r="I17" s="96"/>
      <c r="J17" s="96"/>
      <c r="K17" s="96"/>
      <c r="L17" s="96"/>
      <c r="M17" s="353"/>
      <c r="N17" s="96"/>
      <c r="O17" s="96"/>
      <c r="P17" s="96"/>
      <c r="Q17" s="96"/>
      <c r="R17" s="96"/>
      <c r="S17" s="96"/>
      <c r="T17" s="96"/>
      <c r="U17" s="96"/>
      <c r="V17" s="96"/>
      <c r="W17" s="344"/>
      <c r="X17" s="344"/>
      <c r="Y17" s="344"/>
      <c r="Z17" s="344"/>
    </row>
    <row r="18" spans="1:67" customFormat="1" ht="17.25" customHeight="1" thickBot="1">
      <c r="B18" s="107" t="s">
        <v>591</v>
      </c>
      <c r="C18" s="108"/>
      <c r="D18" s="108"/>
      <c r="E18" s="1251"/>
      <c r="F18" s="343"/>
      <c r="G18" s="108"/>
      <c r="H18" s="108"/>
      <c r="I18" s="108"/>
      <c r="J18" s="108"/>
      <c r="K18" s="108"/>
      <c r="L18" s="108"/>
      <c r="M18" s="351"/>
      <c r="N18" s="108"/>
      <c r="O18" s="108"/>
      <c r="P18" s="108"/>
      <c r="Q18" s="108"/>
      <c r="R18" s="108"/>
      <c r="S18" s="108"/>
      <c r="T18" s="108"/>
      <c r="U18" s="108"/>
      <c r="V18" s="108"/>
      <c r="W18" s="345"/>
      <c r="X18" s="345"/>
      <c r="Y18" s="345"/>
      <c r="Z18" s="345"/>
      <c r="AA18" s="351"/>
      <c r="AB18" s="386"/>
      <c r="BN18" s="106"/>
    </row>
    <row r="19" spans="1:67" customFormat="1" ht="18" customHeight="1" thickBot="1">
      <c r="B19" s="98"/>
      <c r="C19" s="721" t="s">
        <v>21</v>
      </c>
      <c r="D19" s="721"/>
      <c r="E19" s="721"/>
      <c r="F19" s="721"/>
      <c r="G19" s="721"/>
      <c r="H19" s="721"/>
      <c r="I19" s="721"/>
      <c r="J19" s="329">
        <f>M2</f>
        <v>0</v>
      </c>
      <c r="K19" s="327">
        <f>P19</f>
        <v>0.15504102682838503</v>
      </c>
      <c r="L19" s="328" t="s">
        <v>34</v>
      </c>
      <c r="M19" s="625">
        <v>28</v>
      </c>
      <c r="N19" s="625"/>
      <c r="O19" s="625"/>
      <c r="P19" s="96">
        <f>0.0293 * SQRT(M19)</f>
        <v>0.15504102682838503</v>
      </c>
      <c r="Q19" s="96"/>
      <c r="R19" s="96"/>
      <c r="S19" s="96"/>
      <c r="T19" s="96"/>
      <c r="U19" s="96"/>
      <c r="V19" s="96"/>
      <c r="W19" s="344"/>
      <c r="X19" s="344"/>
      <c r="Y19" s="344"/>
      <c r="Z19" s="325"/>
      <c r="AA19" s="337"/>
      <c r="AB19" s="385"/>
      <c r="BN19" s="106"/>
    </row>
    <row r="20" spans="1:67" customFormat="1" ht="18" customHeight="1" thickTop="1" thickBot="1">
      <c r="B20" s="96"/>
      <c r="C20" s="946" t="s">
        <v>22</v>
      </c>
      <c r="D20" s="947"/>
      <c r="E20" s="947"/>
      <c r="F20" s="947"/>
      <c r="G20" s="947"/>
      <c r="H20" s="947"/>
      <c r="I20" s="948"/>
      <c r="J20" s="330" cm="1">
        <f t="array" ref="J20">angleConvert2Decimal(M20)</f>
        <v>1.6666666666666666E-2</v>
      </c>
      <c r="K20" s="331" t="s">
        <v>34</v>
      </c>
      <c r="L20" s="412" t="s">
        <v>641</v>
      </c>
      <c r="M20" s="624" t="s">
        <v>640</v>
      </c>
      <c r="N20" s="625"/>
      <c r="O20" s="625"/>
      <c r="P20" s="450" t="str" cm="1">
        <f t="array" ref="P20">angleDecimal2Txt(J20)</f>
        <v>+00°01.00 (+00.0166) [+00°01'00.00]</v>
      </c>
      <c r="Q20" s="450"/>
      <c r="R20" s="450"/>
      <c r="S20" s="450"/>
      <c r="T20" s="450"/>
      <c r="U20" s="450"/>
      <c r="V20" s="450"/>
      <c r="W20" s="450"/>
      <c r="X20" s="450"/>
      <c r="Y20" s="344"/>
      <c r="Z20" s="325"/>
      <c r="AA20" s="337"/>
      <c r="AB20" s="385"/>
      <c r="BN20" s="106"/>
    </row>
    <row r="21" spans="1:67" ht="17.25" customHeight="1" thickTop="1"/>
    <row r="22" spans="1:67" ht="17.25" customHeight="1" thickBot="1">
      <c r="A22" s="96"/>
      <c r="C22" s="96"/>
      <c r="D22"/>
      <c r="E22" s="1252"/>
      <c r="F22" s="334"/>
      <c r="G22"/>
      <c r="H22"/>
      <c r="I22"/>
      <c r="J22"/>
      <c r="K22"/>
      <c r="L22"/>
      <c r="M22" s="338"/>
      <c r="N22"/>
      <c r="O22"/>
      <c r="P22"/>
      <c r="Q22"/>
    </row>
    <row r="23" spans="1:67" customFormat="1" ht="17.25" customHeight="1" thickBot="1">
      <c r="A23" s="115"/>
      <c r="B23" s="107" t="s">
        <v>592</v>
      </c>
      <c r="C23" s="108"/>
      <c r="D23" s="108"/>
      <c r="E23" s="1251"/>
      <c r="F23" s="343"/>
      <c r="G23" s="108"/>
      <c r="H23" s="108"/>
      <c r="I23" s="108"/>
      <c r="J23" s="108"/>
      <c r="K23" s="108"/>
      <c r="L23" s="108"/>
      <c r="M23" s="351"/>
      <c r="N23" s="108"/>
      <c r="O23" s="108"/>
      <c r="P23" s="108"/>
      <c r="Q23" s="108"/>
      <c r="R23" s="108"/>
      <c r="S23" s="108"/>
      <c r="T23" s="108"/>
      <c r="U23" s="108"/>
      <c r="V23" s="108"/>
      <c r="W23" s="345"/>
      <c r="X23" s="345"/>
      <c r="Y23" s="345"/>
      <c r="Z23" s="345"/>
      <c r="AA23" s="351"/>
      <c r="AB23" s="387"/>
      <c r="BN23" s="106"/>
      <c r="BO23" s="98"/>
    </row>
    <row r="24" spans="1:67" customFormat="1" ht="17.25" customHeight="1">
      <c r="E24" s="1252"/>
      <c r="F24" s="334"/>
      <c r="M24" s="338"/>
      <c r="W24" s="336"/>
      <c r="X24" s="336"/>
      <c r="Y24" s="336"/>
      <c r="Z24" s="336"/>
      <c r="AA24" s="338"/>
      <c r="AB24" s="388"/>
    </row>
    <row r="25" spans="1:67" customFormat="1" ht="13.5" customHeight="1">
      <c r="B25" s="949"/>
      <c r="C25" s="949"/>
      <c r="D25" s="942" t="s">
        <v>249</v>
      </c>
      <c r="E25" s="942" t="s">
        <v>598</v>
      </c>
      <c r="F25" s="942"/>
      <c r="G25" s="942"/>
      <c r="H25" s="942" t="s">
        <v>88</v>
      </c>
      <c r="I25" s="942"/>
      <c r="J25" s="943" t="s">
        <v>599</v>
      </c>
      <c r="K25" s="943"/>
      <c r="L25" s="949" t="s">
        <v>354</v>
      </c>
      <c r="M25" s="949"/>
      <c r="N25" s="942" t="s">
        <v>114</v>
      </c>
      <c r="O25" s="942"/>
      <c r="P25" s="98"/>
      <c r="Q25" s="1222" t="s">
        <v>684</v>
      </c>
      <c r="R25" s="1222"/>
      <c r="S25" s="1222"/>
      <c r="T25" s="1222"/>
      <c r="U25" s="98"/>
      <c r="V25" s="942" t="s">
        <v>685</v>
      </c>
      <c r="W25" s="942"/>
      <c r="X25" s="942"/>
      <c r="Y25" s="325"/>
      <c r="Z25" s="325"/>
      <c r="AA25" s="337"/>
      <c r="AB25" s="385"/>
    </row>
    <row r="26" spans="1:67" customFormat="1" ht="15.75" customHeight="1">
      <c r="B26" s="949"/>
      <c r="C26" s="949"/>
      <c r="D26" s="942"/>
      <c r="E26" s="942"/>
      <c r="F26" s="942"/>
      <c r="G26" s="942"/>
      <c r="H26" s="942"/>
      <c r="I26" s="942"/>
      <c r="J26" s="943" t="s">
        <v>610</v>
      </c>
      <c r="K26" s="943"/>
      <c r="L26" s="949"/>
      <c r="M26" s="949"/>
      <c r="N26" s="942"/>
      <c r="O26" s="942"/>
      <c r="P26" s="98"/>
      <c r="Q26" s="98"/>
      <c r="R26" s="332" t="s">
        <v>264</v>
      </c>
      <c r="S26" s="332" t="s">
        <v>19</v>
      </c>
      <c r="T26" s="332"/>
      <c r="U26" s="98"/>
      <c r="V26" s="942"/>
      <c r="W26" s="942"/>
      <c r="X26" s="942"/>
      <c r="Y26" s="325"/>
      <c r="Z26" s="325"/>
      <c r="AA26" s="337"/>
      <c r="AB26" s="385"/>
      <c r="AJ26" s="317"/>
      <c r="AK26" s="317"/>
      <c r="AL26" s="317"/>
      <c r="AM26" s="317"/>
      <c r="AN26" s="317"/>
      <c r="AO26" s="317"/>
      <c r="AP26" s="317"/>
      <c r="AQ26" s="317"/>
      <c r="AR26" s="317"/>
    </row>
    <row r="27" spans="1:67" customFormat="1" ht="26.25" customHeight="1">
      <c r="B27" s="1235" t="s">
        <v>39</v>
      </c>
      <c r="C27" s="1235" t="s">
        <v>642</v>
      </c>
      <c r="D27" s="1236" t="str">
        <f>IF(B27=$AC$27,IF(ISNA(VLOOKUP(C27,$I$43:$I$44,1,FALSE)),"Mauvaise planete","OK"),"OK")</f>
        <v>OK</v>
      </c>
      <c r="E27" s="1237" t="s">
        <v>647</v>
      </c>
      <c r="F27" s="1238"/>
      <c r="G27" s="1239">
        <f>heureConvert2Decimal(E27)</f>
        <v>5.8516666666666666</v>
      </c>
      <c r="H27" s="1240" t="s">
        <v>652</v>
      </c>
      <c r="I27" s="1241">
        <f>angleConvert2Decimal(H27)</f>
        <v>62.353333333333332</v>
      </c>
      <c r="J27" s="1242">
        <f>I27-$J$20-$K$19</f>
        <v>62.181625639838281</v>
      </c>
      <c r="K27" s="1243" t="str">
        <f>angleDecimal2Txt(J27,0)</f>
        <v>+62°10.89</v>
      </c>
      <c r="L27" s="1240" t="s">
        <v>660</v>
      </c>
      <c r="M27" s="378">
        <f>angleConvert2Decimal(L27)</f>
        <v>258.44166666666666</v>
      </c>
      <c r="N27" s="1240" t="s">
        <v>661</v>
      </c>
      <c r="O27" s="1244">
        <f>angleConvert2Decimal(N27)</f>
        <v>-16.745000000000001</v>
      </c>
      <c r="P27" s="98"/>
      <c r="Q27" s="942" t="s">
        <v>593</v>
      </c>
      <c r="R27" s="1224">
        <v>5</v>
      </c>
      <c r="S27" s="1225" t="s">
        <v>657</v>
      </c>
      <c r="T27" s="1226">
        <f>angleConvert2Decimal(S27)</f>
        <v>84.438333333333333</v>
      </c>
      <c r="U27" s="98"/>
      <c r="V27" s="1232" t="s">
        <v>93</v>
      </c>
      <c r="W27" s="1233"/>
      <c r="X27" s="1230">
        <v>10</v>
      </c>
      <c r="Y27" s="325"/>
      <c r="Z27" s="325"/>
      <c r="AA27" s="337"/>
      <c r="AB27" s="385"/>
      <c r="AC27" s="340" t="s">
        <v>597</v>
      </c>
    </row>
    <row r="28" spans="1:67" customFormat="1" ht="26.25" customHeight="1">
      <c r="B28" s="76" t="s">
        <v>39</v>
      </c>
      <c r="C28" s="76" t="s">
        <v>643</v>
      </c>
      <c r="D28" s="1236" t="str">
        <f>IF(B28=$AC$27,IF(ISNA(VLOOKUP(C28,$I$43:$I$44,1,FALSE)),"Mauvaise planete","OK"),"OK")</f>
        <v>OK</v>
      </c>
      <c r="E28" s="1237" t="s">
        <v>648</v>
      </c>
      <c r="F28" s="1238"/>
      <c r="G28" s="1245">
        <f>heureConvert2Decimal(E28)</f>
        <v>5.9225000000000003</v>
      </c>
      <c r="H28" s="75" t="s">
        <v>653</v>
      </c>
      <c r="I28" s="1246">
        <f>angleConvert2Decimal(H28)</f>
        <v>60.494999999999997</v>
      </c>
      <c r="J28" s="1247">
        <f t="shared" ref="J28:J31" si="0">I28-$J$20-$K$19</f>
        <v>60.323292306504946</v>
      </c>
      <c r="K28" s="1223" t="str">
        <f t="shared" ref="K28:K31" si="1">angleDecimal2Txt(J28,0)</f>
        <v>+60°19.39</v>
      </c>
      <c r="L28" s="75" t="s">
        <v>662</v>
      </c>
      <c r="M28" s="352">
        <f>angleConvert2Decimal(L28)</f>
        <v>244.85333333333332</v>
      </c>
      <c r="N28" s="75" t="s">
        <v>663</v>
      </c>
      <c r="O28" s="377">
        <f>angleConvert2Decimal(N28)</f>
        <v>5.1633333333333331</v>
      </c>
      <c r="P28" s="98"/>
      <c r="Q28" s="942"/>
      <c r="R28" s="1227">
        <v>6</v>
      </c>
      <c r="S28" s="1228" t="s">
        <v>658</v>
      </c>
      <c r="T28" s="1229">
        <f>angleConvert2Decimal(S28)</f>
        <v>99.48</v>
      </c>
      <c r="U28" s="98"/>
      <c r="V28" s="1234" t="s">
        <v>94</v>
      </c>
      <c r="W28" s="1234"/>
      <c r="X28" s="1231">
        <v>1010</v>
      </c>
      <c r="Y28" s="325"/>
      <c r="Z28" s="325"/>
      <c r="AA28" s="337"/>
      <c r="AB28" s="385"/>
      <c r="AC28" s="341" t="s">
        <v>39</v>
      </c>
    </row>
    <row r="29" spans="1:67" customFormat="1" ht="26.25" customHeight="1">
      <c r="B29" s="76" t="s">
        <v>39</v>
      </c>
      <c r="C29" s="76" t="s">
        <v>644</v>
      </c>
      <c r="D29" s="1236" t="str">
        <f>IF(B29=$AC$27,IF(ISNA(VLOOKUP(C29,$I$43:$I$44,1,FALSE)),"Mauvaise planete","OK"),"OK")</f>
        <v>OK</v>
      </c>
      <c r="E29" s="1237" t="s">
        <v>649</v>
      </c>
      <c r="F29" s="1238"/>
      <c r="G29" s="1245">
        <f>heureConvert2Decimal(E29)</f>
        <v>5.9677777777777781</v>
      </c>
      <c r="H29" s="75" t="s">
        <v>654</v>
      </c>
      <c r="I29" s="1246">
        <f>angleConvert2Decimal(H29)</f>
        <v>31.601666666666667</v>
      </c>
      <c r="J29" s="1247">
        <f t="shared" si="0"/>
        <v>31.429958973171615</v>
      </c>
      <c r="K29" s="1223" t="str">
        <f t="shared" si="1"/>
        <v>+31°25.79</v>
      </c>
      <c r="L29" s="75" t="s">
        <v>664</v>
      </c>
      <c r="M29" s="352">
        <f>angleConvert2Decimal(L29)</f>
        <v>263.875</v>
      </c>
      <c r="N29" s="75" t="s">
        <v>665</v>
      </c>
      <c r="O29" s="377">
        <f>angleConvert2Decimal(N29)</f>
        <v>-52.701666666666668</v>
      </c>
      <c r="P29" s="98"/>
      <c r="Q29" s="942"/>
      <c r="R29" s="1227">
        <v>7</v>
      </c>
      <c r="S29" s="1228" t="s">
        <v>659</v>
      </c>
      <c r="T29" s="1229">
        <f>angleConvert2Decimal(S29)</f>
        <v>114.52166666666666</v>
      </c>
      <c r="U29" s="98"/>
      <c r="V29" s="98"/>
      <c r="W29" s="325"/>
      <c r="X29" s="325"/>
      <c r="Y29" s="325"/>
      <c r="Z29" s="325"/>
      <c r="AA29" s="337"/>
      <c r="AB29" s="385"/>
    </row>
    <row r="30" spans="1:67" customFormat="1" ht="26.25" customHeight="1">
      <c r="B30" s="76" t="s">
        <v>39</v>
      </c>
      <c r="C30" s="76" t="s">
        <v>645</v>
      </c>
      <c r="D30" s="1236" t="str">
        <f>IF(B30=$AC$27,IF(ISNA(VLOOKUP(C30,$I$43:$I$44,1,FALSE)),"Mauvaise planete","OK"),"OK")</f>
        <v>OK</v>
      </c>
      <c r="E30" s="1237" t="s">
        <v>650</v>
      </c>
      <c r="F30" s="1238"/>
      <c r="G30" s="1245">
        <f>heureConvert2Decimal(E30)</f>
        <v>6.0138888888888893</v>
      </c>
      <c r="H30" s="75" t="s">
        <v>655</v>
      </c>
      <c r="I30" s="1246">
        <f>angleConvert2Decimal(H30)</f>
        <v>48.94</v>
      </c>
      <c r="J30" s="1247">
        <f t="shared" si="0"/>
        <v>48.768292306504947</v>
      </c>
      <c r="K30" s="1223" t="str">
        <f t="shared" si="1"/>
        <v>+48°46.09</v>
      </c>
      <c r="L30" s="75" t="s">
        <v>666</v>
      </c>
      <c r="M30" s="352">
        <f>angleConvert2Decimal(L30)</f>
        <v>280.36833333333334</v>
      </c>
      <c r="N30" s="75" t="s">
        <v>667</v>
      </c>
      <c r="O30" s="377">
        <f>angleConvert2Decimal(N30)</f>
        <v>46.021666666666668</v>
      </c>
      <c r="P30" s="98"/>
      <c r="Q30" s="98"/>
      <c r="R30" s="98" t="s">
        <v>264</v>
      </c>
      <c r="S30" s="98" t="s">
        <v>19</v>
      </c>
      <c r="T30" s="98" t="s">
        <v>147</v>
      </c>
      <c r="U30" s="98"/>
      <c r="V30" s="98"/>
      <c r="W30" s="325"/>
      <c r="X30" s="325"/>
      <c r="Y30" s="325"/>
      <c r="Z30" s="325"/>
      <c r="AA30" s="337"/>
      <c r="AB30" s="385"/>
      <c r="AH30" t="s">
        <v>670</v>
      </c>
      <c r="AI30" s="98"/>
      <c r="AJ30" s="98"/>
      <c r="AK30" s="98"/>
      <c r="AL30" s="98"/>
      <c r="AM30" s="98"/>
      <c r="AN30" s="98"/>
      <c r="AO30" s="98"/>
    </row>
    <row r="31" spans="1:67" customFormat="1" ht="26.25" customHeight="1">
      <c r="B31" s="76" t="s">
        <v>39</v>
      </c>
      <c r="C31" s="76" t="s">
        <v>646</v>
      </c>
      <c r="D31" s="1236" t="str">
        <f>IF(B31=$AC$27,IF(ISNA(VLOOKUP(C31,$I$43:$I$44,1,FALSE)),"Mauvaise planete","OK"),"OK")</f>
        <v>OK</v>
      </c>
      <c r="E31" s="1237" t="s">
        <v>651</v>
      </c>
      <c r="F31" s="1238"/>
      <c r="G31" s="1245">
        <f>heureConvert2Decimal(E31)</f>
        <v>6.0986111111111105</v>
      </c>
      <c r="H31" s="75" t="s">
        <v>656</v>
      </c>
      <c r="I31" s="1246">
        <f>angleConvert2Decimal(H31)</f>
        <v>33.505000000000003</v>
      </c>
      <c r="J31" s="1247">
        <f t="shared" si="0"/>
        <v>33.333292306504951</v>
      </c>
      <c r="K31" s="1223" t="str">
        <f t="shared" si="1"/>
        <v>+33°19.99</v>
      </c>
      <c r="L31" s="75" t="s">
        <v>668</v>
      </c>
      <c r="M31" s="352">
        <f>angleConvert2Decimal(L31)</f>
        <v>327.85333333333335</v>
      </c>
      <c r="N31" s="75" t="s">
        <v>669</v>
      </c>
      <c r="O31" s="377">
        <f>angleConvert2Decimal(N31)</f>
        <v>23.58</v>
      </c>
      <c r="P31" s="98"/>
      <c r="Q31" s="332" t="s">
        <v>593</v>
      </c>
      <c r="R31" s="1227">
        <v>0</v>
      </c>
      <c r="S31" s="1228" t="s">
        <v>600</v>
      </c>
      <c r="T31" s="1227" t="s">
        <v>625</v>
      </c>
      <c r="U31" s="98"/>
      <c r="V31" s="98"/>
      <c r="W31" s="325"/>
      <c r="X31" s="325"/>
      <c r="Y31" s="325"/>
      <c r="Z31" s="325"/>
      <c r="AA31" s="337"/>
      <c r="AB31" s="385"/>
      <c r="AK31" s="362" t="s">
        <v>239</v>
      </c>
      <c r="AL31" s="363"/>
      <c r="AM31" s="363"/>
      <c r="AN31" s="362" t="s">
        <v>240</v>
      </c>
      <c r="AO31" s="363"/>
      <c r="AP31" s="364"/>
    </row>
    <row r="32" spans="1:67" customFormat="1" ht="14.25" customHeight="1">
      <c r="E32" s="1252"/>
      <c r="F32" s="334"/>
      <c r="I32" s="98"/>
      <c r="J32" s="98"/>
      <c r="K32" s="98"/>
      <c r="L32" s="98"/>
      <c r="M32" s="337"/>
      <c r="N32" s="98"/>
      <c r="O32" s="98"/>
      <c r="P32" s="98"/>
      <c r="U32" s="98"/>
      <c r="V32" s="98"/>
      <c r="W32" s="325"/>
      <c r="X32" s="325"/>
      <c r="Y32" s="325"/>
      <c r="Z32" s="325"/>
      <c r="AA32" s="337"/>
      <c r="AB32" s="388"/>
      <c r="AK32" s="365"/>
      <c r="AL32" s="366" t="s">
        <v>182</v>
      </c>
      <c r="AM32" s="367" t="s">
        <v>183</v>
      </c>
      <c r="AN32" s="365"/>
      <c r="AO32" s="366" t="s">
        <v>182</v>
      </c>
      <c r="AP32" s="367" t="s">
        <v>184</v>
      </c>
    </row>
    <row r="33" spans="1:67" customFormat="1" ht="12.75" customHeight="1">
      <c r="C33" s="97"/>
      <c r="D33" s="97"/>
      <c r="E33" s="944" t="s">
        <v>601</v>
      </c>
      <c r="F33" s="944"/>
      <c r="G33" s="945" t="s">
        <v>602</v>
      </c>
      <c r="H33" s="945" t="s">
        <v>603</v>
      </c>
      <c r="I33" s="945"/>
      <c r="J33" s="945"/>
      <c r="K33" s="404" t="s">
        <v>127</v>
      </c>
      <c r="L33" s="404" t="s">
        <v>127</v>
      </c>
      <c r="M33" s="937" t="s">
        <v>137</v>
      </c>
      <c r="N33" s="937"/>
      <c r="O33" s="939" t="s">
        <v>593</v>
      </c>
      <c r="P33" s="939"/>
      <c r="Q33" s="939"/>
      <c r="R33" s="939"/>
      <c r="S33" s="939"/>
      <c r="T33" s="939"/>
      <c r="U33" s="941" t="s">
        <v>594</v>
      </c>
      <c r="V33" s="941" t="s">
        <v>51</v>
      </c>
      <c r="W33" s="941" t="s">
        <v>424</v>
      </c>
      <c r="X33" s="941"/>
      <c r="Y33" s="954" t="s">
        <v>595</v>
      </c>
      <c r="Z33" s="954" t="s">
        <v>596</v>
      </c>
      <c r="AA33" s="374" t="s">
        <v>623</v>
      </c>
      <c r="AB33" s="954" t="s">
        <v>124</v>
      </c>
      <c r="AD33" s="354" t="s">
        <v>618</v>
      </c>
      <c r="AE33" s="354"/>
      <c r="AF33" s="354"/>
      <c r="AG33" s="354"/>
      <c r="AH33" s="354"/>
      <c r="AI33" s="358" t="s">
        <v>620</v>
      </c>
      <c r="AJ33" s="359"/>
      <c r="AK33" s="359"/>
      <c r="AL33" s="368"/>
      <c r="AM33" s="369" t="s">
        <v>119</v>
      </c>
      <c r="AO33" s="368"/>
      <c r="AP33" s="369" t="s">
        <v>120</v>
      </c>
      <c r="AQ33" s="369"/>
    </row>
    <row r="34" spans="1:67" customFormat="1" ht="22.5" customHeight="1">
      <c r="C34" s="97"/>
      <c r="D34" s="97"/>
      <c r="E34" s="944"/>
      <c r="F34" s="944"/>
      <c r="G34" s="945"/>
      <c r="H34" s="349" t="s">
        <v>128</v>
      </c>
      <c r="I34" s="349" t="s">
        <v>611</v>
      </c>
      <c r="J34" s="349" t="s">
        <v>341</v>
      </c>
      <c r="K34" s="405" t="s">
        <v>628</v>
      </c>
      <c r="L34" s="408" t="s">
        <v>634</v>
      </c>
      <c r="M34" s="937"/>
      <c r="N34" s="937"/>
      <c r="O34" s="346" t="s">
        <v>612</v>
      </c>
      <c r="P34" s="346" t="s">
        <v>613</v>
      </c>
      <c r="Q34" s="346" t="s">
        <v>614</v>
      </c>
      <c r="R34" s="346" t="s">
        <v>627</v>
      </c>
      <c r="S34" s="332" t="s">
        <v>626</v>
      </c>
      <c r="T34" s="1221" t="s">
        <v>686</v>
      </c>
      <c r="U34" s="941"/>
      <c r="V34" s="941"/>
      <c r="W34" s="941"/>
      <c r="X34" s="941"/>
      <c r="Y34" s="954"/>
      <c r="Z34" s="954"/>
      <c r="AA34" s="375" t="s">
        <v>624</v>
      </c>
      <c r="AB34" s="954"/>
      <c r="AC34" s="323" t="s">
        <v>615</v>
      </c>
      <c r="AD34" s="323" t="s">
        <v>616</v>
      </c>
      <c r="AE34" s="324" t="s">
        <v>617</v>
      </c>
      <c r="AF34" s="355"/>
      <c r="AG34" s="356" t="s">
        <v>424</v>
      </c>
      <c r="AH34" s="143" t="s">
        <v>671</v>
      </c>
      <c r="AI34" s="360"/>
      <c r="AJ34" s="361" t="s">
        <v>125</v>
      </c>
      <c r="AK34" s="315" t="s">
        <v>621</v>
      </c>
      <c r="AL34" s="370" t="s">
        <v>622</v>
      </c>
      <c r="AM34" s="370" t="s">
        <v>124</v>
      </c>
      <c r="AQ34" s="98"/>
    </row>
    <row r="35" spans="1:67" customFormat="1" ht="17.25" customHeight="1">
      <c r="C35" s="332" t="str">
        <f t="shared" ref="C35:D39" si="2">B27</f>
        <v>Etoile</v>
      </c>
      <c r="D35" s="332" t="str">
        <f t="shared" si="2"/>
        <v>Sirius</v>
      </c>
      <c r="E35" s="1253">
        <f>IF(B27=$AC$27,IF(ISNA(VLOOKUP(C27,$I$43:$I$44,1,FALSE)),0,VLOOKUP(C27,$I$43:$J$44,2,FALSE)),0)</f>
        <v>0</v>
      </c>
      <c r="F35" s="381">
        <f>angleConvert2Decimal(E35)</f>
        <v>0</v>
      </c>
      <c r="G35" s="350">
        <f>ASIN(SIN(F35*Outils!$F$10)*COS(J27*Outils!$F$10))*Outils!$F$11</f>
        <v>0</v>
      </c>
      <c r="H35" s="955">
        <f>0.28*$X$28/(273+$X$27)</f>
        <v>0.99929328621908131</v>
      </c>
      <c r="I35" s="350">
        <f>(1/TAN(Outils!$F$10*(J27+7.31/(J27+4.4))))/60</f>
        <v>8.7533812352563641E-3</v>
      </c>
      <c r="J35" s="350">
        <f>I35*$H$35</f>
        <v>8.7471951001077738E-3</v>
      </c>
      <c r="K35" s="406" t="str">
        <f>angleDecimal2Txt(G35-$P$19-J35,0)</f>
        <v>-00°09.82</v>
      </c>
      <c r="L35" s="409" t="str">
        <f>angleDecimal2Txt(AI44,0)</f>
        <v>+00°00.00</v>
      </c>
      <c r="M35" s="410">
        <f>J27-F35+G35-J35+angleConvert2Decimal(L35)</f>
        <v>62.172878444738174</v>
      </c>
      <c r="N35" s="411" t="str">
        <f>angleDecimal2Txt(M35,0)</f>
        <v>+62°10.37</v>
      </c>
      <c r="O35" s="377">
        <f>INT(G27)</f>
        <v>5</v>
      </c>
      <c r="P35" s="377">
        <f>VLOOKUP($O35,$R$27:$T$29,3,FALSE)</f>
        <v>84.438333333333333</v>
      </c>
      <c r="Q35" s="377">
        <f>VLOOKUP(1+$O35,$R$27:$T$29,3,FALSE)</f>
        <v>99.48</v>
      </c>
      <c r="R35" s="382">
        <f>P35+(Q35-P35)*(G27-O35)</f>
        <v>97.24881944444445</v>
      </c>
      <c r="S35" s="383">
        <f>angleConvert2Decimal($S$31)+angleConvert2Decimal($T$31)*(G27-$R$31)</f>
        <v>183.39644505555555</v>
      </c>
      <c r="T35" s="384">
        <f>R35</f>
        <v>97.24881944444445</v>
      </c>
      <c r="U35" s="378">
        <f>$F$16+R35</f>
        <v>84.398819444444456</v>
      </c>
      <c r="V35" s="378">
        <f>IF(U35+M27&gt;360,U35+M27-360,U35+M27)</f>
        <v>342.84048611111109</v>
      </c>
      <c r="W35" s="352">
        <f>AG35</f>
        <v>62.342378248487947</v>
      </c>
      <c r="X35" s="361" t="str">
        <f>angleDecimal2Txt(W35,0)</f>
        <v>+62°20.54</v>
      </c>
      <c r="Y35" s="379">
        <f>60*(M35-W35)</f>
        <v>-10.169988224986355</v>
      </c>
      <c r="Z35" s="372" t="str">
        <f>IF(Y35&gt;0,"Vers Pg", "Oppose de Pg")</f>
        <v>Oppose de Pg</v>
      </c>
      <c r="AA35" s="373" t="str">
        <f>CONCATENATE(TEXT(O27,"#,00")," / ",IF(R35+M27&gt;360,TEXT(R35+M27-360,"#,00"),TEXT(R35+M27,"#,00")))</f>
        <v>-16,75 / 355,69</v>
      </c>
      <c r="AB35" s="380">
        <f>AM35</f>
        <v>124.49930793252736</v>
      </c>
      <c r="AC35" s="323">
        <f>Outils!$F$10 * O27</f>
        <v>-0.29225538324645051</v>
      </c>
      <c r="AD35" s="323">
        <f>Outils!$F$10 * $F$12</f>
        <v>8.9011791851710806E-2</v>
      </c>
      <c r="AE35" s="323">
        <f>Outils!$F$10 * V35</f>
        <v>5.9836952917767787</v>
      </c>
      <c r="AF35" s="357">
        <f>SIN(AC35)*SIN(AD35)+COS(AC35)*COS(AD35)*COS(AE35)</f>
        <v>0.88573719929365613</v>
      </c>
      <c r="AG35" s="356">
        <f>ASIN(AF35)*Outils!$F$11</f>
        <v>62.342378248487947</v>
      </c>
      <c r="AH35" s="143">
        <f>SIGN(O27*$F$16)</f>
        <v>1</v>
      </c>
      <c r="AI35" s="98">
        <f>(SIN(AC35)-SIN(AD35)*SIN(AF35))/(COS(AD35)*COS(AF35))</f>
        <v>-0.56639628238192008</v>
      </c>
      <c r="AJ35" s="361">
        <f>ACOS(AI35)*Outils!$F$11</f>
        <v>124.49930793252736</v>
      </c>
      <c r="AK35" s="938" t="b">
        <f>$F$12&gt;0</f>
        <v>1</v>
      </c>
      <c r="AL35" s="371" t="b">
        <f>AE35&gt;PI()</f>
        <v>1</v>
      </c>
      <c r="AM35" s="371">
        <f>IF($AK$35,IF(AL35,AJ35,360-AJ35),IF(AK35,180-AJ35,180+AJ35))</f>
        <v>124.49930793252736</v>
      </c>
      <c r="AN35">
        <f>180+AM35</f>
        <v>304.49930793252736</v>
      </c>
    </row>
    <row r="36" spans="1:67" customFormat="1" ht="17.25" customHeight="1" collapsed="1">
      <c r="C36" s="332" t="str">
        <f t="shared" si="2"/>
        <v>Etoile</v>
      </c>
      <c r="D36" s="332" t="str">
        <f t="shared" si="2"/>
        <v>Procyon</v>
      </c>
      <c r="E36" s="1254">
        <f>IF(B28=$AC$27,IF(ISNA(VLOOKUP(C28,$I$43:$I$44,1,FALSE)),0,VLOOKUP(C28,$I$43:$J$44,2,FALSE)),0)</f>
        <v>0</v>
      </c>
      <c r="F36" s="381">
        <f t="shared" ref="F36:F39" si="3">angleConvert2Decimal(E36)</f>
        <v>0</v>
      </c>
      <c r="G36" s="350">
        <f>ASIN(SIN(F36*Outils!$F$10)*COS(J28*Outils!$F$10))*Outils!$F$11</f>
        <v>0</v>
      </c>
      <c r="H36" s="956"/>
      <c r="I36" s="350">
        <f>(1/TAN(Outils!$F$10*(J28+7.31/(J28+4.4))))/60</f>
        <v>9.4540477125991777E-3</v>
      </c>
      <c r="J36" s="350">
        <f>I36*$H$35</f>
        <v>9.4473664067952212E-3</v>
      </c>
      <c r="K36" s="406" t="str">
        <f t="shared" ref="K36:K39" si="4">angleDecimal2Txt(G36-$P$19-J36,0)</f>
        <v>-00°09.86</v>
      </c>
      <c r="L36" s="409" t="str">
        <f>angleDecimal2Txt(AI45,0)</f>
        <v>+00°00.00</v>
      </c>
      <c r="M36" s="410">
        <f t="shared" ref="M36:M39" si="5">J28-F36+G36-J36+angleConvert2Decimal(L36)</f>
        <v>60.31384494009815</v>
      </c>
      <c r="N36" s="411" t="str">
        <f t="shared" ref="N36:N39" si="6">angleDecimal2Txt(M36,0)</f>
        <v>+60°18.83</v>
      </c>
      <c r="O36" s="377">
        <f>INT(G28)</f>
        <v>5</v>
      </c>
      <c r="P36" s="377">
        <f t="shared" ref="P36:P39" si="7">VLOOKUP($O36,$R$27:$T$29,3,FALSE)</f>
        <v>84.438333333333333</v>
      </c>
      <c r="Q36" s="377">
        <f t="shared" ref="Q36:Q39" si="8">VLOOKUP(1+$O36,$R$27:$T$29,3,FALSE)</f>
        <v>99.48</v>
      </c>
      <c r="R36" s="382">
        <f>P36+(Q36-P36)*(G28-O36)</f>
        <v>98.314270833333339</v>
      </c>
      <c r="S36" s="383">
        <f>angleConvert2Decimal($S$31)+angleConvert2Decimal($T$31)*(G28-$R$31)</f>
        <v>183.41415574999999</v>
      </c>
      <c r="T36" s="384">
        <f>R36</f>
        <v>98.314270833333339</v>
      </c>
      <c r="U36" s="352">
        <f>$F$16+R36</f>
        <v>85.464270833333345</v>
      </c>
      <c r="V36" s="378">
        <f>IF(U36+M28&gt;360,U36+M28-360,U36+M28)</f>
        <v>330.31760416666668</v>
      </c>
      <c r="W36" s="352">
        <f>AG36</f>
        <v>60.439228533284705</v>
      </c>
      <c r="X36" s="361" t="str">
        <f t="shared" ref="X36:X39" si="9">angleDecimal2Txt(W36,0)</f>
        <v>+60°26.35</v>
      </c>
      <c r="Y36" s="379">
        <f t="shared" ref="Y36:Y39" si="10">60*(M36-W36)</f>
        <v>-7.5230155911933139</v>
      </c>
      <c r="Z36" s="372" t="str">
        <f>IF(Y36&gt;0,"Vers Pg", "Oppose de Pg")</f>
        <v>Oppose de Pg</v>
      </c>
      <c r="AA36" s="373" t="str">
        <f>CONCATENATE(TEXT(O28,"#,00")," / ",IF(R36+M28&gt;360,TEXT(R36+M28-360,"#,00"),TEXT(R36+M28,"#,00")))</f>
        <v>5,16 / 343,17</v>
      </c>
      <c r="AB36" s="380">
        <f>AM36</f>
        <v>88.032050219632879</v>
      </c>
      <c r="AC36" s="323">
        <f>Outils!$F$10 * O28</f>
        <v>9.0117167044640539E-2</v>
      </c>
      <c r="AD36" s="323">
        <f>Outils!$F$10 * $F$12</f>
        <v>8.9011791851710806E-2</v>
      </c>
      <c r="AE36" s="323">
        <f>Outils!$F$10 * V36</f>
        <v>5.7651297700076736</v>
      </c>
      <c r="AF36" s="357">
        <f t="shared" ref="AF36:AF39" si="11">SIN(AC36)*SIN(AD36)+COS(AC36)*COS(AD36)*COS(AE36)</f>
        <v>0.86983291141151298</v>
      </c>
      <c r="AG36" s="356">
        <f>ASIN(AF36)*Outils!$F$11</f>
        <v>60.439228533284705</v>
      </c>
      <c r="AH36" s="143">
        <f t="shared" ref="AH36:AH39" si="12">SIGN(O28*$F$16)</f>
        <v>-1</v>
      </c>
      <c r="AI36" s="98">
        <f t="shared" ref="AI36:AI39" si="13">(SIN(AC36)-SIN(AD36)*SIN(AF36))/(COS(AD36)*COS(AF36))</f>
        <v>3.4340450173222112E-2</v>
      </c>
      <c r="AJ36" s="361">
        <f>ACOS(AI36)*Outils!$F$11</f>
        <v>88.032050219632879</v>
      </c>
      <c r="AK36" s="938"/>
      <c r="AL36" s="371" t="b">
        <f t="shared" ref="AL36:AL39" si="14">AE36&gt;PI()</f>
        <v>1</v>
      </c>
      <c r="AM36" s="371">
        <f>IF($AK$35,IF(AL36,AJ36,360-AJ36),IF(AK36,180-AJ36,180+AJ36))</f>
        <v>88.032050219632879</v>
      </c>
      <c r="AY36" s="98"/>
      <c r="AZ36" s="98"/>
      <c r="BA36" s="98"/>
      <c r="BB36" s="98"/>
      <c r="BC36" s="98"/>
    </row>
    <row r="37" spans="1:67" customFormat="1" ht="17.25" customHeight="1">
      <c r="C37" s="332" t="str">
        <f t="shared" si="2"/>
        <v>Etoile</v>
      </c>
      <c r="D37" s="332" t="str">
        <f t="shared" si="2"/>
        <v>Canopus</v>
      </c>
      <c r="E37" s="1254">
        <f>IF(B29=$AC$27,IF(ISNA(VLOOKUP(C29,$I$43:$I$44,1,FALSE)),0,VLOOKUP(C29,$I$43:$J$44,2,FALSE)),0)</f>
        <v>0</v>
      </c>
      <c r="F37" s="381">
        <f t="shared" si="3"/>
        <v>0</v>
      </c>
      <c r="G37" s="350">
        <f>ASIN(SIN(F37*Outils!$F$10)*COS(J29*Outils!$F$10))*Outils!$F$11</f>
        <v>0</v>
      </c>
      <c r="H37" s="956"/>
      <c r="I37" s="350">
        <f>(1/TAN(Outils!$F$10*(J29+7.31/(J29+4.4))))/60</f>
        <v>2.7055315956055811E-2</v>
      </c>
      <c r="J37" s="350">
        <f>I37*$H$35</f>
        <v>2.7036195591422556E-2</v>
      </c>
      <c r="K37" s="406" t="str">
        <f t="shared" si="4"/>
        <v>-00°10.92</v>
      </c>
      <c r="L37" s="409" t="str">
        <f>angleDecimal2Txt(AI46,0)</f>
        <v>+00°00.00</v>
      </c>
      <c r="M37" s="410">
        <f t="shared" si="5"/>
        <v>31.402922777580194</v>
      </c>
      <c r="N37" s="411" t="str">
        <f t="shared" si="6"/>
        <v>+31°24.17</v>
      </c>
      <c r="O37" s="377">
        <f>INT(G29)</f>
        <v>5</v>
      </c>
      <c r="P37" s="377">
        <f t="shared" si="7"/>
        <v>84.438333333333333</v>
      </c>
      <c r="Q37" s="377">
        <f t="shared" si="8"/>
        <v>99.48</v>
      </c>
      <c r="R37" s="382">
        <f>P37+(Q37-P37)*(G29-O37)</f>
        <v>98.995324074074077</v>
      </c>
      <c r="S37" s="383">
        <f>angleConvert2Decimal($S$31)+angleConvert2Decimal($T$31)*(G29-$R$31)</f>
        <v>183.42547670370371</v>
      </c>
      <c r="T37" s="384">
        <f>R37</f>
        <v>98.995324074074077</v>
      </c>
      <c r="U37" s="352">
        <f>$F$16+R37</f>
        <v>86.145324074074082</v>
      </c>
      <c r="V37" s="378">
        <f>IF(U37+M29&gt;360,U37+M29-360,U37+M29)</f>
        <v>350.0203240740741</v>
      </c>
      <c r="W37" s="352">
        <f>AG37</f>
        <v>31.582065319587482</v>
      </c>
      <c r="X37" s="361" t="str">
        <f t="shared" si="9"/>
        <v>+31°34.92</v>
      </c>
      <c r="Y37" s="379">
        <f t="shared" si="10"/>
        <v>-10.748552520437258</v>
      </c>
      <c r="Z37" s="372" t="str">
        <f>IF(Y37&gt;0,"Vers Pg", "Oppose de Pg")</f>
        <v>Oppose de Pg</v>
      </c>
      <c r="AA37" s="373" t="str">
        <f>CONCATENATE(TEXT(O29,"#,00")," / ",IF(R37+M29&gt;360,TEXT(R37+M29-360,"#,00"),TEXT(R37+M29,"#,00")))</f>
        <v>-52,70 / 2,87</v>
      </c>
      <c r="AB37" s="380">
        <f>AM37</f>
        <v>166.85826343454016</v>
      </c>
      <c r="AC37" s="323">
        <f>Outils!$F$10 * O29</f>
        <v>-0.91981760462187823</v>
      </c>
      <c r="AD37" s="323">
        <f>Outils!$F$10 * $F$12</f>
        <v>8.9011791851710806E-2</v>
      </c>
      <c r="AE37" s="323">
        <f>Outils!$F$10 * V37</f>
        <v>6.1090071039901659</v>
      </c>
      <c r="AF37" s="357">
        <f t="shared" si="11"/>
        <v>0.52371927340054036</v>
      </c>
      <c r="AG37" s="356">
        <f>ASIN(AF37)*Outils!$F$11</f>
        <v>31.582065319587482</v>
      </c>
      <c r="AH37" s="143">
        <f t="shared" si="12"/>
        <v>1</v>
      </c>
      <c r="AI37" s="98">
        <f t="shared" si="13"/>
        <v>-0.97381060689691712</v>
      </c>
      <c r="AJ37" s="361">
        <f>ACOS(AI37)*Outils!$F$11</f>
        <v>166.85826343454016</v>
      </c>
      <c r="AK37" s="938"/>
      <c r="AL37" s="371" t="b">
        <f t="shared" si="14"/>
        <v>1</v>
      </c>
      <c r="AM37" s="371">
        <f>IF($AK$35,IF(AL37,AJ37,360-AJ37),IF(AK37,180-AJ37,180+AJ37))</f>
        <v>166.85826343454016</v>
      </c>
      <c r="AY37" s="98"/>
      <c r="AZ37" s="98"/>
      <c r="BA37" s="98"/>
      <c r="BB37" s="98"/>
      <c r="BC37" s="98"/>
    </row>
    <row r="38" spans="1:67" customFormat="1" ht="17.25" customHeight="1">
      <c r="C38" s="332" t="str">
        <f t="shared" si="2"/>
        <v>Etoile</v>
      </c>
      <c r="D38" s="332" t="str">
        <f t="shared" si="2"/>
        <v>Capella</v>
      </c>
      <c r="E38" s="1254">
        <f>IF(B30=$AC$27,IF(ISNA(VLOOKUP(C30,$I$43:$I$44,1,FALSE)),0,VLOOKUP(C30,$I$43:$J$44,2,FALSE)),0)</f>
        <v>0</v>
      </c>
      <c r="F38" s="381">
        <f t="shared" si="3"/>
        <v>0</v>
      </c>
      <c r="G38" s="350">
        <f>ASIN(SIN(F38*Outils!$F$10)*COS(J30*Outils!$F$10))*Outils!$F$11</f>
        <v>0</v>
      </c>
      <c r="H38" s="956"/>
      <c r="I38" s="350">
        <f>(1/TAN(Outils!$F$10*(J30+7.31/(J30+4.4))))/60</f>
        <v>1.4536299300846002E-2</v>
      </c>
      <c r="J38" s="350">
        <f>I38*$H$35</f>
        <v>1.4526026297806536E-2</v>
      </c>
      <c r="K38" s="406" t="str">
        <f t="shared" si="4"/>
        <v>-00°10.17</v>
      </c>
      <c r="L38" s="409" t="str">
        <f>angleDecimal2Txt(AI47,0)</f>
        <v>+00°00.00</v>
      </c>
      <c r="M38" s="410">
        <f t="shared" si="5"/>
        <v>48.753766280207138</v>
      </c>
      <c r="N38" s="411" t="str">
        <f t="shared" si="6"/>
        <v>+48°45.22</v>
      </c>
      <c r="O38" s="377">
        <f>INT(G30)</f>
        <v>6</v>
      </c>
      <c r="P38" s="377">
        <f t="shared" si="7"/>
        <v>99.48</v>
      </c>
      <c r="Q38" s="377">
        <f t="shared" si="8"/>
        <v>114.52166666666666</v>
      </c>
      <c r="R38" s="382">
        <f>P38+(Q38-P38)*(G30-O38)</f>
        <v>99.688912037037042</v>
      </c>
      <c r="S38" s="383">
        <f>angleConvert2Decimal($S$31)+angleConvert2Decimal($T$31)*(G30-$R$31)</f>
        <v>183.43700601851853</v>
      </c>
      <c r="T38" s="384">
        <f>R38</f>
        <v>99.688912037037042</v>
      </c>
      <c r="U38" s="352">
        <f>$F$16+R38</f>
        <v>86.838912037037048</v>
      </c>
      <c r="V38" s="378">
        <f>IF(U38+M30&gt;360,U38+M30-360,U38+M30)</f>
        <v>7.2072453703704014</v>
      </c>
      <c r="W38" s="352">
        <f>AG38</f>
        <v>48.602600852584409</v>
      </c>
      <c r="X38" s="361" t="str">
        <f t="shared" si="9"/>
        <v>+48°36.15</v>
      </c>
      <c r="Y38" s="379">
        <f t="shared" si="10"/>
        <v>9.0699256573637399</v>
      </c>
      <c r="Z38" s="372" t="str">
        <f>IF(Y38&gt;0,"Vers Pg", "Oppose de Pg")</f>
        <v>Vers Pg</v>
      </c>
      <c r="AA38" s="373" t="str">
        <f>CONCATENATE(TEXT(O30,"#,00")," / ",IF(R38+M30&gt;360,TEXT(R38+M30-360,"#,00"),TEXT(R38+M30,"#,00")))</f>
        <v>46,02 / 20,06</v>
      </c>
      <c r="AB38" s="380">
        <f>AM38</f>
        <v>334.7364163358946</v>
      </c>
      <c r="AC38" s="323">
        <f>Outils!$F$10 * O30</f>
        <v>0.80322961058865705</v>
      </c>
      <c r="AD38" s="323">
        <f>Outils!$F$10 * $F$12</f>
        <v>8.9011791851710806E-2</v>
      </c>
      <c r="AE38" s="323">
        <f>Outils!$F$10 * V38</f>
        <v>0.12579016171208168</v>
      </c>
      <c r="AF38" s="357">
        <f t="shared" si="11"/>
        <v>0.75014108807873581</v>
      </c>
      <c r="AG38" s="356">
        <f>ASIN(AF38)*Outils!$F$11</f>
        <v>48.602600852584409</v>
      </c>
      <c r="AH38" s="143">
        <f t="shared" si="12"/>
        <v>-1</v>
      </c>
      <c r="AI38" s="98">
        <f t="shared" si="13"/>
        <v>0.90435398926391075</v>
      </c>
      <c r="AJ38" s="361">
        <f>ACOS(AI38)*Outils!$F$11</f>
        <v>25.26358366410539</v>
      </c>
      <c r="AK38" s="938"/>
      <c r="AL38" s="371" t="b">
        <f t="shared" si="14"/>
        <v>0</v>
      </c>
      <c r="AM38" s="371">
        <f>IF($AK$35,IF(AL38,AJ38,360-AJ38),IF(AK38,180-AJ38,180+AJ38))</f>
        <v>334.7364163358946</v>
      </c>
      <c r="AY38" s="98"/>
      <c r="AZ38" s="98"/>
      <c r="BA38" s="98"/>
      <c r="BB38" s="98"/>
      <c r="BC38" s="98"/>
    </row>
    <row r="39" spans="1:67" customFormat="1" ht="17.25" customHeight="1">
      <c r="C39" s="332" t="str">
        <f t="shared" si="2"/>
        <v>Etoile</v>
      </c>
      <c r="D39" s="332" t="str">
        <f t="shared" si="2"/>
        <v>Hamal</v>
      </c>
      <c r="E39" s="1254">
        <f>IF(B31=$AC$27,IF(ISNA(VLOOKUP(C31,$I$43:$I$44,1,FALSE)),0,VLOOKUP(C31,$I$43:$J$44,2,FALSE)),0)</f>
        <v>0</v>
      </c>
      <c r="F39" s="381">
        <f t="shared" si="3"/>
        <v>0</v>
      </c>
      <c r="G39" s="350">
        <f>ASIN(SIN(F39*Outils!$F$10)*COS(J31*Outils!$F$10))*Outils!$F$11</f>
        <v>0</v>
      </c>
      <c r="H39" s="957"/>
      <c r="I39" s="350">
        <f>(1/TAN(Outils!$F$10*(J31+7.31/(J31+4.4))))/60</f>
        <v>2.5154803757695122E-2</v>
      </c>
      <c r="J39" s="350">
        <f>I39*$H$35</f>
        <v>2.5137026511223255E-2</v>
      </c>
      <c r="K39" s="406" t="str">
        <f t="shared" si="4"/>
        <v>-00°10.81</v>
      </c>
      <c r="L39" s="409" t="str">
        <f>angleDecimal2Txt(AI48,0)</f>
        <v>+00°00.00</v>
      </c>
      <c r="M39" s="410">
        <f t="shared" si="5"/>
        <v>33.308155279993727</v>
      </c>
      <c r="N39" s="411" t="str">
        <f t="shared" si="6"/>
        <v>+33°18.48</v>
      </c>
      <c r="O39" s="377">
        <f>INT(G31)</f>
        <v>6</v>
      </c>
      <c r="P39" s="377">
        <f t="shared" si="7"/>
        <v>99.48</v>
      </c>
      <c r="Q39" s="377">
        <f t="shared" si="8"/>
        <v>114.52166666666666</v>
      </c>
      <c r="R39" s="382">
        <f>P39+(Q39-P39)*(G31-O39)</f>
        <v>100.96327546296295</v>
      </c>
      <c r="S39" s="383">
        <f>angleConvert2Decimal($S$31)+angleConvert2Decimal($T$31)*(G31-$R$31)</f>
        <v>183.45818939814816</v>
      </c>
      <c r="T39" s="384">
        <f>R39</f>
        <v>100.96327546296295</v>
      </c>
      <c r="U39" s="352">
        <f>$F$16+R39</f>
        <v>88.11327546296296</v>
      </c>
      <c r="V39" s="378">
        <f>IF(U39+M31&gt;360,U39+M31-360,U39+M31)</f>
        <v>55.966608796296327</v>
      </c>
      <c r="W39" s="352">
        <f>AG39</f>
        <v>33.125447160393762</v>
      </c>
      <c r="X39" s="361" t="str">
        <f t="shared" si="9"/>
        <v>+33°07.52</v>
      </c>
      <c r="Y39" s="379">
        <f t="shared" si="10"/>
        <v>10.962487175997921</v>
      </c>
      <c r="Z39" s="372" t="str">
        <f>IF(Y39&gt;0,"Vers Pg", "Oppose de Pg")</f>
        <v>Vers Pg</v>
      </c>
      <c r="AA39" s="373" t="str">
        <f>CONCATENATE(TEXT(O31,"#,00")," / ",IF(R39+M31&gt;360,TEXT(R39+M31-360,"#,00"),TEXT(R39+M31,"#,00")))</f>
        <v>23,58 / 68,82</v>
      </c>
      <c r="AB39" s="380">
        <f>AM39</f>
        <v>294.56935862256734</v>
      </c>
      <c r="AC39" s="323">
        <f>Outils!$F$10 * O31</f>
        <v>0.41154863762026289</v>
      </c>
      <c r="AD39" s="323">
        <f>Outils!$F$10 * $F$12</f>
        <v>8.9011791851710806E-2</v>
      </c>
      <c r="AE39" s="323">
        <f>Outils!$F$10 * V39</f>
        <v>0.97680159467099137</v>
      </c>
      <c r="AF39" s="357">
        <f t="shared" si="11"/>
        <v>0.54647396879580057</v>
      </c>
      <c r="AG39" s="356">
        <f>ASIN(AF39)*Outils!$F$11</f>
        <v>33.125447160393762</v>
      </c>
      <c r="AH39" s="143">
        <f t="shared" si="12"/>
        <v>-1</v>
      </c>
      <c r="AI39" s="98">
        <f t="shared" si="13"/>
        <v>0.41579447971775407</v>
      </c>
      <c r="AJ39" s="361">
        <f>ACOS(AI39)*Outils!$F$11</f>
        <v>65.430641377432664</v>
      </c>
      <c r="AK39" s="938"/>
      <c r="AL39" s="371" t="b">
        <f t="shared" si="14"/>
        <v>0</v>
      </c>
      <c r="AM39" s="371">
        <f>IF($AK$35,IF(AL39,AJ39,360-AJ39),IF(AK39,180-AJ39,180+AJ39))</f>
        <v>294.56935862256734</v>
      </c>
      <c r="AR39" s="98"/>
      <c r="AY39" s="96"/>
      <c r="AZ39" s="96"/>
      <c r="BA39" s="96"/>
      <c r="BB39" s="96"/>
      <c r="BC39" s="96"/>
    </row>
    <row r="40" spans="1:67" customFormat="1" ht="17.25" customHeight="1">
      <c r="A40" s="98"/>
      <c r="B40" s="98"/>
      <c r="C40" s="143"/>
      <c r="D40" s="143"/>
      <c r="E40" s="1248"/>
      <c r="F40" s="335"/>
      <c r="G40" s="143"/>
      <c r="H40" s="98"/>
      <c r="I40" s="98"/>
      <c r="J40" s="98"/>
      <c r="K40" s="98"/>
      <c r="L40" s="98"/>
      <c r="M40" s="337"/>
      <c r="N40" s="98"/>
      <c r="O40" s="98"/>
      <c r="P40" s="98"/>
      <c r="Q40" s="98"/>
      <c r="R40" s="98"/>
      <c r="S40" s="98"/>
      <c r="T40" s="98"/>
      <c r="U40" s="98"/>
      <c r="V40" s="98"/>
      <c r="W40" s="325"/>
      <c r="X40" s="344"/>
      <c r="Y40" s="325"/>
      <c r="Z40" s="325"/>
      <c r="AA40" s="337"/>
      <c r="AB40" s="385"/>
      <c r="AQ40" s="98"/>
      <c r="AX40" s="96"/>
      <c r="AY40" s="96"/>
      <c r="AZ40" s="96"/>
      <c r="BA40" s="96"/>
      <c r="BB40" s="96"/>
      <c r="BN40" s="106"/>
      <c r="BO40" s="98"/>
    </row>
    <row r="41" spans="1:67" customFormat="1" ht="17.25" customHeight="1">
      <c r="A41" s="98"/>
      <c r="B41" s="98"/>
      <c r="C41" s="143"/>
      <c r="D41" s="143"/>
      <c r="E41" s="1248"/>
      <c r="F41" s="335"/>
      <c r="G41" s="143"/>
      <c r="H41" s="98"/>
      <c r="I41" s="98"/>
      <c r="J41" s="98"/>
      <c r="K41" s="98"/>
      <c r="L41" s="98"/>
      <c r="M41" s="523" t="s">
        <v>633</v>
      </c>
      <c r="N41" s="523"/>
      <c r="O41" s="523"/>
      <c r="P41" s="523"/>
      <c r="Q41" s="523"/>
      <c r="R41" s="523"/>
      <c r="S41" s="523"/>
      <c r="T41" s="523"/>
      <c r="U41" s="523"/>
      <c r="V41" s="523"/>
      <c r="W41" s="523"/>
      <c r="X41" s="523"/>
      <c r="Y41" s="523"/>
      <c r="Z41" s="325"/>
      <c r="AA41" s="337"/>
      <c r="AB41" s="385"/>
      <c r="AC41" s="98" t="s">
        <v>635</v>
      </c>
      <c r="AD41" s="98"/>
      <c r="AE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N41" s="106"/>
      <c r="BO41" s="98"/>
    </row>
    <row r="42" spans="1:67" customFormat="1" ht="17.25" customHeight="1">
      <c r="A42" s="98"/>
      <c r="B42" s="98"/>
      <c r="C42" s="143"/>
      <c r="D42" s="143"/>
      <c r="E42" s="1248"/>
      <c r="F42" s="335"/>
      <c r="G42" s="143"/>
      <c r="H42" s="98"/>
      <c r="I42" s="337"/>
      <c r="J42" s="338" t="s">
        <v>608</v>
      </c>
      <c r="K42" s="338" t="s">
        <v>609</v>
      </c>
      <c r="L42" s="98"/>
      <c r="M42" s="339" t="s">
        <v>137</v>
      </c>
      <c r="N42" s="390">
        <v>1</v>
      </c>
      <c r="O42" s="390">
        <f>N42+1</f>
        <v>2</v>
      </c>
      <c r="P42" s="390">
        <f t="shared" ref="P42:V42" si="15">O42+1</f>
        <v>3</v>
      </c>
      <c r="Q42" s="390">
        <f t="shared" si="15"/>
        <v>4</v>
      </c>
      <c r="R42" s="390">
        <f t="shared" si="15"/>
        <v>5</v>
      </c>
      <c r="S42" s="390">
        <f t="shared" si="15"/>
        <v>6</v>
      </c>
      <c r="T42" s="390">
        <f t="shared" si="15"/>
        <v>7</v>
      </c>
      <c r="U42" s="390">
        <f t="shared" si="15"/>
        <v>8</v>
      </c>
      <c r="V42" s="390">
        <f t="shared" si="15"/>
        <v>9</v>
      </c>
      <c r="W42" s="390">
        <f>V42+1</f>
        <v>10</v>
      </c>
      <c r="X42" s="390">
        <f>W42+1</f>
        <v>11</v>
      </c>
      <c r="Y42" s="390">
        <f>X42+1</f>
        <v>12</v>
      </c>
      <c r="Z42" s="325"/>
      <c r="AA42" s="337"/>
      <c r="AB42" s="385"/>
      <c r="AD42" s="326" t="s">
        <v>137</v>
      </c>
      <c r="AE42" s="389">
        <f>AA6</f>
        <v>9</v>
      </c>
      <c r="BB42" s="98"/>
      <c r="BN42" s="106"/>
      <c r="BO42" s="98"/>
    </row>
    <row r="43" spans="1:67" customFormat="1" ht="17.25" customHeight="1">
      <c r="A43" s="98"/>
      <c r="B43" s="98"/>
      <c r="C43" s="143"/>
      <c r="D43" s="143"/>
      <c r="E43" s="1248"/>
      <c r="F43" s="335"/>
      <c r="G43" s="143"/>
      <c r="H43" s="98"/>
      <c r="I43" s="400" t="s">
        <v>604</v>
      </c>
      <c r="J43" s="401" t="s">
        <v>606</v>
      </c>
      <c r="K43" s="402">
        <f>angleConvert2Decimal(J43)</f>
        <v>5.0000000000000001E-3</v>
      </c>
      <c r="L43" s="940" t="str">
        <f>I43</f>
        <v>Mars</v>
      </c>
      <c r="M43" s="407">
        <v>40</v>
      </c>
      <c r="N43" s="392" t="s">
        <v>629</v>
      </c>
      <c r="O43" s="392" t="s">
        <v>629</v>
      </c>
      <c r="P43" s="392" t="s">
        <v>629</v>
      </c>
      <c r="Q43" s="392" t="s">
        <v>629</v>
      </c>
      <c r="R43" s="392" t="s">
        <v>629</v>
      </c>
      <c r="S43" s="392" t="s">
        <v>629</v>
      </c>
      <c r="T43" s="392" t="s">
        <v>629</v>
      </c>
      <c r="U43" s="392" t="s">
        <v>629</v>
      </c>
      <c r="V43" s="392" t="s">
        <v>629</v>
      </c>
      <c r="W43" s="392" t="s">
        <v>630</v>
      </c>
      <c r="X43" s="392" t="s">
        <v>630</v>
      </c>
      <c r="Y43" s="392" t="s">
        <v>630</v>
      </c>
      <c r="Z43" s="325"/>
      <c r="AA43" s="337"/>
      <c r="AB43" s="385"/>
      <c r="AC43" s="935" t="str">
        <f>I43</f>
        <v>Mars</v>
      </c>
      <c r="AD43" s="391">
        <v>0</v>
      </c>
      <c r="AE43" s="392" t="str">
        <f>AE44</f>
        <v>0°0,1'</v>
      </c>
      <c r="AF43" s="333" t="s">
        <v>599</v>
      </c>
      <c r="AG43" s="333" t="s">
        <v>604</v>
      </c>
      <c r="AH43" s="333" t="s">
        <v>605</v>
      </c>
      <c r="AI43" s="333" t="s">
        <v>636</v>
      </c>
      <c r="BB43" s="98"/>
      <c r="BN43" s="106"/>
      <c r="BO43" s="98"/>
    </row>
    <row r="44" spans="1:67" customFormat="1" ht="17.25" customHeight="1">
      <c r="A44" s="98"/>
      <c r="B44" s="98"/>
      <c r="C44" s="143"/>
      <c r="D44" s="143"/>
      <c r="E44" s="1248"/>
      <c r="F44" s="335"/>
      <c r="G44" s="143"/>
      <c r="H44" s="98"/>
      <c r="I44" s="397" t="s">
        <v>605</v>
      </c>
      <c r="J44" s="398" t="s">
        <v>607</v>
      </c>
      <c r="K44" s="399">
        <f>angleConvert2Decimal(J44)</f>
        <v>1.6666666666666668E-3</v>
      </c>
      <c r="L44" s="940"/>
      <c r="M44" s="407">
        <v>60</v>
      </c>
      <c r="N44" s="392" t="s">
        <v>629</v>
      </c>
      <c r="O44" s="392" t="s">
        <v>629</v>
      </c>
      <c r="P44" s="392" t="s">
        <v>629</v>
      </c>
      <c r="Q44" s="392" t="s">
        <v>629</v>
      </c>
      <c r="R44" s="392" t="s">
        <v>629</v>
      </c>
      <c r="S44" s="392" t="s">
        <v>629</v>
      </c>
      <c r="T44" s="392" t="s">
        <v>629</v>
      </c>
      <c r="U44" s="392" t="s">
        <v>629</v>
      </c>
      <c r="V44" s="392" t="s">
        <v>629</v>
      </c>
      <c r="W44" s="392" t="s">
        <v>629</v>
      </c>
      <c r="X44" s="392" t="s">
        <v>629</v>
      </c>
      <c r="Y44" s="392" t="s">
        <v>629</v>
      </c>
      <c r="Z44" s="325"/>
      <c r="AA44" s="337"/>
      <c r="AB44" s="385"/>
      <c r="AC44" s="935"/>
      <c r="AD44" s="391">
        <v>40</v>
      </c>
      <c r="AE44" s="392" t="str">
        <f>HLOOKUP($AE$42,$N$42:$Y$48,2,FALSE)</f>
        <v>0°0,1'</v>
      </c>
      <c r="AF44" s="403">
        <f>J27</f>
        <v>62.181625639838281</v>
      </c>
      <c r="AG44" s="333">
        <f>IF(D35=$AC$43,VLOOKUP($AF44,$AD$43:$AE$46,2,TRUE),0)</f>
        <v>0</v>
      </c>
      <c r="AH44" s="333">
        <f>IF(D35=$AC$47,VLOOKUP($AF44,$AD$47:$AE$50,2,TRUE),0)</f>
        <v>0</v>
      </c>
      <c r="AI44" s="333">
        <f>angleConvert2Decimal(AG44)+angleConvert2Decimal(AH44)</f>
        <v>0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248"/>
      <c r="F45" s="335"/>
      <c r="G45" s="143"/>
      <c r="H45" s="98"/>
      <c r="L45" s="940"/>
      <c r="M45" s="407">
        <v>90</v>
      </c>
      <c r="N45" s="392" t="s">
        <v>629</v>
      </c>
      <c r="O45" s="392" t="s">
        <v>629</v>
      </c>
      <c r="P45" s="392" t="s">
        <v>629</v>
      </c>
      <c r="Q45" s="392" t="s">
        <v>629</v>
      </c>
      <c r="R45" s="392" t="s">
        <v>629</v>
      </c>
      <c r="S45" s="392" t="s">
        <v>629</v>
      </c>
      <c r="T45" s="392" t="s">
        <v>629</v>
      </c>
      <c r="U45" s="392" t="s">
        <v>629</v>
      </c>
      <c r="V45" s="392" t="s">
        <v>629</v>
      </c>
      <c r="W45" s="392" t="s">
        <v>629</v>
      </c>
      <c r="X45" s="392" t="s">
        <v>629</v>
      </c>
      <c r="Y45" s="392" t="s">
        <v>629</v>
      </c>
      <c r="Z45" s="325"/>
      <c r="AA45" s="337"/>
      <c r="AB45" s="385"/>
      <c r="AC45" s="935"/>
      <c r="AD45" s="391">
        <v>60</v>
      </c>
      <c r="AE45" s="392" t="str">
        <f>HLOOKUP($AE$42,$N$42:$Y$48,3,FALSE)</f>
        <v>0°0,1'</v>
      </c>
      <c r="AF45" s="403">
        <f>J28</f>
        <v>60.323292306504946</v>
      </c>
      <c r="AG45" s="333">
        <f>IF(D36=$AC$43,VLOOKUP($AF45,$AD$43:$AE$46,2,TRUE),0)</f>
        <v>0</v>
      </c>
      <c r="AH45" s="333">
        <f>IF(D36=$AC$47,VLOOKUP($AF45,$AD$47:$AE$50,2,TRUE),0)</f>
        <v>0</v>
      </c>
      <c r="AI45" s="333">
        <f>angleConvert2Decimal(AG45)+angleConvert2Decimal(AH45)</f>
        <v>0</v>
      </c>
      <c r="BN45" s="106"/>
      <c r="BO45" s="98"/>
    </row>
    <row r="46" spans="1:67" customFormat="1" ht="17.25" customHeight="1">
      <c r="A46" s="98"/>
      <c r="B46" s="98"/>
      <c r="C46" s="143"/>
      <c r="D46" s="143"/>
      <c r="E46" s="1248"/>
      <c r="F46" s="335"/>
      <c r="G46" s="143"/>
      <c r="H46" s="98"/>
      <c r="I46" s="98"/>
      <c r="J46" s="98"/>
      <c r="K46" s="98"/>
      <c r="L46" s="936" t="str">
        <f>I44</f>
        <v>Venus</v>
      </c>
      <c r="M46" s="397">
        <v>40</v>
      </c>
      <c r="N46" s="394" t="s">
        <v>629</v>
      </c>
      <c r="O46" s="394" t="s">
        <v>629</v>
      </c>
      <c r="P46" s="394" t="s">
        <v>629</v>
      </c>
      <c r="Q46" s="394" t="s">
        <v>629</v>
      </c>
      <c r="R46" s="394" t="s">
        <v>630</v>
      </c>
      <c r="S46" s="394" t="s">
        <v>630</v>
      </c>
      <c r="T46" s="394" t="s">
        <v>631</v>
      </c>
      <c r="U46" s="394" t="s">
        <v>632</v>
      </c>
      <c r="V46" s="394" t="s">
        <v>631</v>
      </c>
      <c r="W46" s="394" t="s">
        <v>630</v>
      </c>
      <c r="X46" s="394" t="s">
        <v>630</v>
      </c>
      <c r="Y46" s="394" t="s">
        <v>629</v>
      </c>
      <c r="Z46" s="325"/>
      <c r="AA46" s="337"/>
      <c r="AB46" s="385"/>
      <c r="AC46" s="935"/>
      <c r="AD46" s="391">
        <v>90</v>
      </c>
      <c r="AE46" s="392" t="str">
        <f>HLOOKUP($AE$42,$N$42:$Y$48,4,FALSE)</f>
        <v>0°0,1'</v>
      </c>
      <c r="AF46" s="403">
        <f>J29</f>
        <v>31.429958973171615</v>
      </c>
      <c r="AG46" s="333">
        <f>IF(D37=$AC$43,VLOOKUP($AF46,$AD$43:$AE$46,2,TRUE),0)</f>
        <v>0</v>
      </c>
      <c r="AH46" s="333">
        <f>IF(D37=$AC$47,VLOOKUP($AF46,$AD$47:$AE$50,2,TRUE),0)</f>
        <v>0</v>
      </c>
      <c r="AI46" s="333">
        <f>angleConvert2Decimal(AG46)+angleConvert2Decimal(AH46)</f>
        <v>0</v>
      </c>
      <c r="BN46" s="106"/>
      <c r="BO46" s="98"/>
    </row>
    <row r="47" spans="1:67" customFormat="1" ht="17.25" customHeight="1">
      <c r="A47" s="98"/>
      <c r="B47" s="98"/>
      <c r="C47" s="143"/>
      <c r="D47" s="143"/>
      <c r="E47" s="1248"/>
      <c r="F47" s="335"/>
      <c r="G47" s="143"/>
      <c r="H47" s="98"/>
      <c r="I47" s="98"/>
      <c r="J47" s="98"/>
      <c r="K47" s="98"/>
      <c r="L47" s="936"/>
      <c r="M47" s="397">
        <v>60</v>
      </c>
      <c r="N47" s="394" t="s">
        <v>629</v>
      </c>
      <c r="O47" s="394" t="s">
        <v>629</v>
      </c>
      <c r="P47" s="394" t="s">
        <v>629</v>
      </c>
      <c r="Q47" s="394" t="s">
        <v>629</v>
      </c>
      <c r="R47" s="394" t="s">
        <v>629</v>
      </c>
      <c r="S47" s="394" t="s">
        <v>629</v>
      </c>
      <c r="T47" s="394" t="s">
        <v>630</v>
      </c>
      <c r="U47" s="394" t="s">
        <v>631</v>
      </c>
      <c r="V47" s="394" t="s">
        <v>630</v>
      </c>
      <c r="W47" s="394" t="s">
        <v>629</v>
      </c>
      <c r="X47" s="394" t="s">
        <v>629</v>
      </c>
      <c r="Y47" s="394" t="s">
        <v>629</v>
      </c>
      <c r="Z47" s="325"/>
      <c r="AA47" s="337"/>
      <c r="AB47" s="385"/>
      <c r="AC47" s="936" t="str">
        <f>I44</f>
        <v>Venus</v>
      </c>
      <c r="AD47" s="393">
        <v>0</v>
      </c>
      <c r="AE47" s="396" t="str">
        <f>AE48</f>
        <v>0°0,3'</v>
      </c>
      <c r="AF47" s="403">
        <f>J30</f>
        <v>48.768292306504947</v>
      </c>
      <c r="AG47" s="333">
        <f>IF(D38=$AC$43,VLOOKUP($AF47,$AD$43:$AE$46,2,TRUE),0)</f>
        <v>0</v>
      </c>
      <c r="AH47" s="333">
        <f>IF(D38=$AC$47,VLOOKUP($AF47,$AD$47:$AE$50,2,TRUE),0)</f>
        <v>0</v>
      </c>
      <c r="AI47" s="333">
        <f>angleConvert2Decimal(AG47)+angleConvert2Decimal(AH47)</f>
        <v>0</v>
      </c>
      <c r="BN47" s="106"/>
      <c r="BO47" s="98"/>
    </row>
    <row r="48" spans="1:67" customFormat="1" ht="17.25" customHeight="1">
      <c r="A48" s="98"/>
      <c r="B48" s="98"/>
      <c r="C48" s="143"/>
      <c r="D48" s="143"/>
      <c r="E48" s="1248"/>
      <c r="F48" s="335"/>
      <c r="G48" s="143"/>
      <c r="H48" s="98"/>
      <c r="I48" s="98"/>
      <c r="J48" s="98"/>
      <c r="K48" s="98"/>
      <c r="L48" s="936"/>
      <c r="M48" s="397">
        <v>90</v>
      </c>
      <c r="N48" s="394" t="s">
        <v>629</v>
      </c>
      <c r="O48" s="394" t="s">
        <v>629</v>
      </c>
      <c r="P48" s="394" t="s">
        <v>629</v>
      </c>
      <c r="Q48" s="394" t="s">
        <v>629</v>
      </c>
      <c r="R48" s="394" t="s">
        <v>629</v>
      </c>
      <c r="S48" s="394" t="s">
        <v>629</v>
      </c>
      <c r="T48" s="394" t="s">
        <v>629</v>
      </c>
      <c r="U48" s="394" t="s">
        <v>630</v>
      </c>
      <c r="V48" s="394" t="s">
        <v>629</v>
      </c>
      <c r="W48" s="394" t="s">
        <v>629</v>
      </c>
      <c r="X48" s="394" t="s">
        <v>629</v>
      </c>
      <c r="Y48" s="394" t="s">
        <v>629</v>
      </c>
      <c r="Z48" s="325"/>
      <c r="AA48" s="337"/>
      <c r="AB48" s="385"/>
      <c r="AC48" s="936"/>
      <c r="AD48" s="393">
        <v>40</v>
      </c>
      <c r="AE48" s="394" t="str">
        <f>HLOOKUP($AE$42,$N$42:$Y$48,5,FALSE)</f>
        <v>0°0,3'</v>
      </c>
      <c r="AF48" s="403">
        <f>J31</f>
        <v>33.333292306504951</v>
      </c>
      <c r="AG48" s="333">
        <f>IF(D39=$AC$43,VLOOKUP($AF48,$AD$43:$AE$46,2,TRUE),0)</f>
        <v>0</v>
      </c>
      <c r="AH48" s="333">
        <f>IF(D39=$AC$47,VLOOKUP($AF48,$AD$47:$AE$50,2,TRUE),0)</f>
        <v>0</v>
      </c>
      <c r="AI48" s="333">
        <f>angleConvert2Decimal(AG48)+angleConvert2Decimal(AH48)</f>
        <v>0</v>
      </c>
      <c r="BN48" s="106"/>
      <c r="BO48" s="98"/>
    </row>
    <row r="49" spans="1:67" customFormat="1" ht="17.25" customHeight="1">
      <c r="A49" s="98"/>
      <c r="B49" s="98"/>
      <c r="C49" s="143"/>
      <c r="D49" s="143"/>
      <c r="E49" s="1248"/>
      <c r="F49" s="335"/>
      <c r="G49" s="143"/>
      <c r="H49" s="98"/>
      <c r="I49" s="98"/>
      <c r="J49" s="98"/>
      <c r="K49" s="98"/>
      <c r="L49" s="98"/>
      <c r="M49" s="337"/>
      <c r="N49" s="98"/>
      <c r="O49" s="98"/>
      <c r="P49" s="98"/>
      <c r="Q49" s="98"/>
      <c r="R49" s="98"/>
      <c r="S49" s="98"/>
      <c r="T49" s="98"/>
      <c r="U49" s="98"/>
      <c r="V49" s="98"/>
      <c r="W49" s="325"/>
      <c r="X49" s="325"/>
      <c r="Y49" s="325"/>
      <c r="Z49" s="325"/>
      <c r="AA49" s="337"/>
      <c r="AB49" s="385"/>
      <c r="AC49" s="936"/>
      <c r="AD49" s="393">
        <v>60</v>
      </c>
      <c r="AE49" s="394" t="str">
        <f>HLOOKUP($AE$42,$N$42:$Y$48,6,FALSE)</f>
        <v>0°0,2'</v>
      </c>
      <c r="BN49" s="106"/>
      <c r="BO49" s="98"/>
    </row>
    <row r="50" spans="1:67" customFormat="1" ht="17.25" customHeight="1">
      <c r="E50" s="1252"/>
      <c r="L50" s="98"/>
      <c r="M50" s="337"/>
      <c r="N50" s="98"/>
      <c r="O50" s="98"/>
      <c r="P50" s="98"/>
      <c r="Q50" s="98"/>
      <c r="R50" s="98"/>
      <c r="S50" s="98"/>
      <c r="T50" s="98"/>
      <c r="U50" s="98"/>
      <c r="V50" s="98"/>
      <c r="W50" s="325"/>
      <c r="X50" s="325"/>
      <c r="Y50" s="325"/>
      <c r="Z50" s="325"/>
      <c r="AB50" s="296"/>
      <c r="AC50" s="936"/>
      <c r="AD50" s="393">
        <v>90</v>
      </c>
      <c r="AE50" s="394" t="str">
        <f>HLOOKUP($AE$42,$N$42:$Y$48,7,FALSE)</f>
        <v>0°0,1'</v>
      </c>
    </row>
    <row r="51" spans="1:67" customFormat="1" ht="17.25" customHeight="1">
      <c r="D51" s="143"/>
      <c r="E51" s="1248"/>
      <c r="F51" s="335"/>
      <c r="G51" s="143"/>
      <c r="H51" s="98"/>
      <c r="I51" s="98"/>
      <c r="J51" s="98"/>
      <c r="K51" s="98"/>
      <c r="L51" s="98"/>
      <c r="M51" s="337"/>
      <c r="N51" s="98"/>
      <c r="O51" s="98"/>
      <c r="P51" s="98"/>
      <c r="Q51" s="98"/>
      <c r="R51" s="98"/>
      <c r="S51" s="98"/>
      <c r="T51" s="98"/>
      <c r="U51" s="98"/>
      <c r="V51" s="98"/>
      <c r="W51" s="325"/>
      <c r="X51" s="325"/>
      <c r="AB51" s="296"/>
    </row>
    <row r="52" spans="1:67" customFormat="1" ht="17.25" customHeight="1">
      <c r="D52" s="143"/>
      <c r="E52" s="1248"/>
      <c r="F52" s="335"/>
      <c r="G52" s="143"/>
      <c r="H52" s="98"/>
      <c r="I52" s="98"/>
      <c r="J52" s="98"/>
      <c r="K52" s="98"/>
      <c r="L52" s="98"/>
      <c r="M52" s="337"/>
      <c r="N52" s="98"/>
      <c r="O52" s="98"/>
      <c r="P52" s="98"/>
      <c r="Q52" s="98"/>
      <c r="R52" s="98"/>
      <c r="S52" s="98"/>
      <c r="T52" s="98"/>
      <c r="U52" s="98"/>
      <c r="V52" s="98"/>
      <c r="W52" s="325"/>
      <c r="X52" s="325"/>
      <c r="Y52" s="325"/>
      <c r="Z52" s="325"/>
      <c r="AA52" s="337"/>
      <c r="AB52" s="296"/>
    </row>
    <row r="53" spans="1:67" customFormat="1" ht="17.25" customHeight="1">
      <c r="D53" s="143"/>
      <c r="E53" s="1248"/>
      <c r="F53" s="335"/>
      <c r="G53" s="143"/>
      <c r="H53" s="98"/>
      <c r="I53" s="98"/>
      <c r="J53" s="98"/>
      <c r="K53" s="98"/>
      <c r="L53" s="98"/>
      <c r="M53" s="338"/>
      <c r="N53" s="98"/>
      <c r="O53" s="98"/>
      <c r="P53" s="98"/>
      <c r="Q53" s="98"/>
      <c r="R53" s="98"/>
      <c r="S53" s="98"/>
      <c r="T53" s="98"/>
      <c r="U53" s="98"/>
      <c r="V53" s="98"/>
      <c r="W53" s="325"/>
      <c r="X53" s="325"/>
      <c r="Y53" s="325"/>
      <c r="Z53" s="325"/>
      <c r="AA53" s="337"/>
      <c r="AB53" s="296"/>
    </row>
    <row r="54" spans="1:67" customFormat="1" ht="17.25" customHeight="1">
      <c r="D54" s="143"/>
      <c r="E54" s="1248"/>
      <c r="F54" s="335"/>
      <c r="G54" s="143"/>
      <c r="H54" s="98"/>
      <c r="I54" s="98"/>
      <c r="J54" s="98"/>
      <c r="K54" s="98"/>
      <c r="L54" s="98"/>
      <c r="M54" s="338"/>
      <c r="N54" s="98"/>
      <c r="O54" s="98"/>
      <c r="P54" s="98"/>
      <c r="Q54" s="98"/>
      <c r="R54" s="98"/>
      <c r="S54" s="98"/>
      <c r="T54" s="98"/>
      <c r="U54" s="98"/>
      <c r="V54" s="98"/>
      <c r="W54" s="325"/>
      <c r="X54" s="325"/>
      <c r="Y54" s="325"/>
      <c r="Z54" s="325"/>
      <c r="AA54" s="337"/>
      <c r="AB54" s="296"/>
    </row>
    <row r="55" spans="1:67" customFormat="1" ht="17.25" customHeight="1">
      <c r="D55" s="143"/>
      <c r="E55" s="1248"/>
      <c r="F55" s="335"/>
      <c r="G55" s="143"/>
      <c r="H55" s="98"/>
      <c r="I55" s="98"/>
      <c r="J55" s="98"/>
      <c r="K55" s="98"/>
      <c r="L55" s="98"/>
      <c r="M55" s="338"/>
      <c r="N55" s="98"/>
      <c r="O55" s="98"/>
      <c r="P55" s="98"/>
      <c r="Q55" s="98"/>
      <c r="R55" s="98"/>
      <c r="S55" s="98"/>
      <c r="T55" s="98"/>
      <c r="U55" s="98"/>
      <c r="V55" s="98"/>
      <c r="W55" s="325"/>
      <c r="X55" s="325"/>
      <c r="Y55" s="325"/>
      <c r="Z55" s="325"/>
      <c r="AA55" s="337"/>
      <c r="AB55" s="296"/>
    </row>
    <row r="56" spans="1:67" customFormat="1" ht="17.25" customHeight="1">
      <c r="D56" s="143"/>
      <c r="E56" s="1248"/>
      <c r="F56" s="335"/>
      <c r="G56" s="143"/>
      <c r="H56" s="98"/>
      <c r="I56" s="98"/>
      <c r="J56" s="98"/>
      <c r="K56" s="98"/>
      <c r="L56" s="98"/>
      <c r="M56" s="338"/>
      <c r="N56" s="98"/>
      <c r="O56" s="98"/>
      <c r="P56" s="98"/>
      <c r="Q56" s="98"/>
      <c r="R56" s="98"/>
      <c r="S56" s="98"/>
      <c r="T56" s="98"/>
      <c r="U56" s="98"/>
      <c r="V56" s="98"/>
      <c r="W56" s="325"/>
      <c r="X56" s="325"/>
      <c r="Y56" s="325"/>
      <c r="Z56" s="325"/>
      <c r="AA56" s="337"/>
      <c r="AB56" s="296"/>
    </row>
    <row r="57" spans="1:67" customFormat="1" ht="17.25" customHeight="1">
      <c r="D57" s="143"/>
      <c r="E57" s="1248"/>
      <c r="F57" s="335"/>
      <c r="G57" s="143"/>
      <c r="H57" s="98"/>
      <c r="I57" s="98"/>
      <c r="J57" s="98"/>
      <c r="K57" s="98"/>
      <c r="L57" s="98"/>
      <c r="M57" s="338"/>
      <c r="N57" s="98"/>
      <c r="O57" s="98"/>
      <c r="P57" s="98"/>
      <c r="Q57" s="98"/>
      <c r="R57" s="98"/>
      <c r="S57" s="98"/>
      <c r="T57" s="98"/>
      <c r="U57" s="98"/>
      <c r="V57" s="98"/>
      <c r="W57" s="325"/>
      <c r="X57" s="325"/>
      <c r="Y57" s="325"/>
      <c r="Z57" s="325"/>
      <c r="AA57" s="337"/>
      <c r="AB57" s="296"/>
    </row>
    <row r="58" spans="1:67" customFormat="1" ht="17.25" customHeight="1">
      <c r="E58" s="1252"/>
      <c r="M58" s="338"/>
      <c r="N58" s="98"/>
      <c r="O58" s="98"/>
      <c r="P58" s="98"/>
      <c r="Q58" s="98"/>
      <c r="R58" s="98"/>
      <c r="S58" s="98"/>
      <c r="T58" s="98"/>
      <c r="U58" s="98"/>
      <c r="V58" s="98"/>
      <c r="W58" s="325"/>
      <c r="X58" s="325"/>
      <c r="Y58" s="325"/>
      <c r="Z58" s="325"/>
      <c r="AA58" s="337"/>
      <c r="AB58" s="296"/>
    </row>
    <row r="59" spans="1:67" customFormat="1" ht="17.25" customHeight="1">
      <c r="E59" s="1252"/>
      <c r="M59" s="338"/>
      <c r="AB59" s="296"/>
    </row>
    <row r="60" spans="1:67" customFormat="1" ht="17.25" customHeight="1">
      <c r="E60" s="1252"/>
      <c r="M60" s="338"/>
      <c r="AB60" s="296"/>
    </row>
    <row r="61" spans="1:67" customFormat="1" ht="17.25" customHeight="1">
      <c r="E61" s="1252"/>
      <c r="M61" s="338"/>
      <c r="AB61" s="296"/>
    </row>
    <row r="62" spans="1:67" customFormat="1" ht="17.25" customHeight="1">
      <c r="E62" s="1252"/>
      <c r="M62" s="338"/>
      <c r="AB62" s="296"/>
    </row>
    <row r="63" spans="1:67" customFormat="1" ht="17.25" customHeight="1">
      <c r="E63" s="1252"/>
      <c r="M63" s="338"/>
      <c r="AB63" s="296"/>
    </row>
    <row r="64" spans="1:67" customFormat="1" ht="17.25" customHeight="1">
      <c r="E64" s="1252"/>
      <c r="M64" s="338"/>
      <c r="AB64" s="296"/>
    </row>
    <row r="65" spans="5:28" customFormat="1" ht="17.25" customHeight="1">
      <c r="E65" s="1252"/>
      <c r="M65" s="338"/>
      <c r="AB65" s="296"/>
    </row>
    <row r="66" spans="5:28" customFormat="1" ht="17.25" customHeight="1">
      <c r="E66" s="1252"/>
      <c r="M66" s="338"/>
      <c r="AB66" s="296"/>
    </row>
    <row r="67" spans="5:28" customFormat="1" ht="17.25" customHeight="1">
      <c r="E67" s="1252"/>
      <c r="M67" s="338"/>
      <c r="AB67" s="296"/>
    </row>
    <row r="68" spans="5:28" customFormat="1" ht="17.25" customHeight="1">
      <c r="E68" s="1252"/>
      <c r="M68" s="338"/>
      <c r="AB68" s="296"/>
    </row>
    <row r="69" spans="5:28" customFormat="1" ht="17.25" customHeight="1">
      <c r="E69" s="1252"/>
      <c r="M69" s="338"/>
      <c r="AB69" s="296"/>
    </row>
    <row r="70" spans="5:28" customFormat="1" ht="17.25" customHeight="1">
      <c r="E70" s="1252"/>
      <c r="M70" s="338"/>
      <c r="AB70" s="296"/>
    </row>
    <row r="71" spans="5:28" customFormat="1" ht="17.25" customHeight="1">
      <c r="E71" s="1252"/>
      <c r="M71" s="338"/>
      <c r="AB71" s="296"/>
    </row>
    <row r="72" spans="5:28" customFormat="1" ht="17.25" customHeight="1">
      <c r="E72" s="1252"/>
      <c r="M72" s="338"/>
      <c r="AB72" s="296"/>
    </row>
    <row r="73" spans="5:28" customFormat="1" ht="17.25" customHeight="1">
      <c r="E73" s="1252"/>
      <c r="M73" s="338"/>
      <c r="AB73" s="296"/>
    </row>
    <row r="74" spans="5:28" customFormat="1" ht="17.25" customHeight="1">
      <c r="E74" s="1252"/>
      <c r="M74" s="338"/>
      <c r="AB74" s="296"/>
    </row>
    <row r="75" spans="5:28" customFormat="1" ht="17.25" customHeight="1">
      <c r="E75" s="1252"/>
      <c r="M75" s="338"/>
      <c r="AB75" s="296"/>
    </row>
    <row r="76" spans="5:28" customFormat="1" ht="17.25" customHeight="1">
      <c r="E76" s="1252"/>
      <c r="M76" s="338"/>
      <c r="AB76" s="296"/>
    </row>
    <row r="77" spans="5:28" customFormat="1" ht="17.25" customHeight="1">
      <c r="E77" s="1252"/>
      <c r="M77" s="338"/>
      <c r="AB77" s="296"/>
    </row>
    <row r="78" spans="5:28" customFormat="1" ht="17.25" customHeight="1">
      <c r="E78" s="1252"/>
      <c r="M78" s="338"/>
      <c r="AB78" s="296"/>
    </row>
    <row r="79" spans="5:28" customFormat="1" ht="17.25" customHeight="1">
      <c r="E79" s="1252"/>
      <c r="M79" s="338"/>
      <c r="AB79" s="296"/>
    </row>
    <row r="80" spans="5:28" customFormat="1" ht="17.25" customHeight="1">
      <c r="E80" s="1252"/>
      <c r="M80" s="338"/>
      <c r="AB80" s="296"/>
    </row>
    <row r="81" spans="5:28" customFormat="1" ht="17.25" customHeight="1">
      <c r="E81" s="1252"/>
      <c r="M81" s="338"/>
      <c r="AB81" s="296"/>
    </row>
    <row r="82" spans="5:28" customFormat="1" ht="17.25" customHeight="1">
      <c r="E82" s="1252"/>
      <c r="M82" s="338"/>
      <c r="AB82" s="296"/>
    </row>
    <row r="83" spans="5:28" customFormat="1" ht="17.25" customHeight="1">
      <c r="E83" s="1252"/>
      <c r="M83" s="338"/>
      <c r="AB83" s="296"/>
    </row>
    <row r="84" spans="5:28" customFormat="1" ht="17.25" customHeight="1">
      <c r="E84" s="1252"/>
      <c r="M84" s="338"/>
      <c r="AB84" s="296"/>
    </row>
  </sheetData>
  <dataConsolidate link="1"/>
  <mergeCells count="56">
    <mergeCell ref="H35:H39"/>
    <mergeCell ref="L25:M26"/>
    <mergeCell ref="N25:O26"/>
    <mergeCell ref="J25:K25"/>
    <mergeCell ref="H33:J33"/>
    <mergeCell ref="J12:M12"/>
    <mergeCell ref="J16:M16"/>
    <mergeCell ref="V33:V34"/>
    <mergeCell ref="Y33:Y34"/>
    <mergeCell ref="Z33:Z34"/>
    <mergeCell ref="U33:U34"/>
    <mergeCell ref="Q25:T25"/>
    <mergeCell ref="V25:X26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E14:H15"/>
    <mergeCell ref="E10:H11"/>
    <mergeCell ref="A12:C12"/>
    <mergeCell ref="E30:F30"/>
    <mergeCell ref="E31:F31"/>
    <mergeCell ref="B25:B26"/>
    <mergeCell ref="F12:G12"/>
    <mergeCell ref="F16:G16"/>
    <mergeCell ref="L43:L45"/>
    <mergeCell ref="L46:L48"/>
    <mergeCell ref="C1:F4"/>
    <mergeCell ref="G1:Y2"/>
    <mergeCell ref="G3:I4"/>
    <mergeCell ref="J3:L4"/>
    <mergeCell ref="W33:X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AC43:AC46"/>
    <mergeCell ref="AC47:AC50"/>
    <mergeCell ref="M33:N34"/>
    <mergeCell ref="AK35:AK39"/>
    <mergeCell ref="O33:T33"/>
    <mergeCell ref="M41:Y41"/>
    <mergeCell ref="AB33:AB34"/>
  </mergeCells>
  <dataValidations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abSelected="1" topLeftCell="A109" zoomScaleNormal="100" workbookViewId="0">
      <selection activeCell="J122" sqref="J122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8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>
      <c r="B1" s="98"/>
      <c r="C1" s="506" t="s">
        <v>228</v>
      </c>
      <c r="D1" s="506"/>
      <c r="E1" s="506"/>
      <c r="F1" s="506"/>
      <c r="G1" s="497" t="s">
        <v>229</v>
      </c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  <c r="Z1" s="98"/>
      <c r="AA1" s="98"/>
      <c r="AB1" s="145"/>
      <c r="BN1" s="106"/>
    </row>
    <row r="2" spans="2:66" customFormat="1" ht="17.25" customHeight="1">
      <c r="B2" s="98"/>
      <c r="C2" s="506"/>
      <c r="D2" s="506"/>
      <c r="E2" s="506"/>
      <c r="F2" s="506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  <c r="X2" s="497"/>
      <c r="Y2" s="497"/>
      <c r="Z2" s="98"/>
      <c r="AA2" s="98"/>
      <c r="AB2" s="145"/>
      <c r="BN2" s="106"/>
    </row>
    <row r="3" spans="2:66" customFormat="1" ht="17.25" customHeight="1">
      <c r="B3" s="98"/>
      <c r="C3" s="506"/>
      <c r="D3" s="506"/>
      <c r="E3" s="506"/>
      <c r="F3" s="506"/>
      <c r="G3" s="502" t="s">
        <v>233</v>
      </c>
      <c r="H3" s="502"/>
      <c r="I3" s="502"/>
      <c r="J3" s="993" t="s">
        <v>232</v>
      </c>
      <c r="K3" s="993"/>
      <c r="L3" s="993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506"/>
      <c r="D4" s="506"/>
      <c r="E4" s="506"/>
      <c r="F4" s="506"/>
      <c r="G4" s="503"/>
      <c r="H4" s="503"/>
      <c r="I4" s="503"/>
      <c r="J4" s="654"/>
      <c r="K4" s="654"/>
      <c r="L4" s="654"/>
      <c r="M4" s="98"/>
      <c r="N4" s="98"/>
      <c r="O4" s="98" t="s">
        <v>47</v>
      </c>
      <c r="P4" s="98" t="s">
        <v>353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5" spans="2:66" s="98" customFormat="1" ht="17.25" customHeight="1">
      <c r="C5" s="143"/>
      <c r="D5" s="143"/>
      <c r="E5" s="143"/>
      <c r="F5" s="143"/>
      <c r="G5" s="143"/>
      <c r="AB5" s="14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16/3/2013</v>
      </c>
      <c r="F7" s="142"/>
      <c r="G7" s="142" t="str" cm="1">
        <f t="array" ref="G7">heureDecimal2Txt(E11)</f>
        <v>20:52:00.00(20.8666)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498" t="s">
        <v>1</v>
      </c>
      <c r="D8" s="499"/>
      <c r="E8" s="632" t="s">
        <v>708</v>
      </c>
      <c r="F8" s="633"/>
      <c r="G8" s="633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319</v>
      </c>
      <c r="AD8" s="6" cm="1">
        <f t="array" ref="AD8">heureConvert2Decimal(I11)</f>
        <v>20.866666666666667</v>
      </c>
      <c r="BN8" s="106"/>
    </row>
    <row r="9" spans="2:66" customFormat="1" ht="17.25" customHeight="1" thickBot="1">
      <c r="B9" s="98"/>
      <c r="C9" s="477" t="s">
        <v>11</v>
      </c>
      <c r="D9" s="479"/>
      <c r="E9" s="477" t="s">
        <v>2</v>
      </c>
      <c r="F9" s="478"/>
      <c r="G9" s="478"/>
      <c r="H9" s="479"/>
      <c r="I9" s="582" t="s">
        <v>188</v>
      </c>
      <c r="J9" s="582"/>
      <c r="K9" s="582"/>
      <c r="L9" s="582" t="s">
        <v>189</v>
      </c>
      <c r="M9" s="582"/>
      <c r="N9" s="582"/>
      <c r="O9" s="582"/>
      <c r="P9" s="582"/>
      <c r="Q9" s="582" t="s">
        <v>190</v>
      </c>
      <c r="R9" s="582"/>
      <c r="S9" s="582"/>
      <c r="T9" s="582"/>
      <c r="U9" s="582"/>
      <c r="V9" s="613" t="s">
        <v>187</v>
      </c>
      <c r="W9" s="614"/>
      <c r="X9" s="614"/>
      <c r="Y9" s="615"/>
      <c r="Z9" s="98"/>
      <c r="AA9" s="98"/>
      <c r="AB9" s="147"/>
      <c r="AC9" s="6" t="s">
        <v>320</v>
      </c>
      <c r="AD9" s="151">
        <f>L11</f>
        <v>0</v>
      </c>
      <c r="BN9" s="106"/>
    </row>
    <row r="10" spans="2:66" customFormat="1" ht="17.25" customHeight="1">
      <c r="B10" s="98"/>
      <c r="C10" s="500"/>
      <c r="D10" s="501"/>
      <c r="E10" s="480"/>
      <c r="F10" s="481"/>
      <c r="G10" s="481"/>
      <c r="H10" s="4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16"/>
      <c r="W10" s="617"/>
      <c r="X10" s="617"/>
      <c r="Y10" s="618"/>
      <c r="Z10" s="98"/>
      <c r="AA10" s="98"/>
      <c r="AB10" s="145"/>
      <c r="AC10" s="6" t="s">
        <v>321</v>
      </c>
      <c r="AD10" s="6">
        <f>Q11/3600</f>
        <v>0</v>
      </c>
      <c r="BN10" s="106"/>
    </row>
    <row r="11" spans="2:66" customFormat="1" ht="17.25" customHeight="1" thickBot="1">
      <c r="B11" s="98"/>
      <c r="C11" s="480"/>
      <c r="D11" s="482"/>
      <c r="E11" s="456">
        <f>AD8+AD9+AD10+AD11</f>
        <v>20.866666666666667</v>
      </c>
      <c r="F11" s="457"/>
      <c r="G11" s="457"/>
      <c r="H11" s="458"/>
      <c r="I11" s="627" t="s">
        <v>709</v>
      </c>
      <c r="J11" s="627"/>
      <c r="K11" s="627"/>
      <c r="L11" s="659">
        <v>0</v>
      </c>
      <c r="M11" s="659"/>
      <c r="N11" s="659"/>
      <c r="O11" s="659"/>
      <c r="P11" s="659"/>
      <c r="Q11" s="659">
        <v>0</v>
      </c>
      <c r="R11" s="659"/>
      <c r="S11" s="659"/>
      <c r="T11" s="659"/>
      <c r="U11" s="660"/>
      <c r="V11" s="658" t="s">
        <v>186</v>
      </c>
      <c r="W11" s="658"/>
      <c r="X11" s="658"/>
      <c r="Y11" s="658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688" t="str" cm="1">
        <f t="array" ref="E12">heureDecimal2Txt(E11)</f>
        <v>20:52:00.00(20.8666)</v>
      </c>
      <c r="F12" s="689"/>
      <c r="G12" s="689"/>
      <c r="H12" s="69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B15" s="98"/>
      <c r="C15" s="721" t="s">
        <v>21</v>
      </c>
      <c r="D15" s="721"/>
      <c r="E15" s="721"/>
      <c r="F15" s="721"/>
      <c r="G15" s="721"/>
      <c r="H15" s="721"/>
      <c r="I15" s="721"/>
      <c r="J15" s="661">
        <f>M15</f>
        <v>2</v>
      </c>
      <c r="K15" s="662"/>
      <c r="L15" s="663"/>
      <c r="M15" s="625">
        <v>2</v>
      </c>
      <c r="N15" s="625"/>
      <c r="O15" s="625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8"/>
      <c r="AA15" s="98"/>
      <c r="AB15" s="145"/>
      <c r="BN15" s="106"/>
    </row>
    <row r="16" spans="2:66" customFormat="1" ht="18" customHeight="1" thickTop="1" thickBot="1">
      <c r="B16" s="96"/>
      <c r="C16" s="946" t="s">
        <v>22</v>
      </c>
      <c r="D16" s="947"/>
      <c r="E16" s="947"/>
      <c r="F16" s="947"/>
      <c r="G16" s="947"/>
      <c r="H16" s="947"/>
      <c r="I16" s="948"/>
      <c r="J16" s="438" cm="1">
        <f t="array" ref="J16">angleConvert2Decimal(M16)</f>
        <v>-0.05</v>
      </c>
      <c r="K16" s="527"/>
      <c r="L16" s="527"/>
      <c r="M16" s="624" t="s">
        <v>716</v>
      </c>
      <c r="N16" s="625"/>
      <c r="O16" s="625"/>
      <c r="P16" s="450" t="str" cm="1">
        <f t="array" ref="P16">angleDecimal2Txt(J16)</f>
        <v>-00°03.00 (-00.0500) [-00°03'00.00]</v>
      </c>
      <c r="Q16" s="450"/>
      <c r="R16" s="450"/>
      <c r="S16" s="450"/>
      <c r="T16" s="450"/>
      <c r="U16" s="450"/>
      <c r="V16" s="450"/>
      <c r="W16" s="450"/>
      <c r="X16" s="450"/>
      <c r="Y16" s="96"/>
      <c r="Z16" s="98"/>
      <c r="AA16" s="98"/>
      <c r="AB16" s="145"/>
      <c r="BN16" s="106"/>
    </row>
    <row r="17" spans="1:66" customFormat="1" ht="18" customHeight="1" thickTop="1" thickBot="1">
      <c r="B17" s="98"/>
      <c r="C17" s="728" t="s">
        <v>32</v>
      </c>
      <c r="D17" s="728"/>
      <c r="E17" s="728"/>
      <c r="F17" s="728"/>
      <c r="G17" s="728"/>
      <c r="H17" s="728"/>
      <c r="I17" s="728"/>
      <c r="J17" s="988" cm="1">
        <f t="array" ref="J17">angleConvert2Decimal(M17)</f>
        <v>25.8</v>
      </c>
      <c r="K17" s="989"/>
      <c r="L17" s="989"/>
      <c r="M17" s="990" t="s">
        <v>710</v>
      </c>
      <c r="N17" s="991"/>
      <c r="O17" s="992"/>
      <c r="P17" s="450" t="str" cm="1">
        <f t="array" ref="P17">angleDecimal2Txt(J17)</f>
        <v>+25°48.00 (+25.8000) [+25°48'00.00]</v>
      </c>
      <c r="Q17" s="450"/>
      <c r="R17" s="450"/>
      <c r="S17" s="450"/>
      <c r="T17" s="450"/>
      <c r="U17" s="450"/>
      <c r="V17" s="450"/>
      <c r="W17" s="450"/>
      <c r="X17" s="450"/>
      <c r="Y17" s="96"/>
      <c r="Z17" s="98"/>
      <c r="AA17" s="98"/>
      <c r="AB17" s="145"/>
      <c r="BN17" s="106"/>
    </row>
    <row r="18" spans="1:66" customFormat="1" ht="18" customHeight="1" thickTop="1">
      <c r="B18" s="98"/>
      <c r="C18" s="721" t="s">
        <v>37</v>
      </c>
      <c r="D18" s="721"/>
      <c r="E18" s="721"/>
      <c r="F18" s="721"/>
      <c r="G18" s="721"/>
      <c r="H18" s="721"/>
      <c r="I18" s="721"/>
      <c r="J18" s="722" t="str">
        <f>M18</f>
        <v>Polaire</v>
      </c>
      <c r="K18" s="723"/>
      <c r="L18" s="724"/>
      <c r="M18" s="634" t="s">
        <v>308</v>
      </c>
      <c r="N18" s="635"/>
      <c r="O18" s="63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8"/>
      <c r="AA18" s="98"/>
      <c r="AB18" s="145"/>
      <c r="AG18" s="98"/>
      <c r="AH18" s="98"/>
      <c r="BN18" s="106"/>
    </row>
    <row r="19" spans="1:66" customFormat="1" ht="18" customHeight="1">
      <c r="B19" s="98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AG19" s="98"/>
      <c r="AH19" s="98"/>
      <c r="BN19" s="106"/>
    </row>
    <row r="20" spans="1:66" customFormat="1" ht="17.25" customHeight="1" thickBot="1">
      <c r="B20" s="98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8"/>
      <c r="AA20" s="98"/>
      <c r="AB20" s="145"/>
      <c r="BN20" s="106"/>
    </row>
    <row r="21" spans="1:66" customFormat="1" ht="17.25" customHeight="1" thickBot="1">
      <c r="B21" s="107" t="s">
        <v>19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46"/>
      <c r="BN21" s="106"/>
    </row>
    <row r="22" spans="1:66" s="98" customFormat="1" ht="17.25" customHeight="1">
      <c r="C22" s="96"/>
      <c r="D22" s="96"/>
      <c r="E22" s="731" t="s">
        <v>7</v>
      </c>
      <c r="F22" s="731"/>
      <c r="G22" s="731"/>
      <c r="H22" s="731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1:66" s="98" customFormat="1" ht="17.25" customHeight="1" thickBot="1">
      <c r="C23" s="96"/>
      <c r="D23" s="96"/>
      <c r="E23" s="731"/>
      <c r="F23" s="731"/>
      <c r="G23" s="731"/>
      <c r="H23" s="731"/>
      <c r="I23" s="96"/>
      <c r="J23" s="96" t="s">
        <v>225</v>
      </c>
      <c r="K23" s="96"/>
      <c r="L23" s="96" t="s">
        <v>226</v>
      </c>
      <c r="M23" s="96"/>
      <c r="N23" s="96"/>
      <c r="O23" s="96"/>
      <c r="P23" s="96"/>
      <c r="Q23" s="96"/>
      <c r="R23" s="96"/>
      <c r="S23" s="96"/>
      <c r="T23" s="96"/>
      <c r="U23" s="96"/>
      <c r="V23" s="96"/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1:66" s="98" customFormat="1" ht="17.25" customHeight="1" thickTop="1" thickBot="1">
      <c r="A24" s="725" t="s">
        <v>41</v>
      </c>
      <c r="B24" s="726"/>
      <c r="C24" s="727"/>
      <c r="D24" s="96"/>
      <c r="E24" s="96"/>
      <c r="F24" s="598">
        <f>AD25</f>
        <v>29.083333333333332</v>
      </c>
      <c r="G24" s="621"/>
      <c r="H24" s="621"/>
      <c r="I24" s="517" t="s">
        <v>3</v>
      </c>
      <c r="J24" s="519" t="s">
        <v>359</v>
      </c>
      <c r="K24" s="517"/>
      <c r="L24" s="517"/>
      <c r="M24" s="517"/>
      <c r="N24" s="517"/>
      <c r="O24" s="448" t="str" cm="1">
        <f t="array" ref="O24">angleDecimal2Txt(F24)</f>
        <v>+29°05.00 (+29.0833) [+29°05'00.00]</v>
      </c>
      <c r="P24" s="448"/>
      <c r="Q24" s="448"/>
      <c r="R24" s="448"/>
      <c r="S24" s="448"/>
      <c r="T24" s="448"/>
      <c r="U24" s="448"/>
      <c r="V24" s="448"/>
      <c r="W24" s="448"/>
      <c r="X24" s="448"/>
      <c r="Y24" s="96"/>
      <c r="Z24" s="96"/>
      <c r="AB24" s="145"/>
      <c r="AC24" s="6" t="s">
        <v>325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3"/>
    </row>
    <row r="25" spans="1:66" s="98" customFormat="1" ht="17.25" customHeight="1" thickTop="1" thickBot="1">
      <c r="A25" s="99" t="s">
        <v>49</v>
      </c>
      <c r="B25" s="114" t="s">
        <v>50</v>
      </c>
      <c r="C25" s="100"/>
      <c r="D25" s="96"/>
      <c r="E25" s="96"/>
      <c r="F25" s="621"/>
      <c r="G25" s="621"/>
      <c r="H25" s="621"/>
      <c r="I25" s="517"/>
      <c r="J25" s="517"/>
      <c r="K25" s="517"/>
      <c r="L25" s="517"/>
      <c r="M25" s="517"/>
      <c r="N25" s="517"/>
      <c r="O25" s="448"/>
      <c r="P25" s="448"/>
      <c r="Q25" s="448"/>
      <c r="R25" s="448"/>
      <c r="S25" s="448"/>
      <c r="T25" s="448"/>
      <c r="U25" s="448"/>
      <c r="V25" s="448"/>
      <c r="W25" s="448"/>
      <c r="X25" s="448"/>
      <c r="Y25" s="96"/>
      <c r="Z25" s="96"/>
      <c r="AB25" s="145"/>
      <c r="AC25" s="6" t="s">
        <v>326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3"/>
    </row>
    <row r="26" spans="1:66" s="98" customFormat="1" ht="17.25" customHeight="1" thickTop="1">
      <c r="A26" s="99" t="s">
        <v>3</v>
      </c>
      <c r="B26" s="114" t="s">
        <v>5</v>
      </c>
      <c r="C26" s="100">
        <v>1</v>
      </c>
      <c r="D26" s="96"/>
      <c r="E26" s="96"/>
      <c r="F26" s="96"/>
      <c r="G26" s="96"/>
      <c r="H26" s="96"/>
      <c r="AB26" s="14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3"/>
    </row>
    <row r="27" spans="1:66" s="98" customFormat="1" ht="17.25" customHeight="1" thickBot="1">
      <c r="A27" s="101" t="s">
        <v>4</v>
      </c>
      <c r="B27" s="102" t="s">
        <v>6</v>
      </c>
      <c r="C27" s="103">
        <v>-1</v>
      </c>
      <c r="D27" s="96"/>
      <c r="E27" s="622" t="s">
        <v>8</v>
      </c>
      <c r="F27" s="622"/>
      <c r="G27" s="622"/>
      <c r="H27" s="622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AB27" s="14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3"/>
    </row>
    <row r="28" spans="1:66" s="98" customFormat="1" ht="17.25" customHeight="1" thickBot="1">
      <c r="C28" s="96"/>
      <c r="D28" s="96"/>
      <c r="E28" s="622"/>
      <c r="F28" s="622"/>
      <c r="G28" s="622"/>
      <c r="H28" s="622"/>
      <c r="I28" s="96"/>
      <c r="J28" s="96" t="s">
        <v>225</v>
      </c>
      <c r="K28" s="96"/>
      <c r="L28" s="96" t="s">
        <v>234</v>
      </c>
      <c r="M28" s="96"/>
      <c r="N28" s="96"/>
      <c r="O28" s="96"/>
      <c r="P28" s="96"/>
      <c r="Q28" s="96"/>
      <c r="R28" s="96"/>
      <c r="S28" s="96"/>
      <c r="T28" s="96"/>
      <c r="U28" s="96"/>
      <c r="V28" s="96"/>
      <c r="AB28" s="14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3"/>
    </row>
    <row r="29" spans="1:66" s="98" customFormat="1" ht="17.25" customHeight="1" thickTop="1" thickBot="1">
      <c r="B29" s="96"/>
      <c r="C29" s="96"/>
      <c r="D29" s="96"/>
      <c r="E29" s="96"/>
      <c r="F29" s="598">
        <f>AD30</f>
        <v>-35</v>
      </c>
      <c r="G29" s="621"/>
      <c r="H29" s="621"/>
      <c r="I29" s="517" t="s">
        <v>6</v>
      </c>
      <c r="J29" s="519" t="s">
        <v>711</v>
      </c>
      <c r="K29" s="517"/>
      <c r="L29" s="517"/>
      <c r="M29" s="517"/>
      <c r="N29" s="517"/>
      <c r="O29" s="448" t="str" cm="1">
        <f t="array" ref="O29">angleDecimal2Txt(F29)</f>
        <v>-35°00.00 (-35.0000) [-35°00'00.00]</v>
      </c>
      <c r="P29" s="448"/>
      <c r="Q29" s="448"/>
      <c r="R29" s="448"/>
      <c r="S29" s="448"/>
      <c r="T29" s="448"/>
      <c r="U29" s="448"/>
      <c r="V29" s="448"/>
      <c r="W29" s="448"/>
      <c r="X29" s="448"/>
      <c r="Y29" s="96"/>
      <c r="Z29" s="96"/>
      <c r="AB29" s="145"/>
      <c r="AC29" s="6" t="s">
        <v>327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6"/>
    </row>
    <row r="30" spans="1:66" s="98" customFormat="1" ht="17.25" customHeight="1" thickTop="1" thickBot="1">
      <c r="C30" s="96"/>
      <c r="D30" s="96"/>
      <c r="E30" s="96"/>
      <c r="F30" s="621"/>
      <c r="G30" s="621"/>
      <c r="H30" s="621"/>
      <c r="I30" s="517"/>
      <c r="J30" s="517"/>
      <c r="K30" s="517"/>
      <c r="L30" s="517"/>
      <c r="M30" s="517"/>
      <c r="N30" s="517"/>
      <c r="O30" s="448"/>
      <c r="P30" s="448"/>
      <c r="Q30" s="448"/>
      <c r="R30" s="448"/>
      <c r="S30" s="448"/>
      <c r="T30" s="448"/>
      <c r="U30" s="448"/>
      <c r="V30" s="448"/>
      <c r="W30" s="448"/>
      <c r="X30" s="448"/>
      <c r="Y30" s="96"/>
      <c r="Z30" s="96"/>
      <c r="AB30" s="145"/>
      <c r="AC30" s="6" t="s">
        <v>328</v>
      </c>
      <c r="AD30" s="6" cm="1">
        <f t="array" ref="AD30">angleConvert2Decimal(J29)*AD29</f>
        <v>-35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6"/>
    </row>
    <row r="31" spans="1:66" s="98" customFormat="1" ht="17.25" customHeight="1" thickTop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B31" s="14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6"/>
    </row>
    <row r="32" spans="1:66" s="98" customFormat="1" ht="17.25" customHeight="1" thickBot="1">
      <c r="C32" s="143"/>
      <c r="D32" s="143"/>
      <c r="E32" s="143"/>
      <c r="F32" s="143"/>
      <c r="G32" s="143"/>
      <c r="AB32" s="14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6"/>
    </row>
    <row r="33" spans="1:67" s="98" customFormat="1" ht="17.25" customHeight="1" thickBot="1">
      <c r="B33" s="107" t="s">
        <v>356</v>
      </c>
      <c r="C33" s="108"/>
      <c r="D33" s="108"/>
      <c r="E33" s="108"/>
      <c r="F33" s="510">
        <f>N34</f>
        <v>89.325000000000003</v>
      </c>
      <c r="G33" s="510"/>
      <c r="H33" s="510"/>
      <c r="I33" s="161"/>
      <c r="J33" s="1009" t="str" cm="1">
        <f t="array" ref="J33">angleDecimal2Txt(F33)</f>
        <v>+89°19.50 (+89.3250) [+89°19'30.00]</v>
      </c>
      <c r="K33" s="1009"/>
      <c r="L33" s="1009"/>
      <c r="M33" s="1009"/>
      <c r="N33" s="1009"/>
      <c r="O33" s="1009"/>
      <c r="P33" s="1009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6"/>
    </row>
    <row r="34" spans="1:67" s="115" customFormat="1" ht="17.25" customHeight="1" thickTop="1">
      <c r="C34" s="707" t="s">
        <v>114</v>
      </c>
      <c r="D34" s="707"/>
      <c r="E34" s="707"/>
      <c r="F34" s="707"/>
      <c r="G34" s="707"/>
      <c r="H34" s="976"/>
      <c r="I34" s="977" t="s">
        <v>3</v>
      </c>
      <c r="J34" s="978" t="s">
        <v>712</v>
      </c>
      <c r="K34" s="978"/>
      <c r="L34" s="978"/>
      <c r="M34" s="978"/>
      <c r="N34" s="979">
        <f>AD35</f>
        <v>89.325000000000003</v>
      </c>
      <c r="O34" s="979"/>
      <c r="P34" s="979"/>
      <c r="Q34" s="981" t="str" cm="1">
        <f t="array" ref="Q34">angleDecimal2Txt(N34)</f>
        <v>+89°19.50 (+89.3250) [+89°19'30.00]</v>
      </c>
      <c r="R34" s="981"/>
      <c r="S34" s="981"/>
      <c r="T34" s="981"/>
      <c r="U34" s="982"/>
      <c r="AB34" s="149"/>
      <c r="AC34" s="6" t="s">
        <v>355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8" customFormat="1" ht="17.25" customHeight="1" thickBot="1">
      <c r="C35" s="96"/>
      <c r="D35" s="96"/>
      <c r="E35" s="96"/>
      <c r="F35" s="96"/>
      <c r="G35" s="96"/>
      <c r="H35" s="96"/>
      <c r="I35" s="977"/>
      <c r="J35" s="978"/>
      <c r="K35" s="978"/>
      <c r="L35" s="978"/>
      <c r="M35" s="978"/>
      <c r="N35" s="979"/>
      <c r="O35" s="979"/>
      <c r="P35" s="979"/>
      <c r="Q35" s="983"/>
      <c r="R35" s="983"/>
      <c r="S35" s="983"/>
      <c r="T35" s="983"/>
      <c r="U35" s="984"/>
      <c r="AB35" s="145"/>
      <c r="AC35" s="6" t="s">
        <v>326</v>
      </c>
      <c r="AD35" s="6" cm="1">
        <f t="array" ref="AD35">angleConvert2Decimal(J34)*AD34</f>
        <v>89.325000000000003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6"/>
    </row>
    <row r="36" spans="1:67" customFormat="1" ht="17.25" customHeight="1" thickTop="1">
      <c r="A36" s="98"/>
      <c r="B36" s="98"/>
      <c r="C36" s="143"/>
      <c r="D36" s="143"/>
      <c r="E36" s="143"/>
      <c r="F36" s="143"/>
      <c r="G36" s="143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6"/>
      <c r="T36" s="96"/>
      <c r="U36" s="96"/>
      <c r="V36" s="96"/>
      <c r="W36" s="96"/>
      <c r="X36" s="96"/>
      <c r="Y36" s="98"/>
      <c r="Z36" s="98"/>
      <c r="AA36" s="98"/>
      <c r="AB36" s="145"/>
      <c r="BN36" s="106"/>
      <c r="BO36" s="98"/>
    </row>
    <row r="37" spans="1:67" customFormat="1" ht="17.25" customHeight="1" thickBot="1">
      <c r="A37" s="98"/>
      <c r="B37" s="98"/>
      <c r="C37" s="143"/>
      <c r="D37" s="143"/>
      <c r="E37" s="143"/>
      <c r="F37" s="143"/>
      <c r="G37" s="143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6"/>
      <c r="T37" s="96"/>
      <c r="U37" s="96"/>
      <c r="V37" s="96"/>
      <c r="W37" s="96"/>
      <c r="X37" s="96"/>
      <c r="Y37" s="98"/>
      <c r="Z37" s="98"/>
      <c r="AA37" s="98"/>
      <c r="AB37" s="145"/>
      <c r="BN37" s="106"/>
      <c r="BO37" s="98"/>
    </row>
    <row r="38" spans="1:67" s="96" customFormat="1" ht="17.25" customHeight="1" thickBot="1">
      <c r="A38" s="98"/>
      <c r="B38" s="107" t="s">
        <v>357</v>
      </c>
      <c r="C38" s="108"/>
      <c r="D38" s="108"/>
      <c r="E38" s="108"/>
      <c r="F38" s="510">
        <f>N39</f>
        <v>318.16333333333336</v>
      </c>
      <c r="G38" s="510"/>
      <c r="H38" s="510"/>
      <c r="I38" s="161"/>
      <c r="J38" s="985" t="s">
        <v>83</v>
      </c>
      <c r="K38" s="985"/>
      <c r="L38" s="985"/>
      <c r="M38" s="986" t="str">
        <f>J18</f>
        <v>Polaire</v>
      </c>
      <c r="N38" s="986"/>
      <c r="O38" s="986"/>
      <c r="P38" s="161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4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3"/>
    </row>
    <row r="39" spans="1:67" s="98" customFormat="1" ht="17.25" customHeight="1" thickTop="1" thickBot="1">
      <c r="C39" s="707" t="s">
        <v>354</v>
      </c>
      <c r="D39" s="707"/>
      <c r="E39" s="707"/>
      <c r="F39" s="707"/>
      <c r="G39" s="707"/>
      <c r="H39" s="976"/>
      <c r="I39" s="978" t="s">
        <v>713</v>
      </c>
      <c r="J39" s="978"/>
      <c r="K39" s="978"/>
      <c r="L39" s="978"/>
      <c r="M39" s="978"/>
      <c r="N39" s="979" cm="1">
        <f t="array" ref="N39">angleConvert2Decimal(I39)</f>
        <v>318.16333333333336</v>
      </c>
      <c r="O39" s="979"/>
      <c r="P39" s="979"/>
      <c r="Q39" s="447" t="str" cm="1">
        <f t="array" ref="Q39">angleDecimal2Txt(N39)</f>
        <v>+318°09.80 (+318.1633) [+318°09'48.00]</v>
      </c>
      <c r="R39" s="619"/>
      <c r="S39" s="619"/>
      <c r="T39" s="619"/>
      <c r="U39" s="619"/>
      <c r="AB39" s="14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6"/>
    </row>
    <row r="40" spans="1:67" s="98" customFormat="1" ht="17.25" customHeight="1" thickTop="1" thickBot="1">
      <c r="A40" s="96"/>
      <c r="C40" s="96"/>
      <c r="D40" s="96"/>
      <c r="E40" s="96"/>
      <c r="F40" s="96"/>
      <c r="G40" s="96"/>
      <c r="H40" s="96"/>
      <c r="I40" s="978"/>
      <c r="J40" s="978"/>
      <c r="K40" s="978"/>
      <c r="L40" s="978"/>
      <c r="M40" s="978"/>
      <c r="N40" s="979"/>
      <c r="O40" s="979"/>
      <c r="P40" s="979"/>
      <c r="Q40" s="987"/>
      <c r="R40" s="619"/>
      <c r="S40" s="619"/>
      <c r="T40" s="619"/>
      <c r="U40" s="619"/>
      <c r="AB40" s="15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6"/>
    </row>
    <row r="41" spans="1:67" s="98" customFormat="1" ht="17.25" customHeight="1" thickTop="1" thickBot="1">
      <c r="A41" s="96"/>
      <c r="C41" s="96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6"/>
    </row>
    <row r="42" spans="1:67" customFormat="1" ht="17.25" customHeight="1" thickBot="1">
      <c r="A42" s="115"/>
      <c r="B42" s="107" t="s">
        <v>309</v>
      </c>
      <c r="C42" s="108"/>
      <c r="D42" s="108"/>
      <c r="E42" s="108"/>
      <c r="F42" s="510">
        <f>IF(G43=AD43,F47,F55)</f>
        <v>127.60611111111113</v>
      </c>
      <c r="G42" s="510"/>
      <c r="H42" s="510"/>
      <c r="I42" s="108"/>
      <c r="J42" s="108"/>
      <c r="K42" s="108"/>
      <c r="L42" s="507">
        <f>F42-360</f>
        <v>-232.39388888888885</v>
      </c>
      <c r="M42" s="507"/>
      <c r="N42" s="108" t="s">
        <v>34</v>
      </c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48"/>
      <c r="BN42" s="106"/>
      <c r="BO42" s="98"/>
    </row>
    <row r="43" spans="1:67" customFormat="1" ht="17.25" customHeight="1">
      <c r="A43" s="98"/>
      <c r="B43" s="115"/>
      <c r="C43" s="508" t="s">
        <v>42</v>
      </c>
      <c r="D43" s="508"/>
      <c r="E43" s="508"/>
      <c r="F43" s="509"/>
      <c r="G43" s="666" t="s">
        <v>10</v>
      </c>
      <c r="H43" s="667"/>
      <c r="I43" s="668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49"/>
      <c r="AC43" s="706" t="s">
        <v>43</v>
      </c>
      <c r="AD43" s="152" t="s">
        <v>10</v>
      </c>
      <c r="BN43" s="106"/>
      <c r="BO43" s="98"/>
    </row>
    <row r="44" spans="1:67" customFormat="1" ht="17.25" customHeight="1">
      <c r="A44" s="98"/>
      <c r="B44" s="98"/>
      <c r="C44" s="116" t="s">
        <v>10</v>
      </c>
      <c r="D44" s="116"/>
      <c r="E44" s="117"/>
      <c r="F44" s="117"/>
      <c r="G44" s="96"/>
      <c r="H44" s="96"/>
      <c r="I44" s="96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45"/>
      <c r="AC44" s="706"/>
      <c r="AD44" s="152" t="s">
        <v>16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43"/>
      <c r="F45" s="477" t="s">
        <v>9</v>
      </c>
      <c r="G45" s="478"/>
      <c r="H45" s="479"/>
      <c r="I45" s="477" t="s">
        <v>12</v>
      </c>
      <c r="J45" s="478"/>
      <c r="K45" s="478"/>
      <c r="L45" s="479"/>
      <c r="M45" s="483" t="s">
        <v>13</v>
      </c>
      <c r="N45" s="484"/>
      <c r="O45" s="485"/>
      <c r="P45" s="469" t="s">
        <v>17</v>
      </c>
      <c r="Q45" s="470"/>
      <c r="R45" s="470"/>
      <c r="S45" s="470"/>
      <c r="T45" s="471"/>
      <c r="U45" s="96"/>
      <c r="V45" s="98"/>
      <c r="W45" s="98"/>
      <c r="X45" s="98"/>
      <c r="Y45" s="98"/>
      <c r="Z45" s="98"/>
      <c r="AA45" s="98"/>
      <c r="AB45" s="145"/>
      <c r="AD45" s="157" t="s">
        <v>101</v>
      </c>
      <c r="AE45" s="6" t="s">
        <v>337</v>
      </c>
      <c r="BN45" s="106"/>
      <c r="BO45" s="98"/>
    </row>
    <row r="46" spans="1:67" customFormat="1" ht="17.25" customHeight="1" thickBot="1">
      <c r="A46" s="98"/>
      <c r="B46" s="98"/>
      <c r="C46" s="143"/>
      <c r="D46" s="143"/>
      <c r="E46" s="143"/>
      <c r="F46" s="480"/>
      <c r="G46" s="481"/>
      <c r="H46" s="482"/>
      <c r="I46" s="480"/>
      <c r="J46" s="481"/>
      <c r="K46" s="481"/>
      <c r="L46" s="482"/>
      <c r="M46" s="486"/>
      <c r="N46" s="487"/>
      <c r="O46" s="488"/>
      <c r="P46" s="980"/>
      <c r="Q46" s="473"/>
      <c r="R46" s="473"/>
      <c r="S46" s="473"/>
      <c r="T46" s="474"/>
      <c r="U46" s="96"/>
      <c r="V46" s="98"/>
      <c r="W46" s="98"/>
      <c r="X46" s="98"/>
      <c r="Y46" s="98"/>
      <c r="AA46" s="98"/>
      <c r="AB46" s="145"/>
      <c r="AC46" s="6" t="s">
        <v>329</v>
      </c>
      <c r="AD46" s="6">
        <f>VLOOKUP(P47,$B$26:$C$27,2)</f>
        <v>1</v>
      </c>
      <c r="AE46" s="6" cm="1">
        <f t="array" ref="AE46">AD46*angleConvert2Decimal(Q47)</f>
        <v>114.57</v>
      </c>
      <c r="BN46" s="106"/>
      <c r="BO46" s="98"/>
    </row>
    <row r="47" spans="1:67" customFormat="1" ht="17.25" customHeight="1" thickTop="1" thickBot="1">
      <c r="A47" s="98"/>
      <c r="B47" s="98"/>
      <c r="C47" s="143"/>
      <c r="D47" s="143"/>
      <c r="E47" s="98"/>
      <c r="F47" s="597">
        <f>IF(G43=AD44,"---",AD51)</f>
        <v>127.60611111111113</v>
      </c>
      <c r="G47" s="597"/>
      <c r="H47" s="597"/>
      <c r="I47" s="784">
        <f>E11</f>
        <v>20.866666666666667</v>
      </c>
      <c r="J47" s="784"/>
      <c r="K47" s="784"/>
      <c r="L47" s="784"/>
      <c r="M47" s="593">
        <v>20</v>
      </c>
      <c r="N47" s="594"/>
      <c r="O47" s="994"/>
      <c r="P47" s="995" t="s">
        <v>5</v>
      </c>
      <c r="Q47" s="996" t="s">
        <v>714</v>
      </c>
      <c r="R47" s="709"/>
      <c r="S47" s="709"/>
      <c r="T47" s="997"/>
      <c r="U47" s="448" t="str" cm="1">
        <f t="array" ref="U47">angleDecimal2Txt(AE46)</f>
        <v>+114°34.20 (+114.5699) [+114°34'12.00]</v>
      </c>
      <c r="V47" s="619"/>
      <c r="W47" s="619"/>
      <c r="X47" s="619"/>
      <c r="Y47" s="619"/>
      <c r="AA47" s="98"/>
      <c r="AB47" s="145"/>
      <c r="AC47" s="6" t="s">
        <v>330</v>
      </c>
      <c r="AD47" s="6">
        <f>VLOOKUP(P49,$B$26:$C$27,2)</f>
        <v>1</v>
      </c>
      <c r="AE47" s="6" cm="1">
        <f t="array" ref="AE47">AD47*angleConvert2Decimal(Q49)</f>
        <v>129.61166666666668</v>
      </c>
      <c r="BN47" s="106"/>
      <c r="BO47" s="98"/>
    </row>
    <row r="48" spans="1:67" customFormat="1" ht="17.25" customHeight="1" thickTop="1" thickBot="1">
      <c r="A48" s="98"/>
      <c r="B48" s="98"/>
      <c r="C48" s="143"/>
      <c r="D48" s="143"/>
      <c r="E48" s="143"/>
      <c r="F48" s="598"/>
      <c r="G48" s="598"/>
      <c r="H48" s="598"/>
      <c r="I48" s="784"/>
      <c r="J48" s="784"/>
      <c r="K48" s="784"/>
      <c r="L48" s="784"/>
      <c r="M48" s="595"/>
      <c r="N48" s="596"/>
      <c r="O48" s="700"/>
      <c r="P48" s="516"/>
      <c r="Q48" s="998"/>
      <c r="R48" s="999"/>
      <c r="S48" s="999"/>
      <c r="T48" s="1000"/>
      <c r="U48" s="619"/>
      <c r="V48" s="619"/>
      <c r="W48" s="619"/>
      <c r="X48" s="619"/>
      <c r="Y48" s="619"/>
      <c r="AA48" s="98"/>
      <c r="AB48" s="145"/>
      <c r="AC48" s="6" t="s">
        <v>45</v>
      </c>
      <c r="AD48" s="8">
        <f>AE47-AE46</f>
        <v>15.041666666666686</v>
      </c>
      <c r="BN48" s="106"/>
      <c r="BO48" s="98"/>
    </row>
    <row r="49" spans="1:67" customFormat="1" ht="17.25" customHeight="1" thickTop="1" thickBot="1">
      <c r="A49" s="98"/>
      <c r="B49" s="98"/>
      <c r="C49" s="143"/>
      <c r="D49" s="143"/>
      <c r="E49" s="143"/>
      <c r="F49" s="598"/>
      <c r="G49" s="598"/>
      <c r="H49" s="598"/>
      <c r="I49" s="784"/>
      <c r="J49" s="784"/>
      <c r="K49" s="784"/>
      <c r="L49" s="784"/>
      <c r="M49" s="664">
        <v>21</v>
      </c>
      <c r="N49" s="665"/>
      <c r="O49" s="1001"/>
      <c r="P49" s="1002" t="s">
        <v>5</v>
      </c>
      <c r="Q49" s="834" t="s">
        <v>715</v>
      </c>
      <c r="R49" s="1003"/>
      <c r="S49" s="1003"/>
      <c r="T49" s="1004"/>
      <c r="U49" s="448" t="str" cm="1">
        <f t="array" ref="U49">angleDecimal2Txt((AE47))</f>
        <v>+129°36.70 (+129.6116) [+129°36'42.00]</v>
      </c>
      <c r="V49" s="619"/>
      <c r="W49" s="619"/>
      <c r="X49" s="619"/>
      <c r="Y49" s="619"/>
      <c r="AA49" s="98"/>
      <c r="AB49" s="145"/>
      <c r="AC49" s="6" t="s">
        <v>331</v>
      </c>
      <c r="AD49" s="8">
        <f>M49-M47</f>
        <v>1</v>
      </c>
      <c r="AE49" s="98"/>
      <c r="BN49" s="106"/>
      <c r="BO49" s="98"/>
    </row>
    <row r="50" spans="1:67" customFormat="1" ht="17.25" customHeight="1" thickTop="1" thickBot="1">
      <c r="A50" s="98"/>
      <c r="B50" s="98"/>
      <c r="C50" s="143"/>
      <c r="D50" s="143"/>
      <c r="E50" s="143"/>
      <c r="F50" s="598"/>
      <c r="G50" s="598"/>
      <c r="H50" s="598"/>
      <c r="I50" s="784"/>
      <c r="J50" s="784"/>
      <c r="K50" s="784"/>
      <c r="L50" s="784"/>
      <c r="M50" s="595"/>
      <c r="N50" s="596"/>
      <c r="O50" s="700"/>
      <c r="P50" s="516"/>
      <c r="Q50" s="998"/>
      <c r="R50" s="999"/>
      <c r="S50" s="999"/>
      <c r="T50" s="1000"/>
      <c r="U50" s="619"/>
      <c r="V50" s="619"/>
      <c r="W50" s="619"/>
      <c r="X50" s="619"/>
      <c r="Y50" s="619"/>
      <c r="AA50" s="98"/>
      <c r="AB50" s="145"/>
      <c r="AC50" s="6" t="s">
        <v>46</v>
      </c>
      <c r="AD50" s="8">
        <f>I47-M47</f>
        <v>0.86666666666666714</v>
      </c>
      <c r="BN50" s="106"/>
      <c r="BO50" s="98"/>
    </row>
    <row r="51" spans="1:67" customFormat="1" ht="17.25" customHeight="1" thickTop="1" thickBot="1">
      <c r="A51" s="98"/>
      <c r="B51" s="98"/>
      <c r="C51" s="143"/>
      <c r="D51" s="143"/>
      <c r="E51" s="143"/>
      <c r="F51" s="421" t="str" cm="1">
        <f t="array" ref="F51">angleDecimal2Txt(F47)</f>
        <v>+127°36.36 (+127.6061) [+127°36'22.00]</v>
      </c>
      <c r="G51" s="422"/>
      <c r="H51" s="422"/>
      <c r="I51" s="422"/>
      <c r="J51" s="422"/>
      <c r="K51" s="423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AA51" s="96"/>
      <c r="AB51" s="145"/>
      <c r="AC51" s="6" t="s">
        <v>44</v>
      </c>
      <c r="AD51" s="6">
        <f>AE46+(AD48/AD49)*AD50</f>
        <v>127.60611111111113</v>
      </c>
      <c r="BN51" s="106"/>
      <c r="BO51" s="98"/>
    </row>
    <row r="52" spans="1:67" customFormat="1" ht="17.25" customHeight="1" thickTop="1">
      <c r="A52" s="98"/>
      <c r="B52" s="98"/>
      <c r="C52" s="116" t="s">
        <v>16</v>
      </c>
      <c r="D52" s="116"/>
      <c r="E52" s="117"/>
      <c r="F52" s="117"/>
      <c r="G52" s="96"/>
      <c r="H52" s="96"/>
      <c r="I52" s="96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AA52" s="96"/>
      <c r="AB52" s="145"/>
      <c r="BN52" s="106"/>
      <c r="BO52" s="98"/>
    </row>
    <row r="53" spans="1:67" customFormat="1" ht="17.25" customHeight="1">
      <c r="A53" s="98"/>
      <c r="B53" s="98"/>
      <c r="C53" s="96"/>
      <c r="D53" s="96"/>
      <c r="E53" s="96"/>
      <c r="F53" s="477" t="s">
        <v>9</v>
      </c>
      <c r="G53" s="478"/>
      <c r="H53" s="479"/>
      <c r="I53" s="477" t="s">
        <v>12</v>
      </c>
      <c r="J53" s="478"/>
      <c r="K53" s="478"/>
      <c r="L53" s="479"/>
      <c r="M53" s="483" t="s">
        <v>13</v>
      </c>
      <c r="N53" s="484"/>
      <c r="O53" s="485"/>
      <c r="P53" s="469" t="s">
        <v>18</v>
      </c>
      <c r="Q53" s="470"/>
      <c r="R53" s="470"/>
      <c r="S53" s="470"/>
      <c r="T53" s="471"/>
      <c r="U53" s="469" t="s">
        <v>126</v>
      </c>
      <c r="V53" s="470"/>
      <c r="W53" s="470"/>
      <c r="X53" s="470"/>
      <c r="Y53" s="471"/>
      <c r="Z53" s="98"/>
      <c r="AA53" s="96"/>
      <c r="AB53" s="145"/>
      <c r="AC53" s="6" t="s">
        <v>332</v>
      </c>
      <c r="AD53" s="6">
        <f>VLOOKUP(P55,$B$26:$C$27,2)</f>
        <v>1</v>
      </c>
      <c r="BN53" s="106"/>
      <c r="BO53" s="98"/>
    </row>
    <row r="54" spans="1:67" customFormat="1" ht="17.25" customHeight="1" collapsed="1">
      <c r="A54" s="98"/>
      <c r="B54" s="98"/>
      <c r="C54" s="143"/>
      <c r="D54" s="143"/>
      <c r="E54" s="143"/>
      <c r="F54" s="480"/>
      <c r="G54" s="481"/>
      <c r="H54" s="482"/>
      <c r="I54" s="480"/>
      <c r="J54" s="481"/>
      <c r="K54" s="481"/>
      <c r="L54" s="482"/>
      <c r="M54" s="486"/>
      <c r="N54" s="487"/>
      <c r="O54" s="488"/>
      <c r="P54" s="980"/>
      <c r="Q54" s="473"/>
      <c r="R54" s="473"/>
      <c r="S54" s="473"/>
      <c r="T54" s="474"/>
      <c r="U54" s="980"/>
      <c r="V54" s="473"/>
      <c r="W54" s="473"/>
      <c r="X54" s="473"/>
      <c r="Y54" s="474"/>
      <c r="Z54" s="96"/>
      <c r="AA54" s="96"/>
      <c r="AB54" s="145"/>
      <c r="AC54" s="6" t="s">
        <v>333</v>
      </c>
      <c r="AD54" s="6" cm="1">
        <f t="array" ref="AD54">angleConvert2Decimal(Q55)*AD53</f>
        <v>311.63333333333333</v>
      </c>
      <c r="BN54" s="106"/>
      <c r="BO54" s="98"/>
    </row>
    <row r="55" spans="1:67" customFormat="1" ht="17.25" customHeight="1">
      <c r="A55" s="98"/>
      <c r="B55" s="98"/>
      <c r="C55" s="143"/>
      <c r="D55" s="143"/>
      <c r="E55" s="98"/>
      <c r="F55" s="597" t="str">
        <f>IF(G43=AD44,AD57,"---")</f>
        <v>---</v>
      </c>
      <c r="G55" s="597"/>
      <c r="H55" s="597"/>
      <c r="I55" s="784">
        <f>E11</f>
        <v>20.866666666666667</v>
      </c>
      <c r="J55" s="784"/>
      <c r="K55" s="784"/>
      <c r="L55" s="784"/>
      <c r="M55" s="593">
        <v>18.808299999999999</v>
      </c>
      <c r="N55" s="594"/>
      <c r="O55" s="994"/>
      <c r="P55" s="995" t="s">
        <v>5</v>
      </c>
      <c r="Q55" s="996" t="s">
        <v>360</v>
      </c>
      <c r="R55" s="709"/>
      <c r="S55" s="709"/>
      <c r="T55" s="1006"/>
      <c r="U55" s="995" t="s">
        <v>5</v>
      </c>
      <c r="V55" s="996" t="s">
        <v>171</v>
      </c>
      <c r="W55" s="709"/>
      <c r="X55" s="709"/>
      <c r="Y55" s="1006"/>
      <c r="Z55" s="96"/>
      <c r="AA55" s="98"/>
      <c r="AB55" s="145"/>
      <c r="AC55" s="6" t="s">
        <v>334</v>
      </c>
      <c r="AD55" s="6">
        <f>VLOOKUP(U55,$B$26:$C$27,2)</f>
        <v>1</v>
      </c>
      <c r="BN55" s="106"/>
      <c r="BO55" s="98"/>
    </row>
    <row r="56" spans="1:67" customFormat="1" ht="17.25" customHeight="1" thickBot="1">
      <c r="A56" s="98"/>
      <c r="B56" s="98"/>
      <c r="C56" s="143"/>
      <c r="D56" s="143"/>
      <c r="E56" s="143"/>
      <c r="F56" s="598"/>
      <c r="G56" s="598"/>
      <c r="H56" s="598"/>
      <c r="I56" s="784"/>
      <c r="J56" s="784"/>
      <c r="K56" s="784"/>
      <c r="L56" s="784"/>
      <c r="M56" s="595"/>
      <c r="N56" s="596"/>
      <c r="O56" s="700"/>
      <c r="P56" s="1005"/>
      <c r="Q56" s="1007"/>
      <c r="R56" s="710"/>
      <c r="S56" s="710"/>
      <c r="T56" s="1008"/>
      <c r="U56" s="1005"/>
      <c r="V56" s="1007"/>
      <c r="W56" s="710"/>
      <c r="X56" s="710"/>
      <c r="Y56" s="1008"/>
      <c r="Z56" s="96"/>
      <c r="AA56" s="98"/>
      <c r="AB56" s="145"/>
      <c r="AC56" s="6" t="s">
        <v>335</v>
      </c>
      <c r="AD56" s="6" cm="1">
        <f t="array" ref="AD56">angleConvert2Decimal(V55)*AD55</f>
        <v>15.002000000000001</v>
      </c>
      <c r="BN56" s="106"/>
      <c r="BO56" s="98"/>
    </row>
    <row r="57" spans="1:67" customFormat="1" ht="17.25" customHeight="1" thickTop="1" thickBot="1">
      <c r="A57" s="98"/>
      <c r="B57" s="98"/>
      <c r="C57" s="143"/>
      <c r="D57" s="143"/>
      <c r="E57" s="143"/>
      <c r="F57" s="450" t="e" cm="1">
        <f t="array" ref="F57">angleDecimal2Txt(F55)</f>
        <v>#VALUE!</v>
      </c>
      <c r="G57" s="450"/>
      <c r="H57" s="450"/>
      <c r="I57" s="450"/>
      <c r="J57" s="450"/>
      <c r="K57" s="450"/>
      <c r="L57" s="98"/>
      <c r="M57" s="98"/>
      <c r="N57" s="98"/>
      <c r="O57" s="98"/>
      <c r="P57" s="450" t="str" cm="1">
        <f t="array" ref="P57">angleDecimal2Txt(AD54)</f>
        <v>+311°38.00 (+311.6333) [+311°38'00.00]</v>
      </c>
      <c r="Q57" s="450"/>
      <c r="R57" s="450"/>
      <c r="S57" s="450"/>
      <c r="T57" s="450"/>
      <c r="U57" s="450" t="str" cm="1">
        <f t="array" ref="U57">angleDecimal2Txt(AD56)</f>
        <v>+15°00.12 (+15.0020) [+15°00'07.20]</v>
      </c>
      <c r="V57" s="630"/>
      <c r="W57" s="630"/>
      <c r="X57" s="630"/>
      <c r="Y57" s="630"/>
      <c r="Z57" s="98"/>
      <c r="AA57" s="98"/>
      <c r="AB57" s="145"/>
      <c r="AC57" s="6" t="s">
        <v>336</v>
      </c>
      <c r="AD57" s="6">
        <f>AD54+AD56*(I55-M55)</f>
        <v>342.51295006666669</v>
      </c>
      <c r="BN57" s="106"/>
      <c r="BO57" s="98"/>
    </row>
    <row r="58" spans="1:67" customFormat="1" ht="17.25" customHeight="1" thickTop="1">
      <c r="A58" s="98"/>
      <c r="B58" s="98"/>
      <c r="C58" s="143"/>
      <c r="D58" s="143"/>
      <c r="E58" s="143"/>
      <c r="F58" s="143"/>
      <c r="G58" s="143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6"/>
      <c r="T58" s="96"/>
      <c r="U58" s="96"/>
      <c r="V58" s="96"/>
      <c r="W58" s="96"/>
      <c r="X58" s="96"/>
      <c r="Y58" s="98"/>
      <c r="Z58" s="98"/>
      <c r="AA58" s="98"/>
      <c r="AB58" s="145"/>
      <c r="BN58" s="106"/>
      <c r="BO58" s="98"/>
    </row>
    <row r="59" spans="1:67" customFormat="1" ht="17.25" customHeight="1">
      <c r="A59" s="98"/>
      <c r="B59" s="98"/>
      <c r="C59" s="143"/>
      <c r="D59" s="143"/>
      <c r="E59" s="143"/>
      <c r="F59" s="143"/>
      <c r="G59" s="143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6"/>
      <c r="T59" s="96"/>
      <c r="U59" s="96"/>
      <c r="V59" s="96"/>
      <c r="W59" s="96"/>
      <c r="X59" s="98"/>
      <c r="Y59" s="98"/>
      <c r="Z59" s="98"/>
      <c r="AA59" s="98"/>
      <c r="AB59" s="145"/>
      <c r="BN59" s="106"/>
      <c r="BO59" s="98"/>
    </row>
    <row r="60" spans="1:67" customFormat="1" ht="17.25" customHeight="1" thickBot="1">
      <c r="A60" s="98"/>
      <c r="B60" s="98"/>
      <c r="C60" s="143"/>
      <c r="D60" s="143"/>
      <c r="E60" s="143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8"/>
      <c r="AB60" s="145"/>
      <c r="AI60" s="41"/>
      <c r="BN60" s="106"/>
      <c r="BO60" s="98"/>
    </row>
    <row r="61" spans="1:67" s="96" customFormat="1" ht="17.25" customHeight="1" thickBot="1">
      <c r="A61" s="98"/>
      <c r="B61" s="107" t="s">
        <v>51</v>
      </c>
      <c r="C61" s="108"/>
      <c r="D61" s="108"/>
      <c r="E61" s="108"/>
      <c r="F61" s="510">
        <f>I62</f>
        <v>50.769444444444503</v>
      </c>
      <c r="G61" s="510"/>
      <c r="H61" s="510"/>
      <c r="I61" s="108"/>
      <c r="J61" s="628" t="s">
        <v>83</v>
      </c>
      <c r="K61" s="628"/>
      <c r="L61" s="628"/>
      <c r="M61" s="600" t="str">
        <f>J18</f>
        <v>Polaire</v>
      </c>
      <c r="N61" s="600"/>
      <c r="O61" s="600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4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3"/>
    </row>
    <row r="62" spans="1:67" s="98" customFormat="1" ht="17.25" customHeight="1" thickBot="1">
      <c r="C62" s="707" t="s">
        <v>23</v>
      </c>
      <c r="D62" s="707"/>
      <c r="E62" s="707"/>
      <c r="F62" s="707"/>
      <c r="G62" s="707"/>
      <c r="H62" s="708"/>
      <c r="I62" s="702">
        <f>AD63</f>
        <v>50.769444444444503</v>
      </c>
      <c r="J62" s="703"/>
      <c r="K62" s="703"/>
      <c r="L62" s="704"/>
      <c r="M62" s="118" t="s">
        <v>53</v>
      </c>
      <c r="N62" s="576">
        <f>AD62</f>
        <v>410.7694444444445</v>
      </c>
      <c r="O62" s="576"/>
      <c r="P62" s="576"/>
      <c r="Q62" s="576"/>
      <c r="AB62" s="145"/>
      <c r="AC62" s="6" t="s">
        <v>338</v>
      </c>
      <c r="AD62" s="8">
        <f>F42+F29+F38</f>
        <v>410.7694444444445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6"/>
    </row>
    <row r="63" spans="1:67" s="98" customFormat="1" ht="17.25" customHeight="1" thickTop="1" thickBot="1">
      <c r="A63" s="96"/>
      <c r="C63" s="96"/>
      <c r="D63" s="96"/>
      <c r="E63" s="96"/>
      <c r="F63" s="96"/>
      <c r="G63" s="96"/>
      <c r="H63" s="96"/>
      <c r="I63" s="630" t="str" cm="1">
        <f t="array" ref="I63">angleDecimal2Txt(I62)</f>
        <v>+50°46.16 (+50.7694) [+50°46'10.00]</v>
      </c>
      <c r="J63" s="630"/>
      <c r="K63" s="630"/>
      <c r="L63" s="630"/>
      <c r="M63" s="630"/>
      <c r="N63" s="630"/>
      <c r="AB63" s="150"/>
      <c r="AC63" s="6" t="s">
        <v>339</v>
      </c>
      <c r="AD63" s="8">
        <f>MOD(AD62,360)</f>
        <v>50.769444444444503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6"/>
    </row>
    <row r="64" spans="1:67" s="98" customFormat="1" ht="17.25" customHeight="1" thickTop="1" thickBot="1">
      <c r="B64" s="96"/>
      <c r="AA64" s="96"/>
      <c r="AB64" s="14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6"/>
    </row>
    <row r="65" spans="1:67" s="98" customFormat="1" ht="17.25" customHeight="1" thickTop="1" thickBot="1">
      <c r="B65" s="107" t="s">
        <v>25</v>
      </c>
      <c r="C65" s="108"/>
      <c r="D65" s="675" t="s">
        <v>100</v>
      </c>
      <c r="E65" s="679"/>
      <c r="F65" s="510">
        <f>IF(G66=AD66,O103,O95)</f>
        <v>25.774492284237482</v>
      </c>
      <c r="G65" s="510"/>
      <c r="H65" s="510"/>
      <c r="I65" s="108"/>
      <c r="J65" s="737" t="str" cm="1">
        <f t="array" ref="J65">angleDecimal2Txt(F65)</f>
        <v>+25°46.46 (+25.7744) [+25°46'28.17]</v>
      </c>
      <c r="K65" s="738"/>
      <c r="L65" s="738"/>
      <c r="M65" s="738"/>
      <c r="N65" s="739"/>
      <c r="O65" s="108"/>
      <c r="P65" s="675"/>
      <c r="Q65" s="675"/>
      <c r="R65" s="108"/>
      <c r="S65" s="144"/>
      <c r="T65" s="108" t="s">
        <v>127</v>
      </c>
      <c r="U65" s="108"/>
      <c r="V65" s="714">
        <f>-O82+O77+O86</f>
        <v>-3.407125838498553E-2</v>
      </c>
      <c r="W65" s="715"/>
      <c r="X65" s="716"/>
      <c r="Y65" s="179" t="str" cm="1">
        <f t="array" ref="Y65">angleDecimal2Txt(V65)</f>
        <v>-00°02.04 (-00.0340) [-00°02'02.65]</v>
      </c>
      <c r="Z65" s="179"/>
      <c r="AA65" s="179"/>
      <c r="AB65" s="18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6"/>
    </row>
    <row r="66" spans="1:67" s="98" customFormat="1" ht="17.25" customHeight="1">
      <c r="C66" s="508" t="s">
        <v>42</v>
      </c>
      <c r="D66" s="508"/>
      <c r="E66" s="508"/>
      <c r="F66" s="508"/>
      <c r="G66" s="629" t="s">
        <v>59</v>
      </c>
      <c r="H66" s="629"/>
      <c r="I66" s="629"/>
      <c r="P66" s="98" t="s">
        <v>97</v>
      </c>
      <c r="V66" s="96"/>
      <c r="W66" s="96"/>
      <c r="X66" s="96"/>
      <c r="Y66" s="96"/>
      <c r="Z66" s="96"/>
      <c r="AB66" s="145"/>
      <c r="AC66" s="706" t="s">
        <v>43</v>
      </c>
      <c r="AD66" s="152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6"/>
    </row>
    <row r="67" spans="1:67" s="98" customFormat="1" ht="17.25" customHeight="1" thickBot="1">
      <c r="C67" s="115"/>
      <c r="D67" s="115"/>
      <c r="E67" s="115"/>
      <c r="F67" s="581" t="s">
        <v>90</v>
      </c>
      <c r="G67" s="581"/>
      <c r="H67" s="631"/>
      <c r="I67" s="631"/>
      <c r="J67" s="713">
        <f>IF(G66=AD66,"---",O95)</f>
        <v>25.774492284237482</v>
      </c>
      <c r="K67" s="713"/>
      <c r="L67" s="713"/>
      <c r="V67" s="96"/>
      <c r="W67" s="96"/>
      <c r="X67" s="96"/>
      <c r="Y67" s="96"/>
      <c r="Z67" s="96"/>
      <c r="AB67" s="145"/>
      <c r="AC67" s="706"/>
      <c r="AD67" s="152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6"/>
    </row>
    <row r="68" spans="1:67" s="98" customFormat="1" ht="17.25" customHeight="1" thickTop="1" thickBot="1">
      <c r="H68" s="558" t="s">
        <v>55</v>
      </c>
      <c r="I68" s="558"/>
      <c r="J68" s="558"/>
      <c r="K68" s="558"/>
      <c r="L68" s="558"/>
      <c r="M68" s="558"/>
      <c r="N68" s="558"/>
      <c r="O68" s="437">
        <f>J17</f>
        <v>25.8</v>
      </c>
      <c r="P68" s="437"/>
      <c r="Q68" s="437"/>
      <c r="R68" s="437"/>
      <c r="S68" s="98" t="s">
        <v>71</v>
      </c>
      <c r="U68" s="450" t="str" cm="1">
        <f t="array" ref="U68">angleDecimal2Txt(O68)</f>
        <v>+25°48.00 (+25.8000) [+25°48'00.00]</v>
      </c>
      <c r="V68" s="450"/>
      <c r="W68" s="450"/>
      <c r="X68" s="450"/>
      <c r="Y68" s="450"/>
      <c r="Z68" s="450"/>
      <c r="AB68" s="145"/>
      <c r="AC68" s="6" t="s">
        <v>87</v>
      </c>
      <c r="AD68" s="8">
        <f>O69</f>
        <v>-0.05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6"/>
    </row>
    <row r="69" spans="1:67" s="98" customFormat="1" ht="17.25" customHeight="1" thickTop="1" thickBot="1">
      <c r="H69" s="558" t="s">
        <v>26</v>
      </c>
      <c r="I69" s="558"/>
      <c r="J69" s="558"/>
      <c r="K69" s="558"/>
      <c r="L69" s="558"/>
      <c r="M69" s="558"/>
      <c r="N69" s="558"/>
      <c r="O69" s="437">
        <f>J16</f>
        <v>-0.05</v>
      </c>
      <c r="P69" s="437"/>
      <c r="Q69" s="437"/>
      <c r="R69" s="437"/>
      <c r="S69" s="98" t="s">
        <v>71</v>
      </c>
      <c r="U69" s="450" t="str" cm="1">
        <f t="array" ref="U69">angleDecimal2Txt(O69)</f>
        <v>-00°03.00 (-00.0500) [-00°03'00.00]</v>
      </c>
      <c r="V69" s="450"/>
      <c r="W69" s="450"/>
      <c r="X69" s="450"/>
      <c r="Y69" s="450"/>
      <c r="Z69" s="450"/>
      <c r="AB69" s="145"/>
      <c r="AC69" s="6" t="s">
        <v>54</v>
      </c>
      <c r="AD69" s="6">
        <f>J15</f>
        <v>2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6"/>
    </row>
    <row r="70" spans="1:67" s="98" customFormat="1" ht="17.25" customHeight="1" thickTop="1" thickBot="1">
      <c r="C70" s="143"/>
      <c r="D70" s="143"/>
      <c r="E70" s="143"/>
      <c r="F70" s="143"/>
      <c r="H70" s="587" t="s">
        <v>96</v>
      </c>
      <c r="I70" s="587"/>
      <c r="J70" s="587"/>
      <c r="K70" s="587"/>
      <c r="L70" s="587"/>
      <c r="M70" s="587"/>
      <c r="N70" s="587"/>
      <c r="O70" s="446">
        <f>AD70</f>
        <v>4.1436457377531689E-2</v>
      </c>
      <c r="P70" s="446"/>
      <c r="Q70" s="446"/>
      <c r="R70" s="446"/>
      <c r="S70" s="98" t="s">
        <v>71</v>
      </c>
      <c r="U70" s="450" t="str" cm="1">
        <f t="array" ref="U70">angleDecimal2Txt(O70)</f>
        <v>+00°02.48 (+00.0414) [+00°02'29.17]</v>
      </c>
      <c r="V70" s="450"/>
      <c r="W70" s="450"/>
      <c r="X70" s="450"/>
      <c r="Y70" s="450"/>
      <c r="Z70" s="450"/>
      <c r="AB70" s="145"/>
      <c r="AC70" s="158" t="s">
        <v>95</v>
      </c>
      <c r="AD70" s="6">
        <f>0.0293 * SQRT(AD69)</f>
        <v>4.1436457377531689E-2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6"/>
    </row>
    <row r="71" spans="1:67" s="98" customFormat="1" ht="17.25" customHeight="1" thickTop="1" thickBot="1">
      <c r="C71" s="143"/>
      <c r="D71" s="143"/>
      <c r="E71" s="143"/>
      <c r="F71" s="143"/>
      <c r="G71" s="143"/>
      <c r="K71" s="96"/>
      <c r="L71" s="96"/>
      <c r="M71" s="685" t="s">
        <v>175</v>
      </c>
      <c r="N71" s="685"/>
      <c r="O71" s="685"/>
      <c r="P71" s="685"/>
      <c r="Q71" s="96"/>
      <c r="R71" s="96"/>
      <c r="U71" s="96"/>
      <c r="V71" s="96"/>
      <c r="W71" s="96"/>
      <c r="X71" s="96"/>
      <c r="Y71" s="96"/>
      <c r="Z71" s="96"/>
      <c r="AB71" s="14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6"/>
    </row>
    <row r="72" spans="1:67" s="98" customFormat="1" ht="17.25" customHeight="1" thickTop="1" thickBot="1">
      <c r="C72" s="143"/>
      <c r="D72" s="143"/>
      <c r="E72" s="143"/>
      <c r="F72" s="143"/>
      <c r="H72" s="454" t="s">
        <v>56</v>
      </c>
      <c r="I72" s="454"/>
      <c r="J72" s="454"/>
      <c r="K72" s="454"/>
      <c r="L72" s="454"/>
      <c r="M72" s="454"/>
      <c r="N72" s="454"/>
      <c r="O72" s="599">
        <f>O68-O69-O70</f>
        <v>25.808563542622469</v>
      </c>
      <c r="P72" s="580"/>
      <c r="Q72" s="98" t="s">
        <v>71</v>
      </c>
      <c r="R72" s="605">
        <f>O72*D123</f>
        <v>0.45044440902893396</v>
      </c>
      <c r="S72" s="605"/>
      <c r="T72" s="119" t="s">
        <v>92</v>
      </c>
      <c r="U72" s="450" t="str" cm="1">
        <f t="array" ref="U72">angleDecimal2Txt(O72)</f>
        <v>+25°48.51 (+25.8085) [+25°48'30.82]</v>
      </c>
      <c r="V72" s="450"/>
      <c r="W72" s="450"/>
      <c r="X72" s="450"/>
      <c r="Y72" s="450"/>
      <c r="Z72" s="450"/>
      <c r="AB72" s="14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6"/>
    </row>
    <row r="73" spans="1:67" s="98" customFormat="1" ht="17.25" customHeight="1" thickTop="1"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U73" s="96"/>
      <c r="V73" s="96"/>
      <c r="W73" s="96"/>
      <c r="X73" s="96"/>
      <c r="Y73" s="96"/>
      <c r="Z73" s="96"/>
      <c r="AB73" s="14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6"/>
    </row>
    <row r="74" spans="1:67" s="98" customFormat="1" ht="17.25" customHeight="1">
      <c r="C74" s="143"/>
      <c r="D74" s="143"/>
      <c r="E74" s="143"/>
      <c r="F74" s="143"/>
      <c r="H74" s="96"/>
      <c r="I74" s="96"/>
      <c r="J74" s="96"/>
      <c r="K74" s="96"/>
      <c r="L74" s="96"/>
      <c r="M74" s="601" t="s">
        <v>89</v>
      </c>
      <c r="N74" s="601"/>
      <c r="O74" s="601"/>
      <c r="P74" s="601"/>
      <c r="Q74" s="96"/>
      <c r="R74" s="96"/>
      <c r="U74" s="96"/>
      <c r="V74" s="96"/>
      <c r="W74" s="96"/>
      <c r="X74" s="96"/>
      <c r="Y74" s="96"/>
      <c r="Z74" s="96"/>
      <c r="AB74" s="14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6"/>
    </row>
    <row r="75" spans="1:67" s="98" customFormat="1" ht="17.25" customHeight="1" thickBot="1">
      <c r="M75" s="602" t="s">
        <v>235</v>
      </c>
      <c r="N75" s="602"/>
      <c r="O75" s="601"/>
      <c r="P75" s="601"/>
      <c r="AB75" s="14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6"/>
    </row>
    <row r="76" spans="1:67" s="98" customFormat="1" ht="17.25" customHeight="1" thickTop="1" thickBot="1">
      <c r="A76" s="96"/>
      <c r="B76" s="96"/>
      <c r="C76" s="96"/>
      <c r="D76" s="96"/>
      <c r="E76" s="96"/>
      <c r="H76" s="446" t="s">
        <v>60</v>
      </c>
      <c r="I76" s="446"/>
      <c r="J76" s="446"/>
      <c r="K76" s="446"/>
      <c r="L76" s="446"/>
      <c r="M76" s="446"/>
      <c r="N76" s="446"/>
      <c r="O76" s="603">
        <v>0</v>
      </c>
      <c r="P76" s="604"/>
      <c r="Q76" s="604"/>
      <c r="R76" s="604"/>
      <c r="S76" s="98" t="s">
        <v>71</v>
      </c>
      <c r="U76" s="450" t="str" cm="1">
        <f t="array" ref="U76">angleDecimal2Txt(O76)</f>
        <v>+00°00.00 (+00.0000) [+00°00'00.00]</v>
      </c>
      <c r="V76" s="450"/>
      <c r="W76" s="450"/>
      <c r="X76" s="450"/>
      <c r="Y76" s="450"/>
      <c r="Z76" s="450"/>
      <c r="AB76" s="145"/>
      <c r="AC76" s="6" t="s">
        <v>340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6"/>
    </row>
    <row r="77" spans="1:67" customFormat="1" ht="17.25" customHeight="1" thickTop="1" thickBot="1">
      <c r="A77" s="96"/>
      <c r="B77" s="96"/>
      <c r="C77" s="96"/>
      <c r="D77" s="96"/>
      <c r="E77" s="96"/>
      <c r="F77" s="98"/>
      <c r="G77" s="98"/>
      <c r="H77" s="568" t="s">
        <v>236</v>
      </c>
      <c r="I77" s="569"/>
      <c r="J77" s="569"/>
      <c r="K77" s="569"/>
      <c r="L77" s="569"/>
      <c r="M77" s="569"/>
      <c r="N77" s="570"/>
      <c r="O77" s="438">
        <f>AD76</f>
        <v>0</v>
      </c>
      <c r="P77" s="438"/>
      <c r="Q77" s="438"/>
      <c r="R77" s="438"/>
      <c r="S77" s="98" t="s">
        <v>71</v>
      </c>
      <c r="T77" s="98"/>
      <c r="U77" s="450" t="str" cm="1">
        <f t="array" ref="U77">angleDecimal2Txt(O77)</f>
        <v>+00°00.00 (+00.0000) [+00°00'00.00]</v>
      </c>
      <c r="V77" s="450"/>
      <c r="W77" s="450"/>
      <c r="X77" s="450"/>
      <c r="Y77" s="450"/>
      <c r="Z77" s="450"/>
      <c r="AA77" s="98"/>
      <c r="AB77" s="145"/>
      <c r="BN77" s="106"/>
      <c r="BO77" s="98"/>
    </row>
    <row r="78" spans="1:67" customFormat="1" ht="17.25" customHeight="1" thickTop="1">
      <c r="A78" s="96"/>
      <c r="B78" s="96"/>
      <c r="C78" s="96"/>
      <c r="D78" s="96"/>
      <c r="E78" s="96"/>
      <c r="F78" s="98"/>
      <c r="G78" s="98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8"/>
      <c r="AB78" s="145"/>
      <c r="BN78" s="106"/>
      <c r="BO78" s="98"/>
    </row>
    <row r="79" spans="1:67" customFormat="1" ht="17.25" customHeight="1">
      <c r="A79" s="96"/>
      <c r="B79" s="96"/>
      <c r="C79" s="96"/>
      <c r="D79" s="96"/>
      <c r="E79" s="143"/>
      <c r="F79" s="98"/>
      <c r="G79" s="98"/>
      <c r="H79" s="96"/>
      <c r="I79" s="96"/>
      <c r="J79" s="96"/>
      <c r="K79" s="96"/>
      <c r="L79" s="96"/>
      <c r="M79" s="96"/>
      <c r="N79" s="96"/>
      <c r="O79" s="96"/>
      <c r="P79" s="98"/>
      <c r="Q79" s="98"/>
      <c r="R79" s="98"/>
      <c r="S79" s="554" t="s">
        <v>191</v>
      </c>
      <c r="T79" s="555"/>
      <c r="U79" s="556"/>
      <c r="V79" s="98"/>
      <c r="W79" s="98"/>
      <c r="X79" s="98"/>
      <c r="Y79" s="96"/>
      <c r="Z79" s="96"/>
      <c r="AA79" s="98"/>
      <c r="AB79" s="145"/>
      <c r="AC79" s="6" t="s">
        <v>57</v>
      </c>
      <c r="AD79" s="6" t="s">
        <v>342</v>
      </c>
      <c r="BN79" s="106"/>
      <c r="BO79" s="98"/>
    </row>
    <row r="80" spans="1:67" customFormat="1" ht="17.25" customHeight="1">
      <c r="A80" s="96"/>
      <c r="B80" s="96"/>
      <c r="C80" s="96"/>
      <c r="D80" s="96"/>
      <c r="E80" s="143"/>
      <c r="F80" s="98"/>
      <c r="G80" s="98"/>
      <c r="H80" s="446" t="s">
        <v>93</v>
      </c>
      <c r="I80" s="446"/>
      <c r="J80" s="446"/>
      <c r="K80" s="446"/>
      <c r="L80" s="446"/>
      <c r="M80" s="446"/>
      <c r="N80" s="446"/>
      <c r="O80" s="571">
        <f>S80</f>
        <v>10</v>
      </c>
      <c r="P80" s="572"/>
      <c r="Q80" s="572"/>
      <c r="R80" s="572"/>
      <c r="S80" s="682">
        <v>10</v>
      </c>
      <c r="T80" s="683"/>
      <c r="U80" s="684"/>
      <c r="V80" s="98"/>
      <c r="W80" s="98"/>
      <c r="X80" s="98"/>
      <c r="Y80" s="96"/>
      <c r="Z80" s="96"/>
      <c r="AA80" s="98"/>
      <c r="AB80" s="145"/>
      <c r="AC80" s="6" t="s">
        <v>343</v>
      </c>
      <c r="AD80" s="6">
        <f>1/TAN((O72 + 7.31 / (O72 + 4.4)) *D123)</f>
        <v>2.0457212424931202</v>
      </c>
      <c r="BN80" s="106"/>
      <c r="BO80" s="98"/>
    </row>
    <row r="81" spans="1:67" customFormat="1" ht="17.25" customHeight="1" thickBot="1">
      <c r="A81" s="96"/>
      <c r="B81" s="96"/>
      <c r="C81" s="96"/>
      <c r="D81" s="96"/>
      <c r="E81" s="96"/>
      <c r="F81" s="98"/>
      <c r="G81" s="98"/>
      <c r="H81" s="446" t="s">
        <v>94</v>
      </c>
      <c r="I81" s="446"/>
      <c r="J81" s="446"/>
      <c r="K81" s="446"/>
      <c r="L81" s="446"/>
      <c r="M81" s="446"/>
      <c r="N81" s="446"/>
      <c r="O81" s="571">
        <f>S81</f>
        <v>1010</v>
      </c>
      <c r="P81" s="572"/>
      <c r="Q81" s="572"/>
      <c r="R81" s="572"/>
      <c r="S81" s="682">
        <v>1010</v>
      </c>
      <c r="T81" s="683"/>
      <c r="U81" s="684"/>
      <c r="V81" s="98"/>
      <c r="W81" s="98"/>
      <c r="X81" s="98"/>
      <c r="Y81" s="96"/>
      <c r="Z81" s="96"/>
      <c r="AA81" s="98"/>
      <c r="AB81" s="145"/>
      <c r="AC81" s="6" t="s">
        <v>344</v>
      </c>
      <c r="AD81" s="6">
        <f>AD80/60</f>
        <v>3.4095354041551999E-2</v>
      </c>
      <c r="BN81" s="106"/>
      <c r="BO81" s="98"/>
    </row>
    <row r="82" spans="1:67" customFormat="1" ht="17.25" customHeight="1" thickTop="1" thickBot="1">
      <c r="A82" s="96"/>
      <c r="B82" s="96"/>
      <c r="C82" s="96"/>
      <c r="D82" s="96"/>
      <c r="E82" s="96"/>
      <c r="F82" s="98"/>
      <c r="G82" s="98"/>
      <c r="H82" s="568" t="s">
        <v>237</v>
      </c>
      <c r="I82" s="569"/>
      <c r="J82" s="569"/>
      <c r="K82" s="569"/>
      <c r="L82" s="569"/>
      <c r="M82" s="569"/>
      <c r="N82" s="570"/>
      <c r="O82" s="438">
        <f>AD83</f>
        <v>3.407125838498553E-2</v>
      </c>
      <c r="P82" s="438"/>
      <c r="Q82" s="438"/>
      <c r="R82" s="438"/>
      <c r="S82" s="98" t="s">
        <v>71</v>
      </c>
      <c r="T82" s="98"/>
      <c r="U82" s="450" t="str" cm="1">
        <f t="array" ref="U82">angleDecimal2Txt(O82)</f>
        <v>+00°02.04 (+00.0340) [+00°02'02.65]</v>
      </c>
      <c r="V82" s="450"/>
      <c r="W82" s="450"/>
      <c r="X82" s="450"/>
      <c r="Y82" s="450"/>
      <c r="Z82" s="450"/>
      <c r="AA82" s="98"/>
      <c r="AB82" s="145"/>
      <c r="AC82" s="6" t="s">
        <v>128</v>
      </c>
      <c r="AD82" s="6">
        <f xml:space="preserve"> 0.28 * O81 / (273 + O80)</f>
        <v>0.99929328621908131</v>
      </c>
      <c r="BN82" s="106"/>
      <c r="BO82" s="98"/>
    </row>
    <row r="83" spans="1:67" customFormat="1" ht="17.25" customHeight="1" thickTop="1">
      <c r="A83" s="96"/>
      <c r="B83" s="96"/>
      <c r="C83" s="96"/>
      <c r="D83" s="96"/>
      <c r="E83" s="96"/>
      <c r="F83" s="98"/>
      <c r="G83" s="98"/>
      <c r="H83" s="96"/>
      <c r="I83" s="96"/>
      <c r="J83" s="96"/>
      <c r="K83" s="96"/>
      <c r="L83" s="96"/>
      <c r="M83" s="96"/>
      <c r="N83" s="96"/>
      <c r="O83" s="96"/>
      <c r="P83" s="98"/>
      <c r="Q83" s="98"/>
      <c r="R83" s="98"/>
      <c r="S83" s="98"/>
      <c r="T83" s="98"/>
      <c r="U83" s="98"/>
      <c r="V83" s="98"/>
      <c r="W83" s="98"/>
      <c r="X83" s="98"/>
      <c r="Y83" s="96"/>
      <c r="Z83" s="96"/>
      <c r="AA83" s="98"/>
      <c r="AB83" s="145"/>
      <c r="AC83" s="6" t="s">
        <v>341</v>
      </c>
      <c r="AD83" s="6">
        <f>AD82*AD81</f>
        <v>3.407125838498553E-2</v>
      </c>
      <c r="BN83" s="106"/>
      <c r="BO83" s="98"/>
    </row>
    <row r="84" spans="1:67" customFormat="1" ht="17.25" customHeight="1">
      <c r="A84" s="96"/>
      <c r="B84" s="96"/>
      <c r="C84" s="96"/>
      <c r="D84" s="96"/>
      <c r="E84" s="96"/>
      <c r="F84" s="98"/>
      <c r="G84" s="98"/>
      <c r="H84" s="446" t="s">
        <v>134</v>
      </c>
      <c r="I84" s="446"/>
      <c r="J84" s="446"/>
      <c r="K84" s="446"/>
      <c r="L84" s="446"/>
      <c r="M84" s="446"/>
      <c r="N84" s="446"/>
      <c r="O84" s="557">
        <v>0</v>
      </c>
      <c r="P84" s="557"/>
      <c r="Q84" s="557"/>
      <c r="R84" s="557"/>
      <c r="S84" s="98"/>
      <c r="T84" s="98"/>
      <c r="U84" s="98"/>
      <c r="V84" s="98"/>
      <c r="W84" s="98"/>
      <c r="X84" s="98"/>
      <c r="Y84" s="98"/>
      <c r="Z84" s="98"/>
      <c r="AA84" s="98"/>
      <c r="AB84" s="145"/>
      <c r="BN84" s="106"/>
      <c r="BO84" s="98"/>
    </row>
    <row r="85" spans="1:67" customFormat="1" ht="17.25" customHeight="1" thickBot="1">
      <c r="A85" s="98"/>
      <c r="B85" s="96"/>
      <c r="C85" s="96"/>
      <c r="D85" s="96"/>
      <c r="E85" s="143"/>
      <c r="F85" s="143"/>
      <c r="G85" s="143"/>
      <c r="H85" s="446" t="s">
        <v>98</v>
      </c>
      <c r="I85" s="446"/>
      <c r="J85" s="446"/>
      <c r="K85" s="446"/>
      <c r="L85" s="446"/>
      <c r="M85" s="446"/>
      <c r="N85" s="446"/>
      <c r="O85" s="557">
        <f>J19</f>
        <v>0</v>
      </c>
      <c r="P85" s="557"/>
      <c r="Q85" s="557"/>
      <c r="R85" s="557"/>
      <c r="S85" s="98"/>
      <c r="T85" s="98"/>
      <c r="U85" s="98"/>
      <c r="V85" s="98"/>
      <c r="W85" s="98"/>
      <c r="X85" s="98"/>
      <c r="Y85" s="98"/>
      <c r="Z85" s="98"/>
      <c r="AA85" s="98"/>
      <c r="AB85" s="145"/>
      <c r="AC85" s="6" t="s">
        <v>37</v>
      </c>
      <c r="AD85" s="419" t="str">
        <f>J18</f>
        <v>Polaire</v>
      </c>
      <c r="AE85" s="419"/>
      <c r="BN85" s="106"/>
      <c r="BO85" s="98"/>
    </row>
    <row r="86" spans="1:67" customFormat="1" ht="17.25" customHeight="1" thickTop="1" thickBot="1">
      <c r="A86" s="98"/>
      <c r="B86" s="98"/>
      <c r="C86" s="143"/>
      <c r="D86" s="143"/>
      <c r="E86" s="143"/>
      <c r="F86" s="143"/>
      <c r="G86" s="143"/>
      <c r="H86" s="573" t="s">
        <v>99</v>
      </c>
      <c r="I86" s="574"/>
      <c r="J86" s="574"/>
      <c r="K86" s="574"/>
      <c r="L86" s="574"/>
      <c r="M86" s="574"/>
      <c r="N86" s="575"/>
      <c r="O86" s="576">
        <f>AD89</f>
        <v>0</v>
      </c>
      <c r="P86" s="576"/>
      <c r="Q86" s="576"/>
      <c r="R86" s="576"/>
      <c r="S86" s="98" t="s">
        <v>71</v>
      </c>
      <c r="T86" s="98"/>
      <c r="U86" s="450" t="str" cm="1">
        <f t="array" ref="U86">angleDecimal2Txt(O86)</f>
        <v>+00°00.00 (+00.0000) [+00°00'00.00]</v>
      </c>
      <c r="V86" s="450"/>
      <c r="W86" s="450"/>
      <c r="X86" s="450"/>
      <c r="Y86" s="450"/>
      <c r="Z86" s="450"/>
      <c r="AA86" s="98"/>
      <c r="AB86" s="145"/>
      <c r="AC86" s="6" t="s">
        <v>348</v>
      </c>
      <c r="AD86" s="419">
        <f>O85</f>
        <v>0</v>
      </c>
      <c r="AE86" s="419"/>
      <c r="BN86" s="106"/>
      <c r="BO86" s="98"/>
    </row>
    <row r="87" spans="1:67" customFormat="1" ht="17.25" customHeight="1" thickTop="1">
      <c r="A87" s="98"/>
      <c r="B87" s="98"/>
      <c r="C87" s="143"/>
      <c r="D87" s="143"/>
      <c r="E87" s="143"/>
      <c r="F87" s="143"/>
      <c r="G87" s="143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8"/>
      <c r="AB87" s="145"/>
      <c r="AC87" s="6" t="s">
        <v>349</v>
      </c>
      <c r="AD87" s="678">
        <v>0</v>
      </c>
      <c r="AE87" s="678"/>
      <c r="BN87" s="106"/>
      <c r="BO87" s="98"/>
    </row>
    <row r="88" spans="1:67" customFormat="1" ht="17.25" customHeight="1">
      <c r="A88" s="98"/>
      <c r="B88" s="98"/>
      <c r="C88" s="143"/>
      <c r="D88" s="143"/>
      <c r="E88" s="143"/>
      <c r="F88" s="143"/>
      <c r="G88" s="584" t="s">
        <v>167</v>
      </c>
      <c r="H88" s="585"/>
      <c r="I88" s="585"/>
      <c r="J88" s="585"/>
      <c r="K88" s="585"/>
      <c r="L88" s="585"/>
      <c r="M88" s="585"/>
      <c r="N88" s="585"/>
      <c r="O88" s="585"/>
      <c r="P88" s="585"/>
      <c r="Q88" s="585"/>
      <c r="R88" s="585"/>
      <c r="S88" s="586"/>
      <c r="T88" s="96"/>
      <c r="U88" s="96"/>
      <c r="V88" s="96"/>
      <c r="W88" s="96"/>
      <c r="X88" s="96"/>
      <c r="Y88" s="96"/>
      <c r="Z88" s="96"/>
      <c r="AA88" s="98"/>
      <c r="AB88" s="145"/>
      <c r="AC88" s="6" t="s">
        <v>134</v>
      </c>
      <c r="AD88" s="6">
        <v>0</v>
      </c>
      <c r="AE88" s="6" cm="1">
        <f t="array" ref="AE88">angleConvert2Decimal(AD88)</f>
        <v>0</v>
      </c>
      <c r="BN88" s="106"/>
      <c r="BO88" s="98"/>
    </row>
    <row r="89" spans="1:67" customFormat="1" ht="17.25" customHeight="1">
      <c r="A89" s="98"/>
      <c r="B89" s="98"/>
      <c r="C89" s="143"/>
      <c r="D89" s="143"/>
      <c r="E89" s="143"/>
      <c r="F89" s="143"/>
      <c r="G89" s="588" t="s">
        <v>180</v>
      </c>
      <c r="H89" s="590"/>
      <c r="I89" s="606" t="s">
        <v>172</v>
      </c>
      <c r="J89" s="607"/>
      <c r="K89" s="607"/>
      <c r="L89" s="607"/>
      <c r="M89" s="607"/>
      <c r="N89" s="608"/>
      <c r="O89" s="559">
        <f>(O77-O82-O70+O84/2) * 60</f>
        <v>-4.530462945751033</v>
      </c>
      <c r="P89" s="560"/>
      <c r="Q89" s="560"/>
      <c r="R89" s="560"/>
      <c r="S89" s="563" t="s">
        <v>168</v>
      </c>
      <c r="T89" s="96"/>
      <c r="U89" s="96"/>
      <c r="V89" s="96"/>
      <c r="W89" s="96"/>
      <c r="X89" s="96"/>
      <c r="Y89" s="96"/>
      <c r="Z89" s="96"/>
      <c r="AA89" s="98"/>
      <c r="AB89" s="145"/>
      <c r="AC89" s="6" t="s">
        <v>349</v>
      </c>
      <c r="AD89" s="678">
        <f>AE88*AD87</f>
        <v>0</v>
      </c>
      <c r="AE89" s="678"/>
      <c r="BN89" s="106"/>
      <c r="BO89" s="98"/>
    </row>
    <row r="90" spans="1:67" customFormat="1" ht="17.25" customHeight="1">
      <c r="A90" s="98"/>
      <c r="B90" s="98"/>
      <c r="C90" s="143"/>
      <c r="D90" s="143"/>
      <c r="E90" s="143"/>
      <c r="F90" s="143"/>
      <c r="G90" s="686"/>
      <c r="H90" s="687"/>
      <c r="I90" s="609" t="s">
        <v>176</v>
      </c>
      <c r="J90" s="610"/>
      <c r="K90" s="610"/>
      <c r="L90" s="610"/>
      <c r="M90" s="610"/>
      <c r="N90" s="611"/>
      <c r="O90" s="561"/>
      <c r="P90" s="562"/>
      <c r="Q90" s="562"/>
      <c r="R90" s="562"/>
      <c r="S90" s="564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8"/>
      <c r="B91" s="98"/>
      <c r="C91" s="143"/>
      <c r="D91" s="143"/>
      <c r="E91" s="143"/>
      <c r="F91" s="143"/>
      <c r="G91" s="143"/>
      <c r="H91" s="96"/>
      <c r="I91" s="606" t="s">
        <v>173</v>
      </c>
      <c r="J91" s="607"/>
      <c r="K91" s="607"/>
      <c r="L91" s="607"/>
      <c r="M91" s="607"/>
      <c r="N91" s="608"/>
      <c r="O91" s="560">
        <f>(O77-O82+O84/2)*60</f>
        <v>-2.044275503099132</v>
      </c>
      <c r="P91" s="560"/>
      <c r="Q91" s="560"/>
      <c r="R91" s="560"/>
      <c r="S91" s="563" t="s">
        <v>168</v>
      </c>
      <c r="T91" s="96"/>
      <c r="U91" s="96"/>
      <c r="V91" s="96"/>
      <c r="W91" s="96"/>
      <c r="X91" s="96"/>
      <c r="Y91" s="96"/>
      <c r="Z91" s="96"/>
      <c r="AA91" s="98"/>
      <c r="AB91" s="145"/>
      <c r="BN91" s="106"/>
      <c r="BO91" s="98"/>
    </row>
    <row r="92" spans="1:67" customFormat="1" ht="17.25" customHeight="1">
      <c r="A92" s="98"/>
      <c r="B92" s="98"/>
      <c r="C92" s="143"/>
      <c r="D92" s="143"/>
      <c r="E92" s="143"/>
      <c r="F92" s="143"/>
      <c r="G92" s="143"/>
      <c r="H92" s="96"/>
      <c r="I92" s="565" t="s">
        <v>174</v>
      </c>
      <c r="J92" s="566"/>
      <c r="K92" s="566"/>
      <c r="L92" s="566"/>
      <c r="M92" s="566"/>
      <c r="N92" s="567"/>
      <c r="O92" s="562"/>
      <c r="P92" s="562"/>
      <c r="Q92" s="562"/>
      <c r="R92" s="562"/>
      <c r="S92" s="564"/>
      <c r="T92" s="96"/>
      <c r="U92" s="96"/>
      <c r="V92" s="96"/>
      <c r="W92" s="96"/>
      <c r="X92" s="96"/>
      <c r="Y92" s="96"/>
      <c r="Z92" s="96"/>
      <c r="AA92" s="98"/>
      <c r="AB92" s="145"/>
      <c r="BN92" s="106"/>
      <c r="BO92" s="98"/>
    </row>
    <row r="93" spans="1:67" customFormat="1" ht="17.25" customHeight="1">
      <c r="A93" s="98"/>
      <c r="B93" s="98"/>
      <c r="C93" s="143"/>
      <c r="D93" s="143"/>
      <c r="E93" s="143"/>
      <c r="F93" s="143"/>
      <c r="G93" s="143"/>
      <c r="H93" s="96"/>
      <c r="I93" s="455" t="s">
        <v>99</v>
      </c>
      <c r="J93" s="455"/>
      <c r="K93" s="455"/>
      <c r="L93" s="455"/>
      <c r="M93" s="455"/>
      <c r="N93" s="455"/>
      <c r="O93" s="531">
        <f>O86*60</f>
        <v>0</v>
      </c>
      <c r="P93" s="532"/>
      <c r="Q93" s="532"/>
      <c r="R93" s="532"/>
      <c r="S93" s="159" t="s">
        <v>168</v>
      </c>
      <c r="T93" s="96"/>
      <c r="U93" s="96"/>
      <c r="V93" s="96"/>
      <c r="W93" s="96"/>
      <c r="X93" s="96"/>
      <c r="Y93" s="96"/>
      <c r="Z93" s="96"/>
      <c r="AA93" s="98"/>
      <c r="AB93" s="145"/>
      <c r="BN93" s="106"/>
      <c r="BO93" s="98"/>
    </row>
    <row r="94" spans="1:67" customFormat="1" ht="17.25" customHeight="1" thickBot="1">
      <c r="A94" s="98"/>
      <c r="B94" s="98"/>
      <c r="C94" s="143"/>
      <c r="D94" s="143"/>
      <c r="E94" s="143"/>
      <c r="F94" s="143"/>
      <c r="G94" s="143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8"/>
      <c r="T94" s="98"/>
      <c r="U94" s="98"/>
      <c r="V94" s="98"/>
      <c r="W94" s="98"/>
      <c r="X94" s="98"/>
      <c r="Y94" s="98"/>
      <c r="Z94" s="98"/>
      <c r="AA94" s="98"/>
      <c r="AB94" s="145"/>
      <c r="BN94" s="106"/>
      <c r="BO94" s="98"/>
    </row>
    <row r="95" spans="1:67" customFormat="1" ht="17.25" customHeight="1" thickTop="1" thickBot="1">
      <c r="A95" s="98"/>
      <c r="B95" s="98"/>
      <c r="C95" s="143"/>
      <c r="D95" s="143"/>
      <c r="E95" s="143"/>
      <c r="F95" s="143"/>
      <c r="G95" s="143"/>
      <c r="H95" s="577" t="s">
        <v>238</v>
      </c>
      <c r="I95" s="578"/>
      <c r="J95" s="578"/>
      <c r="K95" s="578"/>
      <c r="L95" s="578"/>
      <c r="M95" s="578"/>
      <c r="N95" s="579"/>
      <c r="O95" s="580">
        <f>O72-O82+O77+O86</f>
        <v>25.774492284237482</v>
      </c>
      <c r="P95" s="438"/>
      <c r="Q95" s="438"/>
      <c r="R95" s="438"/>
      <c r="S95" s="98" t="s">
        <v>71</v>
      </c>
      <c r="T95" s="98"/>
      <c r="U95" s="450" t="str" cm="1">
        <f t="array" ref="U95">angleDecimal2Txt(O95)</f>
        <v>+25°46.46 (+25.7744) [+25°46'28.17]</v>
      </c>
      <c r="V95" s="450"/>
      <c r="W95" s="450"/>
      <c r="X95" s="450"/>
      <c r="Y95" s="450"/>
      <c r="Z95" s="450"/>
      <c r="AA95" s="98"/>
      <c r="AB95" s="145"/>
      <c r="BN95" s="106"/>
      <c r="BO95" s="98"/>
    </row>
    <row r="96" spans="1:67" customFormat="1" ht="17.25" customHeight="1" thickTop="1">
      <c r="A96" s="98"/>
      <c r="B96" s="98"/>
      <c r="C96" s="143"/>
      <c r="D96" s="143"/>
      <c r="E96" s="143"/>
      <c r="F96" s="143"/>
      <c r="G96" s="143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>
      <c r="A97" s="98"/>
      <c r="B97" s="98"/>
      <c r="C97" s="143"/>
      <c r="D97" s="143"/>
      <c r="E97" s="143"/>
      <c r="F97" s="581" t="s">
        <v>91</v>
      </c>
      <c r="G97" s="581"/>
      <c r="H97" s="581"/>
      <c r="I97" s="581"/>
      <c r="J97" s="438" t="str">
        <f>IF(G66=AD66,O103,"---")</f>
        <v>---</v>
      </c>
      <c r="K97" s="438"/>
      <c r="L97" s="438"/>
      <c r="M97" s="98"/>
      <c r="N97" s="98"/>
      <c r="O97" s="98"/>
      <c r="P97" s="98"/>
      <c r="Q97" s="98"/>
      <c r="R97" s="120" t="s">
        <v>112</v>
      </c>
      <c r="S97" s="98" t="s">
        <v>40</v>
      </c>
      <c r="T97" s="98"/>
      <c r="U97" s="98"/>
      <c r="V97" s="98"/>
      <c r="W97" s="98"/>
      <c r="X97" s="98"/>
      <c r="Y97" s="98"/>
      <c r="Z97" s="98"/>
      <c r="AA97" s="98"/>
      <c r="AB97" s="145"/>
      <c r="BN97" s="106"/>
      <c r="BO97" s="98"/>
    </row>
    <row r="98" spans="1:67" customFormat="1" ht="17.25" customHeight="1">
      <c r="A98" s="98"/>
      <c r="B98" s="98"/>
      <c r="C98" s="143"/>
      <c r="D98" s="143"/>
      <c r="E98" s="143"/>
      <c r="F98" s="143"/>
      <c r="G98" s="143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121" t="s">
        <v>108</v>
      </c>
      <c r="S98" s="98" t="s">
        <v>110</v>
      </c>
      <c r="T98" s="98"/>
      <c r="U98" s="98"/>
      <c r="V98" s="98"/>
      <c r="W98" s="98"/>
      <c r="X98" s="98"/>
      <c r="Y98" s="98"/>
      <c r="Z98" s="98"/>
      <c r="AA98" s="98"/>
      <c r="AB98" s="145"/>
      <c r="BN98" s="106"/>
      <c r="BO98" s="98"/>
    </row>
    <row r="99" spans="1:67" customFormat="1" ht="17.25" customHeight="1">
      <c r="A99" s="98"/>
      <c r="B99" s="98"/>
      <c r="C99" s="143"/>
      <c r="D99" s="143"/>
      <c r="E99" s="143"/>
      <c r="F99" s="143"/>
      <c r="G99" s="143"/>
      <c r="H99" s="98" t="s">
        <v>100</v>
      </c>
      <c r="I99" s="122" t="s">
        <v>102</v>
      </c>
      <c r="J99" s="98" t="s">
        <v>88</v>
      </c>
      <c r="K99" s="122" t="s">
        <v>105</v>
      </c>
      <c r="L99" s="98" t="s">
        <v>87</v>
      </c>
      <c r="M99" s="98"/>
      <c r="N99" s="122" t="s">
        <v>106</v>
      </c>
      <c r="O99" s="98"/>
      <c r="P99" s="98"/>
      <c r="Q99" s="122" t="s">
        <v>107</v>
      </c>
      <c r="R99" s="123" t="s">
        <v>109</v>
      </c>
      <c r="S99" s="98" t="s">
        <v>111</v>
      </c>
      <c r="T99" s="98"/>
      <c r="U99" s="98"/>
      <c r="AB99" s="145"/>
      <c r="BN99" s="106"/>
      <c r="BO99" s="98"/>
    </row>
    <row r="100" spans="1:67" customFormat="1" ht="17.25" customHeight="1" thickBot="1">
      <c r="A100" s="98"/>
      <c r="B100" s="98"/>
      <c r="C100" s="143"/>
      <c r="D100" s="143"/>
      <c r="E100" s="143"/>
      <c r="F100" s="143"/>
      <c r="G100" s="143"/>
      <c r="H100" s="98"/>
      <c r="I100" s="122"/>
      <c r="J100" s="124">
        <f>O68</f>
        <v>25.8</v>
      </c>
      <c r="K100" s="122" t="s">
        <v>105</v>
      </c>
      <c r="L100" s="125">
        <f>O69</f>
        <v>-0.05</v>
      </c>
      <c r="M100" s="98"/>
      <c r="N100" s="1010" t="s">
        <v>242</v>
      </c>
      <c r="O100" s="1010"/>
      <c r="P100" s="1010"/>
      <c r="Q100" s="122" t="s">
        <v>107</v>
      </c>
      <c r="R100" s="126">
        <v>0</v>
      </c>
      <c r="S100" s="98"/>
      <c r="T100" s="98"/>
      <c r="U100" s="98"/>
      <c r="AB100" s="145"/>
      <c r="BN100" s="106"/>
      <c r="BO100" s="98"/>
    </row>
    <row r="101" spans="1:67" customFormat="1" ht="17.25" customHeight="1" thickTop="1" thickBot="1">
      <c r="A101" s="98"/>
      <c r="B101" s="98"/>
      <c r="C101" s="143"/>
      <c r="D101" s="143"/>
      <c r="E101" s="143"/>
      <c r="F101" s="143"/>
      <c r="G101" s="143"/>
      <c r="H101" s="98"/>
      <c r="I101" s="122"/>
      <c r="K101" s="122"/>
      <c r="L101" s="160" cm="1">
        <f t="array" ref="L101">angleConvert2Decimal(L100)</f>
        <v>-0.05</v>
      </c>
      <c r="N101" s="1011" cm="1">
        <f t="array" ref="N101">angleConvert2Decimal(N100)</f>
        <v>0.17166666666666669</v>
      </c>
      <c r="O101" s="1011"/>
      <c r="P101" s="1011"/>
      <c r="Q101" s="41"/>
      <c r="R101" s="160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421" t="str" cm="1">
        <f t="array" ref="W101">angleDecimal2Txt(V101)</f>
        <v>+00°10.30 (+00.1716) [+00°10'18.00]</v>
      </c>
      <c r="X101" s="422"/>
      <c r="Y101" s="422"/>
      <c r="Z101" s="422"/>
      <c r="AA101" s="423"/>
      <c r="AB101" s="145"/>
      <c r="BN101" s="106"/>
      <c r="BO101" s="98"/>
    </row>
    <row r="102" spans="1:67" customFormat="1" ht="17.25" customHeight="1" thickTop="1" thickBot="1">
      <c r="A102" s="98"/>
      <c r="B102" s="98"/>
      <c r="C102" s="143"/>
      <c r="D102" s="143"/>
      <c r="E102" s="143"/>
      <c r="F102" s="143"/>
      <c r="G102" s="143"/>
      <c r="H102" s="98"/>
      <c r="I102" s="122"/>
      <c r="J102" s="98"/>
      <c r="K102" s="122"/>
      <c r="L102" s="98"/>
      <c r="M102" s="98"/>
      <c r="N102" s="122"/>
      <c r="O102" s="98"/>
      <c r="P102" s="98"/>
      <c r="Q102" s="122"/>
      <c r="R102" s="127"/>
      <c r="S102" s="98"/>
      <c r="T102" s="98"/>
      <c r="U102" s="98"/>
      <c r="V102" s="98"/>
      <c r="W102" s="98"/>
      <c r="X102" s="98"/>
      <c r="Y102" s="98"/>
      <c r="Z102" s="98"/>
      <c r="AA102" s="98"/>
      <c r="AB102" s="145"/>
      <c r="BN102" s="106"/>
      <c r="BO102" s="98"/>
    </row>
    <row r="103" spans="1:67" customFormat="1" ht="17.25" customHeight="1" thickTop="1" thickBot="1">
      <c r="A103" s="98"/>
      <c r="B103" s="98"/>
      <c r="C103" s="143"/>
      <c r="D103" s="143"/>
      <c r="E103" s="143"/>
      <c r="F103" s="143"/>
      <c r="G103" s="143"/>
      <c r="H103" s="577" t="s">
        <v>241</v>
      </c>
      <c r="I103" s="578"/>
      <c r="J103" s="578"/>
      <c r="K103" s="578"/>
      <c r="L103" s="578"/>
      <c r="M103" s="578"/>
      <c r="N103" s="579"/>
      <c r="O103" s="580">
        <f>J100-L101+N101+R101</f>
        <v>26.021666666666668</v>
      </c>
      <c r="P103" s="438"/>
      <c r="Q103" s="438"/>
      <c r="R103" s="438"/>
      <c r="S103" s="98" t="s">
        <v>71</v>
      </c>
      <c r="T103" s="98"/>
      <c r="U103" s="450" t="str" cm="1">
        <f t="array" ref="U103">angleDecimal2Txt(O103)</f>
        <v>+26°01.30 (+26.0216) [+26°01'18.00]</v>
      </c>
      <c r="V103" s="450"/>
      <c r="W103" s="450"/>
      <c r="X103" s="450"/>
      <c r="Y103" s="450"/>
      <c r="Z103" s="450"/>
      <c r="AA103" s="98"/>
      <c r="AB103" s="145"/>
      <c r="BN103" s="106"/>
      <c r="BO103" s="98"/>
    </row>
    <row r="104" spans="1:67" customFormat="1" ht="17.25" customHeight="1" thickTop="1" thickBot="1">
      <c r="A104" s="98"/>
      <c r="B104" s="98"/>
      <c r="C104" s="143"/>
      <c r="D104" s="128"/>
      <c r="E104" s="143"/>
      <c r="F104" s="143"/>
      <c r="G104" s="143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145"/>
      <c r="BN104" s="106"/>
      <c r="BO104" s="98"/>
    </row>
    <row r="105" spans="1:67" s="98" customFormat="1" ht="17.25" customHeight="1" thickBot="1">
      <c r="B105" s="107" t="s">
        <v>52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76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</row>
    <row r="106" spans="1:67" s="98" customFormat="1" ht="17.25" customHeight="1">
      <c r="D106" s="972" t="s">
        <v>310</v>
      </c>
      <c r="E106" s="967"/>
      <c r="F106" s="967"/>
      <c r="G106" s="967"/>
      <c r="H106" s="962">
        <f>90-P107</f>
        <v>0.67499999999999716</v>
      </c>
      <c r="I106" s="962"/>
      <c r="J106" s="962"/>
      <c r="K106" s="962"/>
      <c r="L106" s="962"/>
      <c r="N106" s="958" t="s">
        <v>311</v>
      </c>
      <c r="O106" s="958"/>
      <c r="P106" s="958"/>
      <c r="Q106" s="958"/>
      <c r="R106" s="958"/>
      <c r="S106" s="958"/>
      <c r="T106" s="958"/>
      <c r="U106" s="958"/>
      <c r="V106" s="958"/>
      <c r="W106" s="958"/>
      <c r="AA106"/>
      <c r="AB106" s="180"/>
      <c r="AC106"/>
      <c r="AD106"/>
      <c r="AE106"/>
      <c r="AF106"/>
      <c r="AL106" s="165"/>
    </row>
    <row r="107" spans="1:67" s="98" customFormat="1" ht="17.25" customHeight="1" thickBot="1">
      <c r="C107" s="181"/>
      <c r="D107" s="968"/>
      <c r="E107" s="969"/>
      <c r="F107" s="969"/>
      <c r="G107" s="969"/>
      <c r="H107" s="962"/>
      <c r="I107" s="962"/>
      <c r="J107" s="962"/>
      <c r="K107" s="962"/>
      <c r="L107" s="962"/>
      <c r="M107" s="130" t="s">
        <v>181</v>
      </c>
      <c r="N107" s="959" t="s">
        <v>114</v>
      </c>
      <c r="O107" s="959"/>
      <c r="P107" s="959">
        <f>F33</f>
        <v>89.325000000000003</v>
      </c>
      <c r="Q107" s="959"/>
      <c r="R107" s="959"/>
      <c r="S107" s="166" t="s">
        <v>71</v>
      </c>
      <c r="T107" s="959">
        <f>P107*$D$123</f>
        <v>1.5590153543439349</v>
      </c>
      <c r="U107" s="959"/>
      <c r="V107" s="959"/>
      <c r="W107" s="166" t="s">
        <v>92</v>
      </c>
      <c r="AA107"/>
      <c r="AB107" s="180"/>
      <c r="AC107"/>
      <c r="AD107"/>
      <c r="AE107"/>
      <c r="AF107"/>
      <c r="AL107" s="165"/>
    </row>
    <row r="108" spans="1:67" s="98" customFormat="1" ht="17.25" customHeight="1" thickTop="1" thickBot="1">
      <c r="C108" s="181"/>
      <c r="D108" s="970"/>
      <c r="E108" s="971"/>
      <c r="F108" s="971"/>
      <c r="G108" s="971"/>
      <c r="H108" s="974" t="str" cm="1">
        <f t="array" ref="H108">angleDecimal2Txt(H106)</f>
        <v>+00°40.49 (+00.6749) [+00°40'29.99]</v>
      </c>
      <c r="I108" s="974"/>
      <c r="J108" s="974"/>
      <c r="K108" s="974"/>
      <c r="L108" s="974"/>
      <c r="N108" s="961"/>
      <c r="O108" s="961"/>
      <c r="P108" s="961"/>
      <c r="Q108" s="961"/>
      <c r="R108" s="961"/>
      <c r="S108" s="181"/>
      <c r="T108" s="961"/>
      <c r="U108" s="961"/>
      <c r="V108" s="961"/>
      <c r="W108" s="181"/>
      <c r="AA108"/>
      <c r="AB108" s="180"/>
      <c r="AC108"/>
      <c r="AD108"/>
      <c r="AE108"/>
      <c r="AF108"/>
      <c r="AG108" s="167" t="b">
        <f>ISNUMBER(SEARCH("°",AF108,1))</f>
        <v>0</v>
      </c>
      <c r="AH108" s="167" t="b">
        <f>ISNUMBER(SEARCH("'",AF108,1))</f>
        <v>0</v>
      </c>
      <c r="AI108" s="167" t="b">
        <f>ISNUMBER(SEARCH("""",AF108,1))</f>
        <v>0</v>
      </c>
      <c r="AJ108" s="167" t="b">
        <f>NOT(OR(AG108,AH108,AI108))</f>
        <v>1</v>
      </c>
      <c r="AK108" s="167" t="b">
        <f>OR(AJ108,AG108)</f>
        <v>1</v>
      </c>
      <c r="AL108" s="168">
        <f>IF(AJ108,VALUE(AF108),IF(AG108,LEFT(AF108,SEARCH("°",AF108,1)-1),0))</f>
        <v>0</v>
      </c>
      <c r="AM108" s="167" t="str">
        <f>IF(AJ108,"",IF(AG108,RIGHT(AF108,LEN(AF108)-SEARCH("°",AF108,1)),AF108))</f>
        <v/>
      </c>
      <c r="AN108" s="167" t="b">
        <f>(LEN(AM108)&gt;0)</f>
        <v>0</v>
      </c>
      <c r="AO108" s="167" t="b">
        <f>NOT(OR(AH108,AI108))</f>
        <v>1</v>
      </c>
      <c r="AP108" s="168">
        <f>IF(NOT(AN108),0,IF(AO108,VALUE(AM108),IF(NOT(AH108),0,VALUE(LEFT(AM108,SEARCH("'",AM108,1)-1)))))</f>
        <v>0</v>
      </c>
      <c r="AQ108" s="167" t="str">
        <f>IF(NOT(AN108),"",IF(AO108,"",IF(NOT(AH108),AM108,RIGHT(AM108,LEN(AM108)-SEARCH("'",AM108,1)))))</f>
        <v/>
      </c>
      <c r="AR108" s="167" t="b">
        <f>(LEN(AQ108)&gt;0)</f>
        <v>0</v>
      </c>
      <c r="AS108" s="167" t="b">
        <f>NOT(AI108)</f>
        <v>1</v>
      </c>
      <c r="AT108" s="167" t="b">
        <f>ISNUMBER(SEARCH(".",AQ108,1))</f>
        <v>0</v>
      </c>
      <c r="AU108" s="168">
        <f>IF(AR108,IF(AI108,IF(AT108,VALUE(SUBSTITUTE(AQ108, """", "")),VALUE(SUBSTITUTE(AQ108, """", "."))),VALUE(AQ108)),0)</f>
        <v>0</v>
      </c>
      <c r="AV108" s="168">
        <f>AL108*3600+AP108*60+AU108</f>
        <v>0</v>
      </c>
      <c r="AW108" s="168">
        <f>AV108/3600</f>
        <v>0</v>
      </c>
      <c r="AX108" s="168">
        <f>_xlfn.FLOOR.MATH((AW108))</f>
        <v>0</v>
      </c>
      <c r="AY108" s="168">
        <f>(AV108-3600*AX108)/60</f>
        <v>0</v>
      </c>
      <c r="AZ108" s="168">
        <f>_xlfn.FLOOR.MATH((AY108))</f>
        <v>0</v>
      </c>
      <c r="BA108" s="168">
        <f>AV108-3600*AX108-60*AZ108</f>
        <v>0</v>
      </c>
      <c r="BB108" s="168">
        <f>AW108*IF(AD108&lt;0,-1,1)</f>
        <v>0</v>
      </c>
      <c r="BC108" s="16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8" customFormat="1" ht="17.25" customHeight="1" thickTop="1">
      <c r="N109" s="973"/>
      <c r="O109" s="961"/>
      <c r="P109" s="961"/>
      <c r="Q109" s="961"/>
      <c r="R109" s="961"/>
      <c r="S109" s="961"/>
      <c r="T109" s="961"/>
      <c r="U109" s="961"/>
      <c r="V109" s="961"/>
      <c r="W109" s="961"/>
      <c r="X109" s="961"/>
      <c r="Y109" s="961"/>
      <c r="Z109" s="961"/>
      <c r="AA109"/>
      <c r="AB109" s="180"/>
      <c r="AC109"/>
      <c r="AD109"/>
      <c r="AE109"/>
      <c r="AF109"/>
      <c r="AL109" s="165"/>
    </row>
    <row r="110" spans="1:67" s="98" customFormat="1" ht="17.25" customHeight="1">
      <c r="D110" s="972" t="s">
        <v>312</v>
      </c>
      <c r="E110" s="967"/>
      <c r="F110" s="967"/>
      <c r="G110" s="967"/>
      <c r="H110" s="962">
        <f>-H106*COS(T111)</f>
        <v>-0.42689867860943953</v>
      </c>
      <c r="I110" s="962"/>
      <c r="J110" s="962"/>
      <c r="K110" s="962"/>
      <c r="L110" s="962"/>
      <c r="N110" s="975" t="s">
        <v>315</v>
      </c>
      <c r="O110" s="958"/>
      <c r="P110" s="958"/>
      <c r="Q110" s="958"/>
      <c r="R110" s="958"/>
      <c r="S110" s="958"/>
      <c r="T110" s="958"/>
      <c r="U110" s="958"/>
      <c r="V110" s="958"/>
      <c r="W110" s="958"/>
      <c r="X110" s="181"/>
      <c r="Y110" s="181"/>
      <c r="Z110" s="181"/>
      <c r="AA110"/>
      <c r="AB110" s="180"/>
      <c r="AC110"/>
      <c r="AD110"/>
      <c r="AE110"/>
      <c r="AF110"/>
      <c r="AL110" s="165"/>
    </row>
    <row r="111" spans="1:67" s="98" customFormat="1" ht="17.25" customHeight="1" thickBot="1">
      <c r="C111" s="181"/>
      <c r="D111" s="968"/>
      <c r="E111" s="969"/>
      <c r="F111" s="969"/>
      <c r="G111" s="969"/>
      <c r="H111" s="962"/>
      <c r="I111" s="962"/>
      <c r="J111" s="962"/>
      <c r="K111" s="962"/>
      <c r="L111" s="962"/>
      <c r="M111" s="130" t="s">
        <v>181</v>
      </c>
      <c r="N111" s="959" t="s">
        <v>51</v>
      </c>
      <c r="O111" s="959"/>
      <c r="P111" s="959">
        <f>F61</f>
        <v>50.769444444444503</v>
      </c>
      <c r="Q111" s="959"/>
      <c r="R111" s="959"/>
      <c r="S111" s="166" t="s">
        <v>71</v>
      </c>
      <c r="T111" s="959">
        <f>P111*$D$123</f>
        <v>0.88609396496389992</v>
      </c>
      <c r="U111" s="959"/>
      <c r="V111" s="959"/>
      <c r="W111" s="166" t="s">
        <v>92</v>
      </c>
      <c r="X111" s="181"/>
      <c r="Y111" s="181"/>
      <c r="Z111" s="181"/>
      <c r="AA111"/>
      <c r="AB111" s="180"/>
      <c r="AC111"/>
      <c r="AD111"/>
      <c r="AE111"/>
      <c r="AF111"/>
      <c r="AL111" s="165"/>
    </row>
    <row r="112" spans="1:67" s="98" customFormat="1" ht="17.25" customHeight="1" thickTop="1" thickBot="1">
      <c r="C112" s="181"/>
      <c r="D112" s="970"/>
      <c r="E112" s="971"/>
      <c r="F112" s="971"/>
      <c r="G112" s="971"/>
      <c r="H112" s="960" t="str" cm="1">
        <f t="array" ref="H112">angleDecimal2Txt(H110)</f>
        <v>-00°25.61 (-00.4268) [-00°25'36.83]</v>
      </c>
      <c r="I112" s="960"/>
      <c r="J112" s="960"/>
      <c r="K112" s="960"/>
      <c r="L112" s="960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/>
      <c r="AB112" s="180"/>
      <c r="AC112"/>
      <c r="AD112"/>
      <c r="AE112"/>
      <c r="AF112"/>
      <c r="AG112" s="167" t="b">
        <f>ISNUMBER(SEARCH("°",AF112,1))</f>
        <v>0</v>
      </c>
      <c r="AH112" s="167" t="b">
        <f>ISNUMBER(SEARCH("'",AF112,1))</f>
        <v>0</v>
      </c>
      <c r="AI112" s="167" t="b">
        <f>ISNUMBER(SEARCH("""",AF112,1))</f>
        <v>0</v>
      </c>
      <c r="AJ112" s="167" t="b">
        <f>NOT(OR(AG112,AH112,AI112))</f>
        <v>1</v>
      </c>
      <c r="AK112" s="167" t="b">
        <f>OR(AJ112,AG112)</f>
        <v>1</v>
      </c>
      <c r="AL112" s="168">
        <f>IF(AJ112,VALUE(AF112),IF(AG112,LEFT(AF112,SEARCH("°",AF112,1)-1),0))</f>
        <v>0</v>
      </c>
      <c r="AM112" s="167" t="str">
        <f>IF(AJ112,"",IF(AG112,RIGHT(AF112,LEN(AF112)-SEARCH("°",AF112,1)),AF112))</f>
        <v/>
      </c>
      <c r="AN112" s="167" t="b">
        <f>(LEN(AM112)&gt;0)</f>
        <v>0</v>
      </c>
      <c r="AO112" s="167" t="b">
        <f>NOT(OR(AH112,AI112))</f>
        <v>1</v>
      </c>
      <c r="AP112" s="168">
        <f>IF(NOT(AN112),0,IF(AO112,VALUE(AM112),IF(NOT(AH112),0,VALUE(LEFT(AM112,SEARCH("'",AM112,1)-1)))))</f>
        <v>0</v>
      </c>
      <c r="AQ112" s="167" t="str">
        <f>IF(NOT(AN112),"",IF(AO112,"",IF(NOT(AH112),AM112,RIGHT(AM112,LEN(AM112)-SEARCH("'",AM112,1)))))</f>
        <v/>
      </c>
      <c r="AR112" s="167" t="b">
        <f>(LEN(AQ112)&gt;0)</f>
        <v>0</v>
      </c>
      <c r="AS112" s="167" t="b">
        <f>NOT(AI112)</f>
        <v>1</v>
      </c>
      <c r="AT112" s="167" t="b">
        <f>ISNUMBER(SEARCH(".",AQ112,1))</f>
        <v>0</v>
      </c>
      <c r="AU112" s="168">
        <f>IF(AR112,IF(AI112,IF(AT112,VALUE(SUBSTITUTE(AQ112, """", "")),VALUE(SUBSTITUTE(AQ112, """", "."))),VALUE(AQ112)),0)</f>
        <v>0</v>
      </c>
      <c r="AV112" s="168">
        <f>AL112*3600+AP112*60+AU112</f>
        <v>0</v>
      </c>
      <c r="AW112" s="168">
        <f>AV112/3600</f>
        <v>0</v>
      </c>
      <c r="AX112" s="168">
        <f>_xlfn.FLOOR.MATH((AW112))</f>
        <v>0</v>
      </c>
      <c r="AY112" s="168">
        <f>(AV112-3600*AX112)/60</f>
        <v>0</v>
      </c>
      <c r="AZ112" s="168">
        <f>_xlfn.FLOOR.MATH((AY112))</f>
        <v>0</v>
      </c>
      <c r="BA112" s="168">
        <f>AV112-3600*AX112-60*AZ112</f>
        <v>0</v>
      </c>
      <c r="BB112" s="168">
        <f>AW112*IF(AD112&lt;0,-1,1)</f>
        <v>0</v>
      </c>
      <c r="BC112" s="16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8" customFormat="1" ht="17.25" customHeight="1" thickTop="1">
      <c r="C113" s="181"/>
      <c r="AA113"/>
      <c r="AB113" s="180"/>
      <c r="AC113"/>
      <c r="AD113"/>
      <c r="AE113"/>
      <c r="AF113"/>
      <c r="AG113" s="182" t="s">
        <v>66</v>
      </c>
      <c r="AH113" s="182" t="s">
        <v>67</v>
      </c>
      <c r="AI113" s="182" t="s">
        <v>68</v>
      </c>
      <c r="AJ113" s="182" t="s">
        <v>69</v>
      </c>
      <c r="AK113" s="182" t="s">
        <v>70</v>
      </c>
      <c r="AL113" s="182" t="s">
        <v>71</v>
      </c>
      <c r="AM113" s="182" t="s">
        <v>61</v>
      </c>
      <c r="AN113" s="182" t="s">
        <v>75</v>
      </c>
      <c r="AO113" s="182" t="s">
        <v>74</v>
      </c>
      <c r="AP113" s="182" t="s">
        <v>72</v>
      </c>
      <c r="AQ113" s="182" t="s">
        <v>73</v>
      </c>
      <c r="AR113" s="182" t="s">
        <v>75</v>
      </c>
      <c r="AS113" s="182" t="s">
        <v>74</v>
      </c>
      <c r="AT113" s="182" t="s">
        <v>76</v>
      </c>
      <c r="AU113" s="182" t="s">
        <v>63</v>
      </c>
      <c r="AV113" s="182" t="s">
        <v>64</v>
      </c>
      <c r="AW113" s="182" t="s">
        <v>78</v>
      </c>
      <c r="AX113" s="182" t="s">
        <v>80</v>
      </c>
      <c r="AY113" s="182" t="s">
        <v>77</v>
      </c>
      <c r="AZ113" s="182" t="s">
        <v>81</v>
      </c>
      <c r="BA113" s="182" t="s">
        <v>63</v>
      </c>
      <c r="BB113" s="182" t="s">
        <v>165</v>
      </c>
      <c r="BC113" s="182" t="s">
        <v>82</v>
      </c>
    </row>
    <row r="114" spans="1:55" s="98" customFormat="1" ht="17.25" customHeight="1">
      <c r="D114" s="966" t="s">
        <v>313</v>
      </c>
      <c r="E114" s="967"/>
      <c r="F114" s="967"/>
      <c r="G114" s="967"/>
      <c r="H114" s="962">
        <f>F65+H110</f>
        <v>25.347593605628042</v>
      </c>
      <c r="I114" s="962"/>
      <c r="J114" s="962"/>
      <c r="K114" s="962"/>
      <c r="L114" s="962"/>
      <c r="N114" s="958" t="s">
        <v>317</v>
      </c>
      <c r="O114" s="958"/>
      <c r="P114" s="958"/>
      <c r="Q114" s="958"/>
      <c r="R114" s="958"/>
      <c r="S114" s="958"/>
      <c r="T114" s="958"/>
      <c r="U114" s="958"/>
      <c r="V114" s="958"/>
      <c r="W114" s="958"/>
      <c r="X114" s="181"/>
      <c r="Y114" s="181"/>
      <c r="AA114"/>
      <c r="AB114" s="180"/>
      <c r="AC114"/>
      <c r="AD114"/>
      <c r="AE114"/>
      <c r="AF114"/>
    </row>
    <row r="115" spans="1:55" s="98" customFormat="1" ht="17.25" customHeight="1" thickBot="1">
      <c r="C115" s="181"/>
      <c r="D115" s="968"/>
      <c r="E115" s="969"/>
      <c r="F115" s="969"/>
      <c r="G115" s="969"/>
      <c r="H115" s="962"/>
      <c r="I115" s="962"/>
      <c r="J115" s="962"/>
      <c r="K115" s="962"/>
      <c r="L115" s="962"/>
      <c r="M115" s="130" t="s">
        <v>181</v>
      </c>
      <c r="N115" s="959" t="s">
        <v>137</v>
      </c>
      <c r="O115" s="959"/>
      <c r="P115" s="959">
        <f>F65</f>
        <v>25.774492284237482</v>
      </c>
      <c r="Q115" s="959"/>
      <c r="R115" s="959"/>
      <c r="S115" s="166" t="s">
        <v>71</v>
      </c>
      <c r="T115" s="959">
        <f>P115*$D$123</f>
        <v>0.44984975338981825</v>
      </c>
      <c r="U115" s="959"/>
      <c r="V115" s="959"/>
      <c r="W115" s="166" t="s">
        <v>92</v>
      </c>
      <c r="X115" s="961"/>
      <c r="Y115" s="961"/>
      <c r="AA115"/>
      <c r="AB115" s="180"/>
      <c r="AC115"/>
      <c r="AD115"/>
      <c r="AE115"/>
      <c r="AF115"/>
      <c r="AG115" s="167" t="e">
        <f>NOT(OR(AD115,AE115,AF115))</f>
        <v>#VALUE!</v>
      </c>
      <c r="AH115" s="167" t="e">
        <f>OR(AG115,AD115)</f>
        <v>#VALUE!</v>
      </c>
      <c r="AI115" s="168" t="e">
        <f>IF(AG115,VALUE(AA115),IF(AD115,LEFT(AA115,SEARCH("°",AA115,1)-1),0))</f>
        <v>#VALUE!</v>
      </c>
      <c r="AJ115" s="167" t="e">
        <f>IF(AG115,"",IF(AD115,RIGHT(AA115,LEN(AA115)-SEARCH("°",AA115,1)),AA115))</f>
        <v>#VALUE!</v>
      </c>
      <c r="AK115" s="167" t="e">
        <f>(LEN(AJ115)&gt;0)</f>
        <v>#VALUE!</v>
      </c>
      <c r="AL115" s="167" t="e">
        <f>NOT(OR(AE115,AF115))</f>
        <v>#VALUE!</v>
      </c>
      <c r="AM115" s="168" t="e">
        <f>IF(NOT(AK115),0,IF(AL115,VALUE(AJ115),IF(NOT(AE115),0,VALUE(LEFT(AJ115,SEARCH("'",AJ115,1)-1)))))</f>
        <v>#VALUE!</v>
      </c>
      <c r="AN115" s="167" t="e">
        <f>IF(NOT(AK115),"",IF(AL115,"",IF(NOT(AE115),AJ115,RIGHT(AJ115,LEN(AJ115)-SEARCH("'",AJ115,1)))))</f>
        <v>#VALUE!</v>
      </c>
      <c r="AO115" s="167" t="e">
        <f>(LEN(AN115)&gt;0)</f>
        <v>#VALUE!</v>
      </c>
      <c r="AP115" s="167" t="b">
        <f>NOT(AF115)</f>
        <v>1</v>
      </c>
      <c r="AQ115" s="167" t="b">
        <f>ISNUMBER(SEARCH(".",AN115,1))</f>
        <v>0</v>
      </c>
      <c r="AR115" s="168" t="e">
        <f>IF(AO115,IF(AF115,IF(AQ115,VALUE(SUBSTITUTE(AN115, """", "")),VALUE(SUBSTITUTE(AN115, """", "."))),VALUE(AN115)),0)</f>
        <v>#VALUE!</v>
      </c>
      <c r="AS115" s="168" t="e">
        <f>AI115*3600+AM115*60+AR115</f>
        <v>#VALUE!</v>
      </c>
      <c r="AT115" s="168" t="e">
        <f>AS115/3600</f>
        <v>#VALUE!</v>
      </c>
      <c r="AU115" s="168" t="e">
        <f>_xlfn.FLOOR.MATH((AT115))</f>
        <v>#VALUE!</v>
      </c>
      <c r="AV115" s="168" t="e">
        <f>(AS115-3600*AU115)/60</f>
        <v>#VALUE!</v>
      </c>
      <c r="AW115" s="168" t="e">
        <f>_xlfn.FLOOR.MATH((AV115))</f>
        <v>#VALUE!</v>
      </c>
      <c r="AX115" s="168" t="e">
        <f>AS115-3600*AU115-60*AW115</f>
        <v>#VALUE!</v>
      </c>
      <c r="AY115" s="16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8" customFormat="1" ht="17.25" customHeight="1" thickTop="1" thickBot="1">
      <c r="C116" s="181"/>
      <c r="D116" s="970"/>
      <c r="E116" s="971"/>
      <c r="F116" s="971"/>
      <c r="G116" s="971"/>
      <c r="H116" s="974" t="str" cm="1">
        <f t="array" ref="H116">angleDecimal2Txt(H114)</f>
        <v>+25°20.85 (+25.3475) [+25°20'51.33]</v>
      </c>
      <c r="I116" s="974"/>
      <c r="J116" s="974"/>
      <c r="K116" s="974"/>
      <c r="L116" s="974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AA116"/>
      <c r="AB116" s="180"/>
      <c r="AC116"/>
      <c r="AD116"/>
      <c r="AE116"/>
      <c r="AF116"/>
      <c r="AL116" s="165"/>
    </row>
    <row r="117" spans="1:55" s="98" customFormat="1" ht="17.25" customHeight="1" thickTop="1">
      <c r="C117" s="181"/>
      <c r="S117" s="181"/>
      <c r="T117" s="181"/>
      <c r="U117" s="181"/>
      <c r="V117" s="181"/>
      <c r="W117" s="181"/>
      <c r="X117" s="181"/>
      <c r="AA117"/>
      <c r="AB117" s="180"/>
      <c r="AC117" t="s">
        <v>361</v>
      </c>
      <c r="AD117"/>
      <c r="AE117"/>
      <c r="AF117"/>
      <c r="AL117" s="165"/>
    </row>
    <row r="118" spans="1:55" s="98" customFormat="1" ht="17.25" customHeight="1">
      <c r="D118" s="966" t="s">
        <v>314</v>
      </c>
      <c r="E118" s="967"/>
      <c r="F118" s="967"/>
      <c r="G118" s="967"/>
      <c r="H118" s="785">
        <f>IF(AD118&lt;0,AD118+360,AD118)</f>
        <v>359.99035734245223</v>
      </c>
      <c r="I118" s="785"/>
      <c r="J118" s="785"/>
      <c r="K118" s="785"/>
      <c r="L118" s="785"/>
      <c r="N118" s="975" t="s">
        <v>316</v>
      </c>
      <c r="O118" s="958"/>
      <c r="P118" s="958"/>
      <c r="Q118" s="958"/>
      <c r="R118" s="958"/>
      <c r="S118" s="958"/>
      <c r="T118" s="958"/>
      <c r="U118" s="958"/>
      <c r="V118" s="958"/>
      <c r="W118" s="958"/>
      <c r="X118" s="181"/>
      <c r="AA118"/>
      <c r="AB118" s="180"/>
      <c r="AC118" s="122" t="s">
        <v>358</v>
      </c>
      <c r="AD118" s="98">
        <f>(-H106*SIN(T119)/COS(T120))/60</f>
        <v>-9.6426575477548057E-3</v>
      </c>
      <c r="AE118"/>
      <c r="AF118"/>
      <c r="AL118" s="165"/>
    </row>
    <row r="119" spans="1:55" s="98" customFormat="1" ht="17.25" customHeight="1" thickBot="1">
      <c r="D119" s="968"/>
      <c r="E119" s="969"/>
      <c r="F119" s="969"/>
      <c r="G119" s="969"/>
      <c r="H119" s="785"/>
      <c r="I119" s="785"/>
      <c r="J119" s="785"/>
      <c r="K119" s="785"/>
      <c r="L119" s="785"/>
      <c r="M119" s="130" t="s">
        <v>181</v>
      </c>
      <c r="N119" s="959" t="s">
        <v>51</v>
      </c>
      <c r="O119" s="959"/>
      <c r="P119" s="959">
        <f>F61</f>
        <v>50.769444444444503</v>
      </c>
      <c r="Q119" s="959"/>
      <c r="R119" s="959"/>
      <c r="S119" s="166" t="s">
        <v>71</v>
      </c>
      <c r="T119" s="959">
        <f>P119*$D$123</f>
        <v>0.88609396496389992</v>
      </c>
      <c r="U119" s="959"/>
      <c r="V119" s="959"/>
      <c r="W119" s="166" t="s">
        <v>92</v>
      </c>
      <c r="X119" s="181"/>
      <c r="AA119"/>
      <c r="AB119" s="180"/>
      <c r="AC119"/>
      <c r="AD119"/>
      <c r="AE119"/>
      <c r="AF119"/>
      <c r="AL119" s="165"/>
    </row>
    <row r="120" spans="1:55" s="98" customFormat="1" ht="17.25" customHeight="1" thickTop="1" thickBot="1">
      <c r="D120" s="970"/>
      <c r="E120" s="971"/>
      <c r="F120" s="971"/>
      <c r="G120" s="971"/>
      <c r="H120" s="960" t="str" cm="1">
        <f t="array" ref="H120">angleDecimal2Txt(H118)</f>
        <v>+359°59.42 (+359.9903) [+359°59'25.28]</v>
      </c>
      <c r="I120" s="960"/>
      <c r="J120" s="960"/>
      <c r="K120" s="960"/>
      <c r="L120" s="960"/>
      <c r="N120" s="959" t="s">
        <v>49</v>
      </c>
      <c r="O120" s="959"/>
      <c r="P120" s="959">
        <f>H114</f>
        <v>25.347593605628042</v>
      </c>
      <c r="Q120" s="959"/>
      <c r="R120" s="959"/>
      <c r="S120" s="166" t="s">
        <v>71</v>
      </c>
      <c r="T120" s="959">
        <f>P120*$D$123</f>
        <v>0.4423989658756704</v>
      </c>
      <c r="U120" s="959"/>
      <c r="V120" s="959"/>
      <c r="W120" s="166" t="s">
        <v>92</v>
      </c>
      <c r="AA120"/>
      <c r="AB120" s="180"/>
      <c r="AC120"/>
      <c r="AD120"/>
      <c r="AE120"/>
      <c r="AF120"/>
      <c r="AG120" s="167" t="b">
        <f>ISNUMBER(SEARCH("°",AF120,1))</f>
        <v>0</v>
      </c>
      <c r="AH120" s="167" t="b">
        <f>ISNUMBER(SEARCH("'",AF120,1))</f>
        <v>0</v>
      </c>
      <c r="AI120" s="167" t="b">
        <f>ISNUMBER(SEARCH("""",AF120,1))</f>
        <v>0</v>
      </c>
      <c r="AJ120" s="167" t="b">
        <f>NOT(OR(AG120,AH120,AI120))</f>
        <v>1</v>
      </c>
      <c r="AK120" s="167" t="b">
        <f>OR(AJ120,AG120)</f>
        <v>1</v>
      </c>
      <c r="AL120" s="168">
        <f>IF(AJ120,VALUE(AF120),IF(AG120,LEFT(AF120,SEARCH("°",AF120,1)-1),0))</f>
        <v>0</v>
      </c>
      <c r="AM120" s="167" t="str">
        <f>IF(AJ120,"",IF(AG120,RIGHT(AF120,LEN(AF120)-SEARCH("°",AF120,1)),AF120))</f>
        <v/>
      </c>
      <c r="AN120" s="167" t="b">
        <f>(LEN(AM120)&gt;0)</f>
        <v>0</v>
      </c>
      <c r="AO120" s="167" t="b">
        <f>NOT(OR(AH120,AI120))</f>
        <v>1</v>
      </c>
      <c r="AP120" s="168">
        <f>IF(NOT(AN120),0,IF(AO120,VALUE(AM120),IF(NOT(AH120),0,VALUE(LEFT(AM120,SEARCH("'",AM120,1)-1)))))</f>
        <v>0</v>
      </c>
      <c r="AQ120" s="167" t="str">
        <f>IF(NOT(AN120),"",IF(AO120,"",IF(NOT(AH120),AM120,RIGHT(AM120,LEN(AM120)-SEARCH("'",AM120,1)))))</f>
        <v/>
      </c>
      <c r="AR120" s="167" t="b">
        <f>(LEN(AQ120)&gt;0)</f>
        <v>0</v>
      </c>
      <c r="AS120" s="167" t="b">
        <f>NOT(AI120)</f>
        <v>1</v>
      </c>
      <c r="AT120" s="167" t="b">
        <f>ISNUMBER(SEARCH(".",AQ120,1))</f>
        <v>0</v>
      </c>
      <c r="AU120" s="168">
        <f>IF(AR120,IF(AI120,IF(AT120,VALUE(SUBSTITUTE(AQ120, """", "")),VALUE(SUBSTITUTE(AQ120, """", "."))),VALUE(AQ120)),0)</f>
        <v>0</v>
      </c>
      <c r="AV120" s="168">
        <f>AL120*3600+AP120*60+AU120</f>
        <v>0</v>
      </c>
      <c r="AW120" s="168">
        <f>AV120/3600</f>
        <v>0</v>
      </c>
      <c r="AX120" s="168">
        <f>_xlfn.FLOOR.MATH((AW120))</f>
        <v>0</v>
      </c>
      <c r="AY120" s="168">
        <f>(AV120-3600*AX120)/60</f>
        <v>0</v>
      </c>
      <c r="AZ120" s="168">
        <f>_xlfn.FLOOR.MATH((AY120))</f>
        <v>0</v>
      </c>
      <c r="BA120" s="168">
        <f>AV120-3600*AX120-60*AZ120</f>
        <v>0</v>
      </c>
      <c r="BB120" s="168">
        <f>AW120*IF(AD120&lt;0,-1,1)</f>
        <v>0</v>
      </c>
      <c r="BC120" s="16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8" customFormat="1" ht="17.25" customHeight="1" thickTop="1" thickBot="1"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/>
      <c r="AB121" s="180"/>
      <c r="AC121"/>
      <c r="AD121"/>
      <c r="AE121"/>
      <c r="AF121"/>
      <c r="AL121" s="165"/>
    </row>
    <row r="122" spans="1:55" s="98" customFormat="1" ht="17.25" customHeight="1">
      <c r="A122" s="963" t="s">
        <v>138</v>
      </c>
      <c r="B122" s="964"/>
      <c r="C122" s="964"/>
      <c r="D122" s="965"/>
      <c r="E122" s="181"/>
      <c r="F122" s="143"/>
      <c r="G122" s="181"/>
      <c r="H122" s="181"/>
      <c r="I122" s="181"/>
      <c r="J122" s="181"/>
      <c r="K122" s="181"/>
      <c r="L122" s="181"/>
      <c r="M122" s="961"/>
      <c r="N122" s="961"/>
      <c r="O122" s="181"/>
      <c r="P122" s="961"/>
      <c r="Q122" s="961"/>
      <c r="R122" s="961"/>
      <c r="S122" s="961"/>
      <c r="T122" s="961"/>
      <c r="U122" s="961"/>
      <c r="V122" s="181"/>
      <c r="W122" s="961"/>
      <c r="X122" s="961"/>
      <c r="Y122" s="961"/>
      <c r="Z122" s="181"/>
      <c r="AA122"/>
      <c r="AB122" s="180"/>
      <c r="AC122"/>
      <c r="AD122"/>
      <c r="AE122"/>
      <c r="AF122"/>
      <c r="AL122" s="165"/>
    </row>
    <row r="123" spans="1:55" s="98" customFormat="1" ht="17.25" customHeight="1">
      <c r="A123" s="170" t="s">
        <v>62</v>
      </c>
      <c r="B123" s="171" t="s">
        <v>121</v>
      </c>
      <c r="C123" s="172" t="s">
        <v>122</v>
      </c>
      <c r="D123" s="163">
        <f>PI()/180</f>
        <v>1.7453292519943295E-2</v>
      </c>
      <c r="E123" s="143"/>
      <c r="F123" s="143"/>
      <c r="G123" s="181"/>
      <c r="H123" s="961"/>
      <c r="I123" s="961"/>
      <c r="J123" s="181"/>
      <c r="K123" s="961"/>
      <c r="L123" s="96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/>
      <c r="AB123" s="180"/>
      <c r="AC123"/>
      <c r="AD123"/>
      <c r="AE123"/>
      <c r="AF123"/>
      <c r="AL123" s="165"/>
    </row>
    <row r="124" spans="1:55" s="98" customFormat="1" ht="17.25" customHeight="1" thickBot="1">
      <c r="A124" s="173" t="s">
        <v>123</v>
      </c>
      <c r="B124" s="174" t="s">
        <v>121</v>
      </c>
      <c r="C124" s="175" t="s">
        <v>62</v>
      </c>
      <c r="D124" s="164">
        <f>180/PI()</f>
        <v>57.295779513082323</v>
      </c>
      <c r="H124" s="961"/>
      <c r="I124" s="961"/>
      <c r="J124" s="181"/>
      <c r="K124" s="961"/>
      <c r="L124" s="961"/>
      <c r="M124" s="181"/>
      <c r="N124" s="961"/>
      <c r="O124" s="961"/>
      <c r="P124" s="961"/>
      <c r="Q124" s="961"/>
      <c r="R124" s="961"/>
      <c r="S124" s="961"/>
      <c r="T124" s="961"/>
      <c r="U124" s="181"/>
      <c r="V124" s="181"/>
      <c r="W124" s="181"/>
      <c r="X124" s="181"/>
      <c r="Y124" s="181"/>
      <c r="Z124" s="181"/>
      <c r="AA124"/>
      <c r="AB124" s="180"/>
      <c r="AC124"/>
      <c r="AD124"/>
      <c r="AE124"/>
      <c r="AF124"/>
      <c r="AL124" s="165"/>
    </row>
    <row r="125" spans="1:55" s="98" customFormat="1" ht="17.25" customHeight="1">
      <c r="C125" s="143"/>
      <c r="H125" s="961"/>
      <c r="I125" s="961"/>
      <c r="J125" s="961"/>
      <c r="K125" s="961"/>
      <c r="L125" s="961"/>
      <c r="M125" s="181"/>
      <c r="N125" s="181"/>
      <c r="O125" s="181"/>
      <c r="P125" s="181"/>
      <c r="Q125" s="181"/>
      <c r="R125" s="181"/>
      <c r="S125" s="961"/>
      <c r="T125" s="961"/>
      <c r="U125" s="961"/>
      <c r="V125" s="961"/>
      <c r="W125" s="961"/>
      <c r="X125" s="961"/>
      <c r="Y125" s="181"/>
      <c r="Z125" s="181"/>
      <c r="AA125"/>
      <c r="AB125" s="180"/>
      <c r="AC125"/>
      <c r="AD125"/>
      <c r="AE125"/>
      <c r="AF125"/>
      <c r="AL125" s="165"/>
    </row>
    <row r="126" spans="1:55" s="98" customFormat="1" ht="17.25" customHeight="1">
      <c r="C126" s="143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/>
      <c r="AB126" s="180"/>
      <c r="AC126"/>
      <c r="AD126"/>
      <c r="AE126"/>
      <c r="AF126"/>
      <c r="AL126" s="165"/>
    </row>
    <row r="127" spans="1:55" s="98" customFormat="1" ht="17.25" customHeight="1">
      <c r="C127" s="143"/>
      <c r="D127" s="143"/>
      <c r="E127" s="143"/>
      <c r="F127" s="143"/>
      <c r="G127" s="181"/>
      <c r="H127" s="181"/>
      <c r="I127" s="181"/>
      <c r="J127" s="181"/>
      <c r="K127" s="181"/>
      <c r="V127" s="181"/>
      <c r="W127" s="181"/>
      <c r="X127" s="181"/>
      <c r="Y127" s="181"/>
      <c r="Z127" s="181"/>
      <c r="AA127"/>
      <c r="AB127" s="180"/>
      <c r="AC127"/>
      <c r="AD127"/>
      <c r="AE127"/>
      <c r="AF127"/>
      <c r="AL127" s="165"/>
    </row>
    <row r="128" spans="1:55" s="98" customFormat="1" ht="17.25" customHeight="1">
      <c r="C128" s="143"/>
      <c r="D128" s="143"/>
      <c r="E128" s="143"/>
      <c r="F128" s="143"/>
      <c r="G128" s="181"/>
      <c r="H128" s="181"/>
      <c r="I128" s="181"/>
      <c r="J128" s="181"/>
      <c r="K128" s="181"/>
      <c r="V128" s="181"/>
      <c r="W128" s="181"/>
      <c r="X128" s="181"/>
      <c r="Y128" s="181"/>
      <c r="Z128" s="181"/>
      <c r="AA128"/>
      <c r="AB128" s="180"/>
      <c r="AC128"/>
      <c r="AD128"/>
      <c r="AE128"/>
      <c r="AF128"/>
      <c r="AL128" s="165"/>
    </row>
    <row r="129" spans="3:65" s="98" customFormat="1" ht="17.25" customHeight="1">
      <c r="C129" s="143"/>
      <c r="D129" s="143"/>
      <c r="E129" s="143"/>
      <c r="F129" s="143"/>
      <c r="AA129"/>
      <c r="AB129" s="180"/>
      <c r="AC129"/>
      <c r="AD129"/>
      <c r="AE129"/>
      <c r="AF129"/>
      <c r="AL129" s="165"/>
    </row>
    <row r="130" spans="3:65" s="98" customFormat="1" ht="17.25" customHeight="1">
      <c r="C130" s="143"/>
      <c r="D130" s="143"/>
      <c r="E130" s="143"/>
      <c r="AA130"/>
      <c r="AB130" s="180"/>
      <c r="AC130"/>
      <c r="AD130"/>
      <c r="AE130"/>
      <c r="AF130"/>
      <c r="AL130" s="165"/>
    </row>
    <row r="131" spans="3:65" s="98" customFormat="1" ht="17.25" customHeight="1">
      <c r="C131" s="143"/>
      <c r="D131" s="143"/>
      <c r="E131" s="143"/>
      <c r="AA131"/>
      <c r="AB131" s="180"/>
      <c r="AC131"/>
      <c r="AD131"/>
      <c r="AE131"/>
      <c r="AF131"/>
      <c r="AL131" s="165"/>
    </row>
    <row r="132" spans="3:65" s="98" customFormat="1" ht="17.25" customHeight="1">
      <c r="C132" s="143"/>
      <c r="D132" s="143"/>
      <c r="E132" s="143"/>
      <c r="AA132"/>
      <c r="AB132" s="180"/>
      <c r="AC132"/>
      <c r="AD132"/>
      <c r="AE132"/>
      <c r="AF132"/>
      <c r="AL132" s="165"/>
    </row>
    <row r="133" spans="3:65" s="98" customFormat="1" ht="17.25" customHeight="1">
      <c r="C133" s="143"/>
      <c r="D133" s="143"/>
      <c r="E133" s="143"/>
      <c r="F133" s="143"/>
      <c r="AA133"/>
      <c r="AB133" s="180"/>
      <c r="AC133"/>
      <c r="AD133"/>
      <c r="AE133"/>
      <c r="AF133"/>
      <c r="AL133" s="165"/>
    </row>
    <row r="134" spans="3:65" s="98" customFormat="1" ht="17.25" customHeight="1">
      <c r="C134" s="143"/>
      <c r="D134" s="143"/>
      <c r="E134" s="143"/>
      <c r="F134" s="143"/>
      <c r="AA134"/>
      <c r="AB134" s="180"/>
      <c r="AC134"/>
      <c r="AD134"/>
      <c r="AE134"/>
      <c r="AF134"/>
      <c r="AG134" s="106"/>
      <c r="AH134" s="106"/>
      <c r="AI134" s="106"/>
      <c r="AJ134" s="106"/>
      <c r="AK134" s="106"/>
      <c r="AL134" s="162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3:65" s="98" customFormat="1" ht="17.25" customHeight="1">
      <c r="C135" s="143"/>
      <c r="D135" s="143"/>
      <c r="E135" s="143"/>
      <c r="F135" s="143"/>
      <c r="AA135"/>
      <c r="AB135" s="180"/>
      <c r="AC135"/>
      <c r="AD135"/>
      <c r="AE135"/>
      <c r="AF135"/>
      <c r="AG135" s="106"/>
      <c r="AH135" s="106"/>
      <c r="AI135" s="106"/>
      <c r="AJ135" s="106"/>
      <c r="AK135" s="106"/>
      <c r="AL135" s="162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3:65" s="98" customFormat="1" ht="17.25" customHeight="1">
      <c r="C136" s="143"/>
      <c r="D136" s="143"/>
      <c r="E136" s="143"/>
      <c r="F136" s="143"/>
      <c r="AA136"/>
      <c r="AB136" s="180"/>
      <c r="AC136"/>
      <c r="AD136"/>
      <c r="AE136"/>
      <c r="AF136"/>
      <c r="AG136" s="106"/>
      <c r="AH136" s="106"/>
      <c r="AI136" s="106"/>
      <c r="AJ136" s="106"/>
      <c r="AK136" s="106"/>
      <c r="AL136" s="162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</row>
    <row r="137" spans="3:65" s="98" customFormat="1" ht="17.25" customHeight="1">
      <c r="C137" s="143"/>
      <c r="D137" s="143"/>
      <c r="E137" s="143"/>
      <c r="F137" s="143"/>
      <c r="AA137"/>
      <c r="AB137" s="180"/>
      <c r="AC137"/>
      <c r="AD137"/>
      <c r="AE137"/>
      <c r="AF137"/>
      <c r="AG137" s="106"/>
      <c r="AH137" s="106"/>
      <c r="AI137" s="106"/>
      <c r="AJ137" s="106"/>
      <c r="AK137" s="106"/>
      <c r="AL137" s="162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</row>
    <row r="138" spans="3:65" s="98" customFormat="1" ht="17.25" customHeight="1">
      <c r="C138" s="143"/>
      <c r="D138" s="143"/>
      <c r="E138" s="143"/>
      <c r="F138" s="143"/>
      <c r="AA138"/>
      <c r="AB138" s="180"/>
      <c r="AC138"/>
      <c r="AD138"/>
      <c r="AE138"/>
      <c r="AF138"/>
      <c r="AG138" s="106"/>
      <c r="AH138" s="106"/>
      <c r="AI138" s="106"/>
      <c r="AJ138" s="106"/>
      <c r="AK138" s="106"/>
      <c r="AL138" s="162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</row>
    <row r="139" spans="3:65" s="98" customFormat="1" ht="17.25" customHeight="1">
      <c r="C139" s="143"/>
      <c r="D139" s="143"/>
      <c r="E139" s="143"/>
      <c r="F139" s="143"/>
      <c r="AA139"/>
      <c r="AB139" s="180"/>
      <c r="AC139"/>
      <c r="AD139"/>
      <c r="AE139"/>
      <c r="AF139"/>
      <c r="AG139" s="106"/>
      <c r="AH139" s="106"/>
      <c r="AI139" s="106"/>
      <c r="AJ139" s="106"/>
      <c r="AK139" s="106"/>
      <c r="AL139" s="162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</row>
    <row r="140" spans="3:65" s="98" customFormat="1" ht="17.25" customHeight="1">
      <c r="C140" s="143"/>
      <c r="D140" s="143"/>
      <c r="E140" s="143"/>
      <c r="F140" s="143"/>
      <c r="AA140"/>
      <c r="AB140" s="180"/>
      <c r="AC140"/>
      <c r="AD140"/>
      <c r="AE140"/>
      <c r="AF140"/>
      <c r="AG140" s="106"/>
      <c r="AH140" s="106"/>
      <c r="AI140" s="106"/>
      <c r="AJ140" s="106"/>
      <c r="AK140" s="106"/>
      <c r="AL140" s="162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</row>
    <row r="141" spans="3:65" s="98" customFormat="1" ht="17.25" customHeight="1">
      <c r="C141" s="143"/>
      <c r="D141" s="143"/>
      <c r="E141" s="143"/>
      <c r="F141" s="143"/>
      <c r="AA141"/>
      <c r="AB141" s="180"/>
      <c r="AC141"/>
      <c r="AD141"/>
      <c r="AE141"/>
      <c r="AF141"/>
      <c r="AG141" s="106"/>
      <c r="AH141" s="106"/>
      <c r="AI141" s="106"/>
      <c r="AJ141" s="106"/>
      <c r="AK141" s="106"/>
      <c r="AL141" s="162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</row>
    <row r="142" spans="3:65" s="98" customFormat="1" ht="17.25" customHeight="1">
      <c r="C142" s="143"/>
      <c r="D142" s="143"/>
      <c r="E142" s="143"/>
      <c r="F142" s="143"/>
      <c r="AA142"/>
      <c r="AB142" s="180"/>
      <c r="AC142"/>
      <c r="AD142"/>
      <c r="AE142"/>
      <c r="AF142"/>
      <c r="AG142" s="106"/>
      <c r="AH142" s="106"/>
      <c r="AI142" s="106"/>
      <c r="AJ142" s="106"/>
      <c r="AK142" s="106"/>
      <c r="AL142" s="162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</row>
    <row r="143" spans="3:65" s="98" customFormat="1" ht="17.25" customHeight="1">
      <c r="C143" s="143"/>
      <c r="D143" s="143"/>
      <c r="E143" s="143"/>
      <c r="F143" s="143"/>
      <c r="AA143"/>
      <c r="AB143" s="180"/>
      <c r="AC143"/>
      <c r="AD143"/>
      <c r="AE143"/>
      <c r="AF143"/>
      <c r="AG143" s="106"/>
      <c r="AH143" s="106"/>
      <c r="AI143" s="106"/>
      <c r="AJ143" s="106"/>
      <c r="AK143" s="106"/>
      <c r="AL143" s="162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3:65" s="98" customFormat="1" ht="17.25" customHeight="1">
      <c r="C144" s="143"/>
      <c r="D144" s="143"/>
      <c r="E144" s="143"/>
      <c r="F144" s="143"/>
      <c r="AA144"/>
      <c r="AB144" s="180"/>
      <c r="AC144"/>
      <c r="AD144"/>
      <c r="AE144"/>
      <c r="AF144"/>
      <c r="AG144" s="106"/>
      <c r="AH144" s="106"/>
      <c r="AI144" s="106"/>
      <c r="AJ144" s="106"/>
      <c r="AK144" s="106"/>
      <c r="AL144" s="162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</row>
    <row r="145" spans="3:65" s="98" customFormat="1" ht="17.25" customHeight="1">
      <c r="C145" s="143"/>
      <c r="D145" s="143"/>
      <c r="E145" s="143"/>
      <c r="F145" s="143"/>
      <c r="AA145"/>
      <c r="AB145" s="180"/>
      <c r="AC145"/>
      <c r="AD145"/>
      <c r="AE145"/>
      <c r="AF145"/>
      <c r="AG145" s="106"/>
      <c r="AH145" s="106"/>
      <c r="AI145" s="106"/>
      <c r="AJ145" s="106"/>
      <c r="AK145" s="106"/>
      <c r="AL145" s="162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3:65" s="98" customFormat="1" ht="17.25" customHeight="1">
      <c r="C146" s="143"/>
      <c r="D146" s="143"/>
      <c r="E146" s="143"/>
      <c r="F146" s="143"/>
      <c r="AA146"/>
      <c r="AB146" s="180"/>
      <c r="AC146"/>
      <c r="AD146"/>
      <c r="AE146"/>
      <c r="AF146"/>
      <c r="AG146" s="106"/>
      <c r="AH146" s="106"/>
      <c r="AI146" s="106"/>
      <c r="AJ146" s="106"/>
      <c r="AK146" s="106"/>
      <c r="AL146" s="162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3:65" s="98" customFormat="1" ht="17.25" customHeight="1">
      <c r="C147" s="143"/>
      <c r="D147" s="143"/>
      <c r="E147" s="143"/>
      <c r="F147" s="143"/>
      <c r="AA147"/>
      <c r="AB147" s="180"/>
      <c r="AC147"/>
      <c r="AD147"/>
      <c r="AE147"/>
      <c r="AF147"/>
      <c r="AG147" s="106"/>
      <c r="AH147" s="106"/>
      <c r="AI147" s="106"/>
      <c r="AJ147" s="106"/>
      <c r="AK147" s="106"/>
      <c r="AL147" s="162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8" spans="3:65" s="98" customFormat="1" ht="17.25" customHeight="1">
      <c r="C148" s="143"/>
      <c r="D148" s="143"/>
      <c r="E148" s="143"/>
      <c r="F148" s="143"/>
      <c r="AA148"/>
      <c r="AB148" s="180"/>
      <c r="AC148"/>
      <c r="AD148"/>
      <c r="AE148"/>
      <c r="AF148"/>
      <c r="AG148" s="106"/>
      <c r="AH148" s="106"/>
      <c r="AI148" s="106"/>
      <c r="AJ148" s="106"/>
      <c r="AK148" s="106"/>
      <c r="AL148" s="162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</row>
    <row r="149" spans="3:65" s="98" customFormat="1" ht="17.25" customHeight="1">
      <c r="C149" s="143"/>
      <c r="D149" s="143"/>
      <c r="E149" s="143"/>
      <c r="F149" s="143"/>
      <c r="AA149"/>
      <c r="AB149" s="180"/>
      <c r="AC149"/>
      <c r="AD149"/>
      <c r="AE149"/>
      <c r="AF149"/>
      <c r="AG149" s="106"/>
      <c r="AH149" s="106"/>
      <c r="AI149" s="106"/>
      <c r="AJ149" s="106"/>
      <c r="AK149" s="106"/>
      <c r="AL149" s="162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</row>
    <row r="150" spans="3:65" s="98" customFormat="1" ht="17.25" customHeight="1">
      <c r="C150" s="143"/>
      <c r="D150" s="143"/>
      <c r="E150" s="143"/>
      <c r="F150" s="143"/>
      <c r="AA150"/>
      <c r="AB150" s="180"/>
      <c r="AC150"/>
      <c r="AD150"/>
      <c r="AE150"/>
      <c r="AF150"/>
      <c r="AG150" s="106"/>
      <c r="AH150" s="106"/>
      <c r="AI150" s="106"/>
      <c r="AJ150" s="106"/>
      <c r="AK150" s="106"/>
      <c r="AL150" s="162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</row>
    <row r="151" spans="3:65" s="98" customFormat="1" ht="17.25" customHeight="1">
      <c r="C151" s="143"/>
      <c r="D151" s="143"/>
      <c r="E151" s="143"/>
      <c r="F151" s="143"/>
      <c r="AA151"/>
      <c r="AB151" s="180"/>
      <c r="AC151"/>
      <c r="AD151"/>
      <c r="AE151"/>
      <c r="AF151"/>
      <c r="AG151" s="106"/>
      <c r="AH151" s="106"/>
      <c r="AI151" s="106"/>
      <c r="AJ151" s="106"/>
      <c r="AK151" s="106"/>
      <c r="AL151" s="162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</row>
    <row r="152" spans="3:65" s="98" customFormat="1" ht="17.25" customHeight="1">
      <c r="C152" s="143"/>
      <c r="D152" s="143"/>
      <c r="E152" s="143"/>
      <c r="F152" s="143"/>
      <c r="AA152"/>
      <c r="AB152" s="180"/>
      <c r="AC152"/>
      <c r="AD152"/>
      <c r="AE152"/>
      <c r="AF152"/>
      <c r="AG152" s="106"/>
      <c r="AH152" s="106"/>
      <c r="AI152" s="106"/>
      <c r="AJ152" s="106"/>
      <c r="AK152" s="106"/>
      <c r="AL152" s="162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</row>
    <row r="153" spans="3:65" s="98" customFormat="1" ht="17.25" customHeight="1">
      <c r="C153" s="143"/>
      <c r="D153" s="143"/>
      <c r="E153" s="143"/>
      <c r="F153" s="143"/>
      <c r="AA153" s="105"/>
      <c r="AB153" s="177"/>
      <c r="AC153" s="104"/>
      <c r="AD153" s="106"/>
      <c r="AE153" s="106"/>
      <c r="AF153" s="106"/>
      <c r="AG153" s="106"/>
      <c r="AH153" s="106"/>
      <c r="AI153" s="106"/>
      <c r="AJ153" s="106"/>
      <c r="AK153" s="106"/>
      <c r="AL153" s="162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</row>
    <row r="154" spans="3:65" s="98" customFormat="1" ht="17.25" customHeight="1">
      <c r="C154" s="143"/>
      <c r="D154" s="143"/>
      <c r="E154" s="143"/>
      <c r="F154" s="143"/>
      <c r="AA154" s="105"/>
      <c r="AB154" s="177"/>
      <c r="AC154" s="104"/>
      <c r="AD154" s="106"/>
      <c r="AE154" s="106"/>
      <c r="AF154" s="106"/>
      <c r="AG154" s="106"/>
      <c r="AH154" s="106"/>
      <c r="AI154" s="106"/>
      <c r="AJ154" s="106"/>
      <c r="AK154" s="106"/>
      <c r="AL154" s="162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</row>
    <row r="155" spans="3:65" s="98" customFormat="1" ht="17.25" customHeight="1">
      <c r="C155" s="143"/>
      <c r="D155" s="143"/>
      <c r="E155" s="143"/>
      <c r="F155" s="143"/>
      <c r="AA155" s="105"/>
      <c r="AB155" s="177"/>
      <c r="AC155" s="104"/>
      <c r="AD155" s="106"/>
      <c r="AE155" s="106"/>
      <c r="AF155" s="106"/>
      <c r="AG155" s="106"/>
      <c r="AH155" s="106"/>
      <c r="AI155" s="106"/>
      <c r="AJ155" s="106"/>
      <c r="AK155" s="106"/>
      <c r="AL155" s="162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</row>
    <row r="156" spans="3:65" s="98" customFormat="1" ht="17.25" customHeight="1">
      <c r="C156" s="143"/>
      <c r="D156" s="143"/>
      <c r="E156" s="143"/>
      <c r="F156" s="143"/>
      <c r="AA156" s="105"/>
      <c r="AB156" s="177"/>
      <c r="AC156" s="104"/>
      <c r="AD156" s="106"/>
      <c r="AE156" s="106"/>
      <c r="AF156" s="106"/>
      <c r="AG156" s="106"/>
      <c r="AH156" s="106"/>
      <c r="AI156" s="106"/>
      <c r="AJ156" s="106"/>
      <c r="AK156" s="106"/>
      <c r="AL156" s="162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</row>
    <row r="157" spans="3:65" s="98" customFormat="1" ht="17.25" customHeight="1">
      <c r="C157" s="143"/>
      <c r="D157" s="143"/>
      <c r="E157" s="143"/>
      <c r="F157" s="143"/>
      <c r="AA157" s="105"/>
      <c r="AB157" s="177"/>
      <c r="AC157" s="104"/>
      <c r="AD157" s="106"/>
      <c r="AE157" s="106"/>
      <c r="AF157" s="106"/>
      <c r="AG157" s="106"/>
      <c r="AH157" s="106"/>
      <c r="AI157" s="106"/>
      <c r="AJ157" s="106"/>
      <c r="AK157" s="106"/>
      <c r="AL157" s="162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</row>
    <row r="158" spans="3:65" s="98" customFormat="1" ht="17.25" customHeight="1">
      <c r="C158" s="143"/>
      <c r="D158" s="143"/>
      <c r="E158" s="143"/>
      <c r="F158" s="143"/>
      <c r="AA158" s="105"/>
      <c r="AB158" s="177"/>
      <c r="AC158" s="104"/>
      <c r="AD158" s="106"/>
      <c r="AE158" s="106"/>
      <c r="AF158" s="106"/>
      <c r="AG158" s="106"/>
      <c r="AH158" s="106"/>
      <c r="AI158" s="106"/>
      <c r="AJ158" s="106"/>
      <c r="AK158" s="106"/>
      <c r="AL158" s="162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</row>
    <row r="159" spans="3:65" s="98" customFormat="1" ht="17.25" customHeight="1">
      <c r="C159" s="143"/>
      <c r="D159" s="143"/>
      <c r="E159" s="143"/>
      <c r="F159" s="143"/>
      <c r="AA159" s="105"/>
      <c r="AB159" s="177"/>
      <c r="AC159" s="104"/>
      <c r="AD159" s="106"/>
      <c r="AE159" s="106"/>
      <c r="AF159" s="106"/>
      <c r="AG159" s="106"/>
      <c r="AH159" s="106"/>
      <c r="AI159" s="106"/>
      <c r="AJ159" s="106"/>
      <c r="AK159" s="106"/>
      <c r="AL159" s="162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</row>
    <row r="160" spans="3:65" s="98" customFormat="1" ht="17.25" customHeight="1">
      <c r="C160" s="143"/>
      <c r="D160" s="143"/>
      <c r="E160" s="143"/>
      <c r="F160" s="143"/>
      <c r="AA160" s="105"/>
      <c r="AB160" s="177"/>
      <c r="AC160" s="104"/>
      <c r="AD160" s="106"/>
      <c r="AE160" s="106"/>
      <c r="AF160" s="106"/>
      <c r="AG160" s="106"/>
      <c r="AH160" s="106"/>
      <c r="AI160" s="106"/>
      <c r="AJ160" s="106"/>
      <c r="AK160" s="106"/>
      <c r="AL160" s="162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</row>
    <row r="161" spans="3:65" s="98" customFormat="1" ht="17.25" customHeight="1">
      <c r="C161" s="143"/>
      <c r="D161" s="143"/>
      <c r="E161" s="143"/>
      <c r="F161" s="143"/>
      <c r="AA161" s="105"/>
      <c r="AB161" s="177"/>
      <c r="AC161" s="104"/>
      <c r="AD161" s="106"/>
      <c r="AE161" s="106"/>
      <c r="AF161" s="106"/>
      <c r="AG161" s="106"/>
      <c r="AH161" s="106"/>
      <c r="AI161" s="106"/>
      <c r="AJ161" s="106"/>
      <c r="AK161" s="106"/>
      <c r="AL161" s="162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</row>
    <row r="162" spans="3:65" s="98" customFormat="1" ht="17.25" customHeight="1">
      <c r="C162" s="143"/>
      <c r="D162" s="143"/>
      <c r="E162" s="143"/>
      <c r="F162" s="143"/>
      <c r="AA162" s="105"/>
      <c r="AB162" s="177"/>
      <c r="AC162" s="104"/>
      <c r="AD162" s="106"/>
      <c r="AE162" s="106"/>
      <c r="AF162" s="106"/>
      <c r="AG162" s="106"/>
      <c r="AH162" s="106"/>
      <c r="AI162" s="106"/>
      <c r="AJ162" s="106"/>
      <c r="AK162" s="106"/>
      <c r="AL162" s="162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</row>
    <row r="163" spans="3:65" s="98" customFormat="1" ht="17.25" customHeight="1">
      <c r="C163" s="143"/>
      <c r="D163" s="143"/>
      <c r="E163" s="143"/>
      <c r="F163" s="143"/>
      <c r="AA163" s="105"/>
      <c r="AB163" s="177"/>
      <c r="AC163" s="104"/>
      <c r="AD163" s="106"/>
      <c r="AE163" s="106"/>
      <c r="AF163" s="106"/>
      <c r="AG163" s="106"/>
      <c r="AH163" s="106"/>
      <c r="AI163" s="106"/>
      <c r="AJ163" s="106"/>
      <c r="AK163" s="106"/>
      <c r="AL163" s="162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</row>
    <row r="164" spans="3:65" s="98" customFormat="1" ht="17.25" customHeight="1">
      <c r="C164" s="143"/>
      <c r="D164" s="143"/>
      <c r="E164" s="143"/>
      <c r="F164" s="143"/>
      <c r="AA164" s="105"/>
      <c r="AB164" s="177"/>
      <c r="AC164" s="104"/>
      <c r="AD164" s="106"/>
      <c r="AE164" s="106"/>
      <c r="AF164" s="106"/>
      <c r="AG164" s="106"/>
      <c r="AH164" s="106"/>
      <c r="AI164" s="106"/>
      <c r="AJ164" s="106"/>
      <c r="AK164" s="106"/>
      <c r="AL164" s="162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</row>
    <row r="165" spans="3:65" s="98" customFormat="1" ht="17.25" customHeight="1">
      <c r="C165" s="143"/>
      <c r="D165" s="143"/>
      <c r="E165" s="143"/>
      <c r="F165" s="143"/>
      <c r="AA165" s="105"/>
      <c r="AB165" s="177"/>
      <c r="AC165" s="104"/>
      <c r="AD165" s="106"/>
      <c r="AE165" s="106"/>
      <c r="AF165" s="106"/>
      <c r="AG165" s="106"/>
      <c r="AH165" s="106"/>
      <c r="AI165" s="106"/>
      <c r="AJ165" s="106"/>
      <c r="AK165" s="106"/>
      <c r="AL165" s="162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</row>
    <row r="166" spans="3:65" s="98" customFormat="1" ht="17.25" customHeight="1">
      <c r="C166" s="143"/>
      <c r="D166" s="143"/>
      <c r="E166" s="143"/>
      <c r="F166" s="143"/>
      <c r="AA166" s="105"/>
      <c r="AB166" s="177"/>
      <c r="AC166" s="104"/>
      <c r="AD166" s="106"/>
      <c r="AE166" s="106"/>
      <c r="AF166" s="106"/>
      <c r="AG166" s="106"/>
      <c r="AH166" s="106"/>
      <c r="AI166" s="106"/>
      <c r="AJ166" s="106"/>
      <c r="AK166" s="106"/>
      <c r="AL166" s="162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</row>
    <row r="167" spans="3:65" s="98" customFormat="1" ht="17.25" customHeight="1">
      <c r="C167" s="143"/>
      <c r="D167" s="143"/>
      <c r="E167" s="143"/>
      <c r="F167" s="143"/>
      <c r="AA167" s="105"/>
      <c r="AB167" s="177"/>
      <c r="AC167" s="104"/>
      <c r="AD167" s="106"/>
      <c r="AE167" s="106"/>
      <c r="AF167" s="106"/>
      <c r="AG167" s="106"/>
      <c r="AH167" s="106"/>
      <c r="AI167" s="106"/>
      <c r="AJ167" s="106"/>
      <c r="AK167" s="106"/>
      <c r="AL167" s="162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</row>
    <row r="168" spans="3:65" s="98" customFormat="1" ht="17.25" customHeight="1">
      <c r="C168" s="143"/>
      <c r="D168" s="143"/>
      <c r="E168" s="143"/>
      <c r="F168" s="143"/>
      <c r="AA168" s="105"/>
      <c r="AB168" s="177"/>
      <c r="AC168" s="104"/>
      <c r="AD168" s="106"/>
      <c r="AE168" s="106"/>
      <c r="AF168" s="106"/>
      <c r="AG168" s="106"/>
      <c r="AH168" s="106"/>
      <c r="AI168" s="106"/>
      <c r="AJ168" s="106"/>
      <c r="AK168" s="106"/>
      <c r="AL168" s="162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</row>
    <row r="169" spans="3:65" s="98" customFormat="1" ht="17.25" customHeight="1">
      <c r="C169" s="143"/>
      <c r="D169" s="143"/>
      <c r="E169" s="143"/>
      <c r="F169" s="143"/>
      <c r="AA169" s="105"/>
      <c r="AB169" s="177"/>
      <c r="AC169" s="104"/>
      <c r="AD169" s="106"/>
      <c r="AE169" s="106"/>
      <c r="AF169" s="106"/>
      <c r="AG169" s="106"/>
      <c r="AH169" s="106"/>
      <c r="AI169" s="106"/>
      <c r="AJ169" s="106"/>
      <c r="AK169" s="106"/>
      <c r="AL169" s="162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</row>
    <row r="170" spans="3:65" s="98" customFormat="1" ht="17.25" customHeight="1">
      <c r="C170" s="143"/>
      <c r="D170" s="143"/>
      <c r="E170" s="143"/>
      <c r="F170" s="143"/>
      <c r="AA170" s="105"/>
      <c r="AB170" s="177"/>
      <c r="AC170" s="104"/>
      <c r="AD170" s="106"/>
      <c r="AE170" s="106"/>
      <c r="AF170" s="106"/>
      <c r="AG170" s="106"/>
      <c r="AH170" s="106"/>
      <c r="AI170" s="106"/>
      <c r="AJ170" s="106"/>
      <c r="AK170" s="106"/>
      <c r="AL170" s="162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</row>
    <row r="171" spans="3:65" s="98" customFormat="1" ht="17.25" customHeight="1">
      <c r="C171" s="143"/>
      <c r="D171" s="143"/>
      <c r="E171" s="143"/>
      <c r="F171" s="143"/>
      <c r="AA171" s="105"/>
      <c r="AB171" s="177"/>
      <c r="AC171" s="104"/>
      <c r="AD171" s="106"/>
      <c r="AE171" s="106"/>
      <c r="AF171" s="106"/>
      <c r="AG171" s="106"/>
      <c r="AH171" s="106"/>
      <c r="AI171" s="106"/>
      <c r="AJ171" s="106"/>
      <c r="AK171" s="106"/>
      <c r="AL171" s="162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</row>
    <row r="172" spans="3:65" s="98" customFormat="1" ht="17.25" customHeight="1">
      <c r="C172" s="143"/>
      <c r="D172" s="143"/>
      <c r="E172" s="143"/>
      <c r="F172" s="143"/>
      <c r="AA172" s="105"/>
      <c r="AB172" s="177"/>
      <c r="AC172" s="104"/>
      <c r="AD172" s="106"/>
      <c r="AE172" s="106"/>
      <c r="AF172" s="106"/>
      <c r="AG172" s="106"/>
      <c r="AH172" s="106"/>
      <c r="AI172" s="106"/>
      <c r="AJ172" s="106"/>
      <c r="AK172" s="106"/>
      <c r="AL172" s="162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</row>
    <row r="173" spans="3:65" s="98" customFormat="1" ht="17.25" customHeight="1">
      <c r="C173" s="143"/>
      <c r="D173" s="143"/>
      <c r="E173" s="143"/>
      <c r="F173" s="143"/>
      <c r="AA173" s="105"/>
      <c r="AB173" s="177"/>
      <c r="AC173" s="104"/>
      <c r="AD173" s="106"/>
      <c r="AE173" s="106"/>
      <c r="AF173" s="106"/>
      <c r="AG173" s="106"/>
      <c r="AH173" s="106"/>
      <c r="AI173" s="106"/>
      <c r="AJ173" s="106"/>
      <c r="AK173" s="106"/>
      <c r="AL173" s="162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</row>
    <row r="174" spans="3:65" s="98" customFormat="1" ht="17.25" customHeight="1">
      <c r="C174" s="143"/>
      <c r="D174" s="143"/>
      <c r="E174" s="143"/>
      <c r="F174" s="143"/>
      <c r="AA174" s="105"/>
      <c r="AB174" s="177"/>
      <c r="AC174" s="104"/>
      <c r="AD174" s="106"/>
      <c r="AE174" s="106"/>
      <c r="AF174" s="106"/>
      <c r="AG174" s="106"/>
      <c r="AH174" s="106"/>
      <c r="AI174" s="106"/>
      <c r="AJ174" s="106"/>
      <c r="AK174" s="106"/>
      <c r="AL174" s="162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</row>
    <row r="175" spans="3:65" s="98" customFormat="1" ht="17.25" customHeight="1">
      <c r="C175" s="143"/>
      <c r="D175" s="143"/>
      <c r="E175" s="143"/>
      <c r="F175" s="143"/>
      <c r="AA175" s="105"/>
      <c r="AB175" s="177"/>
      <c r="AC175" s="104"/>
      <c r="AD175" s="106"/>
      <c r="AE175" s="106"/>
      <c r="AF175" s="106"/>
      <c r="AG175" s="106"/>
      <c r="AH175" s="106"/>
      <c r="AI175" s="106"/>
      <c r="AJ175" s="106"/>
      <c r="AK175" s="106"/>
      <c r="AL175" s="162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</row>
    <row r="176" spans="3:65" s="98" customFormat="1" ht="17.25" customHeight="1">
      <c r="C176" s="143"/>
      <c r="D176" s="143"/>
      <c r="E176" s="143"/>
      <c r="F176" s="143"/>
      <c r="AA176" s="105"/>
      <c r="AB176" s="177"/>
      <c r="AC176" s="104"/>
      <c r="AD176" s="106"/>
      <c r="AE176" s="106"/>
      <c r="AF176" s="106"/>
      <c r="AG176" s="106"/>
      <c r="AH176" s="106"/>
      <c r="AI176" s="106"/>
      <c r="AJ176" s="106"/>
      <c r="AK176" s="106"/>
      <c r="AL176" s="162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</row>
    <row r="177" spans="3:65" s="98" customFormat="1" ht="17.25" customHeight="1">
      <c r="C177" s="143"/>
      <c r="D177" s="143"/>
      <c r="E177" s="143"/>
      <c r="F177" s="143"/>
      <c r="AA177" s="105"/>
      <c r="AB177" s="177"/>
      <c r="AC177" s="104"/>
      <c r="AD177" s="106"/>
      <c r="AE177" s="106"/>
      <c r="AF177" s="106"/>
      <c r="AG177" s="106"/>
      <c r="AH177" s="106"/>
      <c r="AI177" s="106"/>
      <c r="AJ177" s="106"/>
      <c r="AK177" s="106"/>
      <c r="AL177" s="162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</row>
    <row r="178" spans="3:65" s="98" customFormat="1" ht="17.25" customHeight="1">
      <c r="C178" s="143"/>
      <c r="D178" s="143"/>
      <c r="E178" s="143"/>
      <c r="F178" s="143"/>
      <c r="AA178" s="105"/>
      <c r="AB178" s="177"/>
      <c r="AC178" s="104"/>
      <c r="AD178" s="106"/>
      <c r="AE178" s="106"/>
      <c r="AF178" s="106"/>
      <c r="AG178" s="106"/>
      <c r="AH178" s="106"/>
      <c r="AI178" s="106"/>
      <c r="AJ178" s="106"/>
      <c r="AK178" s="106"/>
      <c r="AL178" s="162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</row>
    <row r="179" spans="3:65" s="98" customFormat="1" ht="17.25" customHeight="1">
      <c r="C179" s="143"/>
      <c r="D179" s="143"/>
      <c r="E179" s="143"/>
      <c r="F179" s="143"/>
      <c r="AA179" s="105"/>
      <c r="AB179" s="177"/>
      <c r="AC179" s="104"/>
      <c r="AD179" s="106"/>
      <c r="AE179" s="106"/>
      <c r="AF179" s="106"/>
      <c r="AG179" s="106"/>
      <c r="AH179" s="106"/>
      <c r="AI179" s="106"/>
      <c r="AJ179" s="106"/>
      <c r="AK179" s="106"/>
      <c r="AL179" s="162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</row>
    <row r="180" spans="3:65" s="98" customFormat="1" ht="17.25" customHeight="1">
      <c r="C180" s="143"/>
      <c r="D180" s="143"/>
      <c r="E180" s="143"/>
      <c r="F180" s="143"/>
      <c r="AA180" s="105"/>
      <c r="AB180" s="177"/>
      <c r="AC180" s="104"/>
      <c r="AD180" s="106"/>
      <c r="AE180" s="106"/>
      <c r="AF180" s="106"/>
      <c r="AG180" s="106"/>
      <c r="AH180" s="106"/>
      <c r="AI180" s="106"/>
      <c r="AJ180" s="106"/>
      <c r="AK180" s="106"/>
      <c r="AL180" s="162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</row>
    <row r="181" spans="3:65" s="98" customFormat="1" ht="17.25" customHeight="1">
      <c r="C181" s="143"/>
      <c r="D181" s="143"/>
      <c r="E181" s="143"/>
      <c r="F181" s="143"/>
      <c r="AA181" s="105"/>
      <c r="AB181" s="177"/>
      <c r="AC181" s="104"/>
      <c r="AD181" s="106"/>
      <c r="AE181" s="106"/>
      <c r="AF181" s="106"/>
      <c r="AG181" s="106"/>
      <c r="AH181" s="106"/>
      <c r="AI181" s="106"/>
      <c r="AJ181" s="106"/>
      <c r="AK181" s="106"/>
      <c r="AL181" s="162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</row>
    <row r="182" spans="3:65" s="98" customFormat="1" ht="17.25" customHeight="1">
      <c r="C182" s="143"/>
      <c r="D182" s="143"/>
      <c r="E182" s="143"/>
      <c r="F182" s="143"/>
      <c r="AA182" s="105"/>
      <c r="AB182" s="177"/>
      <c r="AC182" s="104"/>
      <c r="AD182" s="106"/>
      <c r="AE182" s="106"/>
      <c r="AF182" s="106"/>
      <c r="AG182" s="106"/>
      <c r="AH182" s="106"/>
      <c r="AI182" s="106"/>
      <c r="AJ182" s="106"/>
      <c r="AK182" s="106"/>
      <c r="AL182" s="162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</row>
    <row r="183" spans="3:65" s="98" customFormat="1" ht="17.25" customHeight="1">
      <c r="C183" s="143"/>
      <c r="D183" s="143"/>
      <c r="E183" s="143"/>
      <c r="F183" s="143"/>
      <c r="AA183" s="105"/>
      <c r="AB183" s="177"/>
      <c r="AC183" s="104"/>
      <c r="AD183" s="106"/>
      <c r="AE183" s="106"/>
      <c r="AF183" s="106"/>
      <c r="AG183" s="106"/>
      <c r="AH183" s="106"/>
      <c r="AI183" s="106"/>
      <c r="AJ183" s="106"/>
      <c r="AK183" s="106"/>
      <c r="AL183" s="162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</row>
    <row r="184" spans="3:65" s="98" customFormat="1" ht="17.25" customHeight="1">
      <c r="C184" s="143"/>
      <c r="D184" s="143"/>
      <c r="E184" s="143"/>
      <c r="F184" s="143"/>
      <c r="AA184" s="105"/>
      <c r="AB184" s="177"/>
      <c r="AC184" s="104"/>
      <c r="AD184" s="106"/>
      <c r="AE184" s="106"/>
      <c r="AF184" s="106"/>
      <c r="AG184" s="106"/>
      <c r="AH184" s="106"/>
      <c r="AI184" s="106"/>
      <c r="AJ184" s="106"/>
      <c r="AK184" s="106"/>
      <c r="AL184" s="162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</row>
  </sheetData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03" customWidth="1" outlineLevel="1"/>
    <col min="29" max="29" width="15" style="203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>
      <c r="C1" s="1135" t="s">
        <v>228</v>
      </c>
      <c r="D1" s="1135"/>
      <c r="E1" s="1135"/>
      <c r="F1" s="1135"/>
      <c r="G1" s="1136" t="s">
        <v>229</v>
      </c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AB1" s="15"/>
      <c r="AC1" s="193"/>
      <c r="AD1" s="193"/>
      <c r="AM1" s="30"/>
    </row>
    <row r="2" spans="1:54" s="1" customFormat="1" ht="17.25" customHeight="1">
      <c r="C2" s="1135"/>
      <c r="D2" s="1135"/>
      <c r="E2" s="1135"/>
      <c r="F2" s="1135"/>
      <c r="G2" s="1136"/>
      <c r="H2" s="1136"/>
      <c r="I2" s="1136"/>
      <c r="J2" s="1136"/>
      <c r="K2" s="1136"/>
      <c r="L2" s="1136"/>
      <c r="M2" s="1136"/>
      <c r="N2" s="1136"/>
      <c r="O2" s="1136"/>
      <c r="P2" s="1136"/>
      <c r="Q2" s="1136"/>
      <c r="R2" s="1136"/>
      <c r="S2" s="1136"/>
      <c r="T2" s="1136"/>
      <c r="U2" s="1136"/>
      <c r="V2" s="1136"/>
      <c r="W2" s="1136"/>
      <c r="X2" s="1136"/>
      <c r="Y2" s="1136"/>
      <c r="AB2" s="15"/>
      <c r="AC2" s="193"/>
      <c r="AD2" s="193"/>
      <c r="AM2" s="30"/>
    </row>
    <row r="3" spans="1:54" s="1" customFormat="1" ht="17.25" customHeight="1">
      <c r="C3" s="1135"/>
      <c r="D3" s="1135"/>
      <c r="E3" s="1135"/>
      <c r="F3" s="1135"/>
      <c r="G3" s="1137" t="s">
        <v>233</v>
      </c>
      <c r="H3" s="1137"/>
      <c r="I3" s="1137"/>
      <c r="J3" s="1139" t="s">
        <v>232</v>
      </c>
      <c r="K3" s="1139"/>
      <c r="L3" s="1139"/>
      <c r="AB3" s="15"/>
      <c r="AC3" s="193"/>
      <c r="AD3" s="193"/>
      <c r="AM3" s="30"/>
    </row>
    <row r="4" spans="1:54" s="1" customFormat="1" ht="17.25" customHeight="1">
      <c r="C4" s="1135"/>
      <c r="D4" s="1135"/>
      <c r="E4" s="1135"/>
      <c r="F4" s="1135"/>
      <c r="G4" s="1138"/>
      <c r="H4" s="1138"/>
      <c r="I4" s="1138"/>
      <c r="J4" s="1140"/>
      <c r="K4" s="1140"/>
      <c r="L4" s="1140"/>
      <c r="AB4" s="15"/>
      <c r="AC4" s="193"/>
      <c r="AD4" s="193"/>
      <c r="AM4" s="30"/>
    </row>
    <row r="5" spans="1:54" s="1" customFormat="1" ht="17.25" customHeight="1">
      <c r="C5" s="37"/>
      <c r="D5" s="37"/>
      <c r="E5" s="37"/>
      <c r="F5" s="37"/>
      <c r="G5" s="37"/>
      <c r="AB5" s="15"/>
      <c r="AC5" s="193"/>
      <c r="AD5" s="193"/>
      <c r="AM5" s="30"/>
    </row>
    <row r="6" spans="1:54" s="1" customFormat="1" ht="17.25" customHeight="1">
      <c r="C6" s="37"/>
      <c r="D6" s="37"/>
      <c r="E6" s="37"/>
      <c r="F6" s="37"/>
      <c r="G6" s="37"/>
      <c r="AB6" s="15"/>
      <c r="AC6" s="193"/>
      <c r="AD6" s="193"/>
      <c r="AM6" s="30"/>
    </row>
    <row r="7" spans="1:54" s="1" customFormat="1" ht="17.25" customHeight="1" thickBot="1">
      <c r="A7" s="1" t="s">
        <v>47</v>
      </c>
      <c r="B7" s="1" t="s">
        <v>48</v>
      </c>
      <c r="C7" s="37"/>
      <c r="D7" s="1113" t="s">
        <v>27</v>
      </c>
      <c r="E7" s="1113"/>
      <c r="F7" s="1113"/>
      <c r="G7" s="1113"/>
      <c r="H7" s="1113"/>
      <c r="I7" s="1113"/>
      <c r="J7" s="16"/>
      <c r="O7" s="1114" t="s">
        <v>28</v>
      </c>
      <c r="P7" s="1115"/>
      <c r="Q7" s="1115"/>
      <c r="R7" s="1115"/>
      <c r="S7" s="1115"/>
      <c r="T7" s="1115"/>
      <c r="U7" s="1116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>
      <c r="C8" s="37"/>
      <c r="D8" s="1117" t="s">
        <v>15</v>
      </c>
      <c r="E8" s="1117"/>
      <c r="F8" s="1117"/>
      <c r="G8" s="1118" t="s">
        <v>14</v>
      </c>
      <c r="H8" s="1118"/>
      <c r="I8" s="1118"/>
      <c r="J8" s="1119" t="s">
        <v>35</v>
      </c>
      <c r="K8" s="1119"/>
      <c r="L8" s="1119"/>
      <c r="M8" s="1119"/>
      <c r="N8" s="1119"/>
      <c r="O8" s="1120" t="s">
        <v>29</v>
      </c>
      <c r="P8" s="1121"/>
      <c r="Q8" s="1121"/>
      <c r="R8" s="1122"/>
      <c r="S8" s="1123" t="s">
        <v>30</v>
      </c>
      <c r="T8" s="1124"/>
      <c r="U8" s="1125"/>
      <c r="V8" s="1119" t="s">
        <v>35</v>
      </c>
      <c r="W8" s="1119"/>
      <c r="X8" s="1119"/>
      <c r="Y8" s="1119"/>
      <c r="Z8" s="1119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>
      <c r="C9" s="37"/>
      <c r="D9" s="1126" t="s">
        <v>79</v>
      </c>
      <c r="E9" s="1127"/>
      <c r="F9" s="1127"/>
      <c r="G9" s="1118" cm="1">
        <f t="array" ref="G9">heureConvert2Decimal(D9)</f>
        <v>11.983333333333333</v>
      </c>
      <c r="H9" s="1118"/>
      <c r="I9" s="1118"/>
      <c r="J9" s="1128" t="str" cm="1">
        <f t="array" ref="J9">heureDecimal2Txt(G9)</f>
        <v>11:59:00.00(11.9833)</v>
      </c>
      <c r="K9" s="1128"/>
      <c r="L9" s="1128"/>
      <c r="M9" s="1128"/>
      <c r="N9" s="1128"/>
      <c r="O9" s="1100" t="s">
        <v>430</v>
      </c>
      <c r="P9" s="1101"/>
      <c r="Q9" s="1101"/>
      <c r="R9" s="1102"/>
      <c r="S9" s="1129" cm="1">
        <f t="array" ref="S9">angleConvert2Decimal(O9)</f>
        <v>0.46666666666666667</v>
      </c>
      <c r="T9" s="1130"/>
      <c r="U9" s="1131"/>
      <c r="V9" s="1128" t="str" cm="1">
        <f t="array" ref="V9">angleDecimal2Txt(S9)</f>
        <v>+00°28.00 (+00.4666) [+00°28'00.00]</v>
      </c>
      <c r="W9" s="1128"/>
      <c r="X9" s="1128"/>
      <c r="Y9" s="1128"/>
      <c r="Z9" s="1128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>
      <c r="C10" s="37"/>
      <c r="D10" s="1127"/>
      <c r="E10" s="1127"/>
      <c r="F10" s="1127"/>
      <c r="G10" s="1118"/>
      <c r="H10" s="1118"/>
      <c r="I10" s="1118"/>
      <c r="J10" s="1128"/>
      <c r="K10" s="1128"/>
      <c r="L10" s="1128"/>
      <c r="M10" s="1128"/>
      <c r="N10" s="1128"/>
      <c r="O10" s="1103"/>
      <c r="P10" s="1104"/>
      <c r="Q10" s="1104"/>
      <c r="R10" s="1105"/>
      <c r="S10" s="1132"/>
      <c r="T10" s="1133"/>
      <c r="U10" s="1134"/>
      <c r="V10" s="1128"/>
      <c r="W10" s="1128"/>
      <c r="X10" s="1128"/>
      <c r="Y10" s="1128"/>
      <c r="Z10" s="1128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>
      <c r="C11" s="37"/>
      <c r="D11" s="1126"/>
      <c r="E11" s="1127"/>
      <c r="F11" s="1127"/>
      <c r="G11" s="1118">
        <v>11.9</v>
      </c>
      <c r="H11" s="1118"/>
      <c r="I11" s="1118"/>
      <c r="J11" s="1128" t="str" cm="1">
        <f t="array" ref="J11">heureDecimal2Txt(G11)</f>
        <v>11:54:00.00(11.9000)</v>
      </c>
      <c r="K11" s="1128"/>
      <c r="L11" s="1128"/>
      <c r="M11" s="1128"/>
      <c r="N11" s="1128"/>
      <c r="O11" s="1100"/>
      <c r="P11" s="1101"/>
      <c r="Q11" s="1101"/>
      <c r="R11" s="1102"/>
      <c r="S11" s="1129">
        <f>S9-59.2166667</f>
        <v>-58.750000033333329</v>
      </c>
      <c r="T11" s="1130"/>
      <c r="U11" s="1131"/>
      <c r="V11" s="1128" t="str" cm="1">
        <f t="array" ref="V11">angleDecimal2Txt(S11)</f>
        <v>-58°45.00 (-58.7500) [-58°45'00.00]</v>
      </c>
      <c r="W11" s="1128"/>
      <c r="X11" s="1128"/>
      <c r="Y11" s="1128"/>
      <c r="Z11" s="1128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>
      <c r="C12" s="37"/>
      <c r="D12" s="1127"/>
      <c r="E12" s="1127"/>
      <c r="F12" s="1127"/>
      <c r="G12" s="1118"/>
      <c r="H12" s="1118"/>
      <c r="I12" s="1118"/>
      <c r="J12" s="1128"/>
      <c r="K12" s="1128"/>
      <c r="L12" s="1128"/>
      <c r="M12" s="1128"/>
      <c r="N12" s="1128"/>
      <c r="O12" s="1103"/>
      <c r="P12" s="1104"/>
      <c r="Q12" s="1104"/>
      <c r="R12" s="1105"/>
      <c r="S12" s="1132"/>
      <c r="T12" s="1133"/>
      <c r="U12" s="1134"/>
      <c r="V12" s="1128"/>
      <c r="W12" s="1128"/>
      <c r="X12" s="1128"/>
      <c r="Y12" s="1128"/>
      <c r="Z12" s="1128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>
      <c r="C14" s="37"/>
      <c r="D14" s="1110" t="s">
        <v>41</v>
      </c>
      <c r="E14" s="1111"/>
      <c r="F14" s="1112"/>
      <c r="G14" s="16"/>
      <c r="H14" s="16"/>
      <c r="I14" s="1110" t="s">
        <v>141</v>
      </c>
      <c r="J14" s="1111"/>
      <c r="K14" s="1112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74" t="s">
        <v>151</v>
      </c>
      <c r="X14" s="1074"/>
      <c r="Y14" s="194" t="s">
        <v>9</v>
      </c>
      <c r="Z14" s="194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74" t="s">
        <v>152</v>
      </c>
      <c r="X15" s="1074"/>
      <c r="Y15" s="194" t="s">
        <v>153</v>
      </c>
      <c r="Z15" s="194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106" t="s">
        <v>157</v>
      </c>
      <c r="X16" s="1106"/>
      <c r="Y16" s="195" t="s">
        <v>156</v>
      </c>
      <c r="Z16" s="195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74" t="s">
        <v>154</v>
      </c>
      <c r="X17" s="1107"/>
      <c r="Y17" s="196"/>
      <c r="Z17" s="197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74" t="s">
        <v>155</v>
      </c>
      <c r="X18" s="1107"/>
      <c r="Y18" s="198"/>
      <c r="Z18" s="199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74" t="s">
        <v>160</v>
      </c>
      <c r="X19" s="1074"/>
      <c r="Y19" s="200" t="s">
        <v>158</v>
      </c>
      <c r="Z19" s="200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74" t="s">
        <v>159</v>
      </c>
      <c r="X20" s="1107"/>
      <c r="Y20" s="196"/>
      <c r="Z20" s="197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74" t="s">
        <v>161</v>
      </c>
      <c r="X21" s="1107"/>
      <c r="Y21" s="198"/>
      <c r="Z21" s="199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>
      <c r="B22" s="201" t="s">
        <v>164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74" t="s">
        <v>162</v>
      </c>
      <c r="X22" s="1074"/>
      <c r="Y22" s="1143" t="s">
        <v>163</v>
      </c>
      <c r="Z22" s="1143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142"/>
      <c r="X23" s="1142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>
      <c r="B31" s="10" t="s">
        <v>140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>
      <c r="C32" s="16"/>
      <c r="AA32" s="15"/>
      <c r="AB32" s="206" t="s">
        <v>390</v>
      </c>
      <c r="AC32" s="206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>
      <c r="C33" s="1089" t="s">
        <v>142</v>
      </c>
      <c r="D33" s="1108" t="s">
        <v>49</v>
      </c>
      <c r="E33" s="1061" cm="1">
        <f t="array" ref="E33">angleConvert2Decimal(I33)*VLOOKUP(H33,$D$16:$F$17,3)</f>
        <v>49.1</v>
      </c>
      <c r="F33" s="1061"/>
      <c r="G33" s="1062"/>
      <c r="H33" s="1065" t="s">
        <v>3</v>
      </c>
      <c r="I33" s="1067">
        <v>49.1</v>
      </c>
      <c r="J33" s="1068"/>
      <c r="K33" s="1068"/>
      <c r="L33" s="1068"/>
      <c r="M33" s="1069"/>
      <c r="N33" s="1058" t="str" cm="1">
        <f t="array" ref="N33">angleDecimal2Txt(E33)</f>
        <v>+49°06.00 (+49.1000) [+49°06'00.00]</v>
      </c>
      <c r="O33" s="1058"/>
      <c r="P33" s="1058"/>
      <c r="Q33" s="1058"/>
      <c r="R33" s="1058"/>
      <c r="S33" s="1058"/>
      <c r="T33" s="1058"/>
      <c r="U33" s="1058"/>
      <c r="V33" s="1058"/>
      <c r="W33" s="1059"/>
      <c r="AA33" s="15"/>
      <c r="AB33" s="206" t="s">
        <v>391</v>
      </c>
      <c r="AC33" s="206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>
      <c r="C34" s="1090"/>
      <c r="D34" s="1109"/>
      <c r="E34" s="1063"/>
      <c r="F34" s="1063"/>
      <c r="G34" s="1064"/>
      <c r="H34" s="1066"/>
      <c r="I34" s="1070"/>
      <c r="J34" s="1071"/>
      <c r="K34" s="1071"/>
      <c r="L34" s="1071"/>
      <c r="M34" s="1072"/>
      <c r="N34" s="1056"/>
      <c r="O34" s="1056"/>
      <c r="P34" s="1056"/>
      <c r="Q34" s="1056"/>
      <c r="R34" s="1056"/>
      <c r="S34" s="1056"/>
      <c r="T34" s="1056"/>
      <c r="U34" s="1056"/>
      <c r="V34" s="1056"/>
      <c r="W34" s="1057"/>
      <c r="X34" s="1" t="s">
        <v>398</v>
      </c>
      <c r="AA34" s="15"/>
      <c r="AB34" s="205" t="s">
        <v>386</v>
      </c>
      <c r="AC34" s="16"/>
      <c r="AD34" s="192" t="s">
        <v>71</v>
      </c>
      <c r="AE34" s="192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>
      <c r="C35" s="1090"/>
      <c r="D35" s="1077" t="s">
        <v>50</v>
      </c>
      <c r="E35" s="1061" cm="1">
        <f t="array" ref="E35">angleConvert2Decimal(I35)*VLOOKUP(H35,$E$16:$F$17,2)</f>
        <v>2.5</v>
      </c>
      <c r="F35" s="1061"/>
      <c r="G35" s="1062"/>
      <c r="H35" s="1079" t="s">
        <v>5</v>
      </c>
      <c r="I35" s="1081">
        <v>2.5</v>
      </c>
      <c r="J35" s="1082"/>
      <c r="K35" s="1082"/>
      <c r="L35" s="1082"/>
      <c r="M35" s="1083"/>
      <c r="N35" s="1058" t="str" cm="1">
        <f t="array" ref="N35">angleDecimal2Txt(E35)</f>
        <v>+02°30.00 (+02.5000) [+02°30'00.00]</v>
      </c>
      <c r="O35" s="1058"/>
      <c r="P35" s="1058"/>
      <c r="Q35" s="1058"/>
      <c r="R35" s="1058"/>
      <c r="S35" s="1058"/>
      <c r="T35" s="1058"/>
      <c r="U35" s="1058"/>
      <c r="V35" s="1058"/>
      <c r="W35" s="1059"/>
      <c r="AA35" s="15"/>
      <c r="AB35" s="16"/>
      <c r="AC35" s="210" t="s">
        <v>387</v>
      </c>
      <c r="AD35" s="211">
        <f>$E$41-$E$35</f>
        <v>136.6</v>
      </c>
      <c r="AE35" s="192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>
      <c r="C36" s="1091"/>
      <c r="D36" s="1078"/>
      <c r="E36" s="1063"/>
      <c r="F36" s="1063"/>
      <c r="G36" s="1064"/>
      <c r="H36" s="1080"/>
      <c r="I36" s="1084"/>
      <c r="J36" s="1085"/>
      <c r="K36" s="1085"/>
      <c r="L36" s="1085"/>
      <c r="M36" s="1086"/>
      <c r="N36" s="1056"/>
      <c r="O36" s="1056"/>
      <c r="P36" s="1056"/>
      <c r="Q36" s="1056"/>
      <c r="R36" s="1056"/>
      <c r="S36" s="1056"/>
      <c r="T36" s="1056"/>
      <c r="U36" s="1056"/>
      <c r="V36" s="1056"/>
      <c r="W36" s="1057"/>
      <c r="Z36"/>
      <c r="AA36" s="219"/>
      <c r="AB36" s="16"/>
      <c r="AC36" s="210" t="s">
        <v>388</v>
      </c>
      <c r="AD36" s="211">
        <f>$E$39-$E$33</f>
        <v>-0.10000000000000142</v>
      </c>
      <c r="AE36" s="192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19"/>
      <c r="AB37" s="16"/>
      <c r="AC37" s="210" t="s">
        <v>389</v>
      </c>
      <c r="AD37" s="210">
        <f>(E39+E33)/2</f>
        <v>49.05</v>
      </c>
      <c r="AE37" s="192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>
      <c r="C38" s="16"/>
      <c r="Y38" s="16"/>
      <c r="Z38"/>
      <c r="AA38" s="219"/>
      <c r="AB38" s="16"/>
      <c r="AC38" s="210" t="s">
        <v>408</v>
      </c>
      <c r="AD38" s="210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>
      <c r="C39" s="1089" t="s">
        <v>19</v>
      </c>
      <c r="D39" s="1108" t="s">
        <v>49</v>
      </c>
      <c r="E39" s="1061" cm="1">
        <f t="array" ref="E39">angleConvert2Decimal(I39)</f>
        <v>49</v>
      </c>
      <c r="F39" s="1061"/>
      <c r="G39" s="1062"/>
      <c r="H39" s="1065" t="s">
        <v>3</v>
      </c>
      <c r="I39" s="1067">
        <v>49</v>
      </c>
      <c r="J39" s="1068"/>
      <c r="K39" s="1068"/>
      <c r="L39" s="1068"/>
      <c r="M39" s="1069"/>
      <c r="N39" s="1058" t="str" cm="1">
        <f t="array" ref="N39">angleDecimal2Txt(E39)</f>
        <v>+49°00.00 (+49.0000) [+49°00'00.00]</v>
      </c>
      <c r="O39" s="1058"/>
      <c r="P39" s="1058"/>
      <c r="Q39" s="1058"/>
      <c r="R39" s="1058"/>
      <c r="S39" s="1058"/>
      <c r="T39" s="1058"/>
      <c r="U39" s="1058"/>
      <c r="V39" s="1058"/>
      <c r="W39" s="1059"/>
      <c r="Y39" s="16"/>
      <c r="Z39"/>
      <c r="AA39" s="219"/>
      <c r="AB39" s="16"/>
      <c r="AC39" s="207" t="s">
        <v>399</v>
      </c>
      <c r="AD39" s="207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>
      <c r="C40" s="1090"/>
      <c r="D40" s="1109"/>
      <c r="E40" s="1063"/>
      <c r="F40" s="1063"/>
      <c r="G40" s="1064"/>
      <c r="H40" s="1066"/>
      <c r="I40" s="1070"/>
      <c r="J40" s="1071"/>
      <c r="K40" s="1071"/>
      <c r="L40" s="1071"/>
      <c r="M40" s="1072"/>
      <c r="N40" s="1056"/>
      <c r="O40" s="1056"/>
      <c r="P40" s="1056"/>
      <c r="Q40" s="1056"/>
      <c r="R40" s="1056"/>
      <c r="S40" s="1056"/>
      <c r="T40" s="1056"/>
      <c r="U40" s="1056"/>
      <c r="V40" s="1056"/>
      <c r="W40" s="1057"/>
      <c r="X40" s="1" t="s">
        <v>397</v>
      </c>
      <c r="Y40" s="16"/>
      <c r="Z40"/>
      <c r="AA40" s="219"/>
      <c r="AB40" s="16"/>
      <c r="AC40" s="207" t="s">
        <v>400</v>
      </c>
      <c r="AD40" s="207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>
      <c r="C41" s="1090"/>
      <c r="D41" s="1077" t="s">
        <v>50</v>
      </c>
      <c r="E41" s="1061" cm="1">
        <f t="array" ref="E41">angleConvert2Decimal(I41)*VLOOKUP(H41,$E$16:$F$17,2)</f>
        <v>139.1</v>
      </c>
      <c r="F41" s="1061"/>
      <c r="G41" s="1062"/>
      <c r="H41" s="1079" t="s">
        <v>5</v>
      </c>
      <c r="I41" s="1081">
        <v>139.1</v>
      </c>
      <c r="J41" s="1082"/>
      <c r="K41" s="1082"/>
      <c r="L41" s="1082"/>
      <c r="M41" s="1083"/>
      <c r="N41" s="1058" t="str" cm="1">
        <f t="array" ref="N41">angleDecimal2Txt(E41)</f>
        <v>+139°06.00 (+139.0999) [+139°06'00.00]</v>
      </c>
      <c r="O41" s="1058"/>
      <c r="P41" s="1058"/>
      <c r="Q41" s="1058"/>
      <c r="R41" s="1058"/>
      <c r="S41" s="1058"/>
      <c r="T41" s="1058"/>
      <c r="U41" s="1058"/>
      <c r="V41" s="1058"/>
      <c r="W41" s="1059"/>
      <c r="Y41" s="16"/>
      <c r="Z41"/>
      <c r="AA41" s="219"/>
      <c r="AB41" s="16"/>
      <c r="AC41" s="207" t="s">
        <v>145</v>
      </c>
      <c r="AD41" s="207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>
      <c r="C42" s="1091"/>
      <c r="D42" s="1078"/>
      <c r="E42" s="1063"/>
      <c r="F42" s="1063"/>
      <c r="G42" s="1064"/>
      <c r="H42" s="1080"/>
      <c r="I42" s="1084"/>
      <c r="J42" s="1085"/>
      <c r="K42" s="1085"/>
      <c r="L42" s="1085"/>
      <c r="M42" s="1086"/>
      <c r="N42" s="1056"/>
      <c r="O42" s="1056"/>
      <c r="P42" s="1056"/>
      <c r="Q42" s="1056"/>
      <c r="R42" s="1056"/>
      <c r="S42" s="1056"/>
      <c r="T42" s="1056"/>
      <c r="U42" s="1056"/>
      <c r="V42" s="1056"/>
      <c r="W42" s="1057"/>
      <c r="Y42" s="16"/>
      <c r="Z42"/>
      <c r="AA42" s="219"/>
      <c r="AB42" s="16"/>
      <c r="AC42" s="207" t="s">
        <v>392</v>
      </c>
      <c r="AD42" s="207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>
      <c r="Z43"/>
      <c r="AA43" s="219"/>
      <c r="AB43" s="4" t="s">
        <v>393</v>
      </c>
      <c r="AC43" s="16"/>
      <c r="AE43"/>
      <c r="AF43"/>
      <c r="AG43"/>
    </row>
    <row r="44" spans="2:65">
      <c r="Z44"/>
      <c r="AA44" s="219"/>
      <c r="AB44" s="16"/>
      <c r="AC44" s="214" t="s">
        <v>387</v>
      </c>
      <c r="AD44" s="215">
        <f>$E$41-$E$35</f>
        <v>136.6</v>
      </c>
      <c r="AE44" s="216">
        <f>AD44*AC33</f>
        <v>2.3841197582242541</v>
      </c>
      <c r="AF44"/>
      <c r="AG44"/>
    </row>
    <row r="45" spans="2:65">
      <c r="E45" s="1087" t="s">
        <v>410</v>
      </c>
      <c r="F45" s="1087"/>
      <c r="G45" s="1087"/>
      <c r="H45" s="1087"/>
      <c r="I45" s="1087"/>
      <c r="J45" s="1087"/>
      <c r="K45" s="1087"/>
      <c r="L45" s="1087"/>
      <c r="M45" s="1087"/>
      <c r="N45" s="1087"/>
      <c r="O45" s="1087"/>
      <c r="P45" s="1087"/>
      <c r="Q45" s="1087"/>
      <c r="R45" s="1087"/>
      <c r="S45" s="1087"/>
      <c r="U45" s="1038" t="s">
        <v>143</v>
      </c>
      <c r="V45" s="1039"/>
      <c r="W45" s="1039"/>
      <c r="X45" s="1040"/>
      <c r="AB45" s="16"/>
      <c r="AC45" s="191" t="s">
        <v>388</v>
      </c>
      <c r="AD45" s="211">
        <f>$E$39-$E$33</f>
        <v>-0.10000000000000142</v>
      </c>
      <c r="AE45" s="213" t="s">
        <v>402</v>
      </c>
      <c r="AF45" s="213" t="s">
        <v>403</v>
      </c>
      <c r="AG45" s="213" t="s">
        <v>404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>
      <c r="B46" s="1073" t="s">
        <v>409</v>
      </c>
      <c r="C46" s="1073"/>
      <c r="D46" s="16"/>
      <c r="E46" s="1047" t="str" cm="1">
        <f t="array" ref="E46">angleDecimal2Txt(I46,0)</f>
        <v>+90°00.00</v>
      </c>
      <c r="F46" s="1047"/>
      <c r="G46" s="1047"/>
      <c r="H46" s="1047"/>
      <c r="I46" s="1037">
        <f>IF(OR(AF57,AE55),AD58,AD41)</f>
        <v>90</v>
      </c>
      <c r="J46" s="1037"/>
      <c r="K46" s="1037"/>
      <c r="L46" s="1088" t="str" cm="1">
        <f t="array" ref="L46">angleDecimal2Txt(I46)</f>
        <v>+90°00.00 (+90.0000) [+90°00'00.00]</v>
      </c>
      <c r="M46" s="1088"/>
      <c r="N46" s="1088"/>
      <c r="O46" s="1088"/>
      <c r="P46" s="1088"/>
      <c r="Q46" s="1088"/>
      <c r="R46" s="1088"/>
      <c r="S46" s="1088"/>
      <c r="U46" s="1041">
        <f>IF(OR(AF57,AE55),AD59,AD42)</f>
        <v>5371.6598007930643</v>
      </c>
      <c r="V46" s="1042"/>
      <c r="W46" s="1042"/>
      <c r="X46" s="1043"/>
      <c r="AA46" s="15"/>
      <c r="AB46" s="16"/>
      <c r="AC46" s="191" t="s">
        <v>395</v>
      </c>
      <c r="AD46" s="212">
        <f>AG46</f>
        <v>0.98647087183363136</v>
      </c>
      <c r="AE46" s="213">
        <f>PI()/4 + E33*$AC$33/2</f>
        <v>1.2138764947620562</v>
      </c>
      <c r="AF46" s="213">
        <f>TAN(AE46)</f>
        <v>2.6817535005930826</v>
      </c>
      <c r="AG46" s="213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>
      <c r="B47" s="1073"/>
      <c r="C47" s="1073"/>
      <c r="D47" s="16"/>
      <c r="E47" s="1047"/>
      <c r="F47" s="1047"/>
      <c r="G47" s="1047"/>
      <c r="H47" s="1047"/>
      <c r="I47" s="1037"/>
      <c r="J47" s="1037"/>
      <c r="K47" s="1037"/>
      <c r="L47" s="1088"/>
      <c r="M47" s="1088"/>
      <c r="N47" s="1088"/>
      <c r="O47" s="1088"/>
      <c r="P47" s="1088"/>
      <c r="Q47" s="1088"/>
      <c r="R47" s="1088"/>
      <c r="S47" s="1088"/>
      <c r="U47" s="1044"/>
      <c r="V47" s="1045"/>
      <c r="W47" s="1045"/>
      <c r="X47" s="1046"/>
      <c r="AA47" s="15"/>
      <c r="AB47" s="16"/>
      <c r="AC47" s="191" t="s">
        <v>394</v>
      </c>
      <c r="AD47" s="212">
        <f>AG47</f>
        <v>0.98380787273879144</v>
      </c>
      <c r="AE47" s="213">
        <f>PI()/4 + E39*$AC$33/2</f>
        <v>1.2130038301360591</v>
      </c>
      <c r="AF47" s="213">
        <f>TAN(AE47)</f>
        <v>2.674621493926824</v>
      </c>
      <c r="AG47" s="213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>
      <c r="AB48" s="16"/>
      <c r="AC48" s="191" t="s">
        <v>396</v>
      </c>
      <c r="AD48" s="212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>
      <c r="B49" s="1146" t="s">
        <v>393</v>
      </c>
      <c r="C49" s="1146"/>
      <c r="E49" s="1047" t="str" cm="1">
        <f t="array" ref="E49">angleDecimal2Txt(I49,0)</f>
        <v>+90°03.83</v>
      </c>
      <c r="F49" s="1047"/>
      <c r="G49" s="1047"/>
      <c r="H49" s="1047"/>
      <c r="I49" s="1037">
        <f>AD52</f>
        <v>90.063997852876852</v>
      </c>
      <c r="J49" s="1037"/>
      <c r="K49" s="1037"/>
      <c r="L49" s="1088" t="str" cm="1">
        <f t="array" ref="L49">angleDecimal2Txt(I49)</f>
        <v>+90°03.83 (+90.0639) [+90°03'50.39]</v>
      </c>
      <c r="M49" s="1088"/>
      <c r="N49" s="1088"/>
      <c r="O49" s="1088"/>
      <c r="P49" s="1088"/>
      <c r="Q49" s="1088"/>
      <c r="R49" s="1088"/>
      <c r="S49" s="1088"/>
      <c r="T49" s="1"/>
      <c r="U49" s="1041">
        <f>AD53</f>
        <v>5371.6606590521533</v>
      </c>
      <c r="V49" s="1042"/>
      <c r="W49" s="1042"/>
      <c r="X49" s="1043"/>
      <c r="AB49" s="16"/>
      <c r="AC49" s="210" t="s">
        <v>408</v>
      </c>
      <c r="AD49" s="192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>
      <c r="B50" s="1146"/>
      <c r="C50" s="1146"/>
      <c r="E50" s="1047"/>
      <c r="F50" s="1047"/>
      <c r="G50" s="1047"/>
      <c r="H50" s="1047"/>
      <c r="I50" s="1037"/>
      <c r="J50" s="1037"/>
      <c r="K50" s="1037"/>
      <c r="L50" s="1088"/>
      <c r="M50" s="1088"/>
      <c r="N50" s="1088"/>
      <c r="O50" s="1088"/>
      <c r="P50" s="1088"/>
      <c r="Q50" s="1088"/>
      <c r="R50" s="1088"/>
      <c r="S50" s="1088"/>
      <c r="T50" s="1"/>
      <c r="U50" s="1044"/>
      <c r="V50" s="1045"/>
      <c r="W50" s="1045"/>
      <c r="X50" s="1046"/>
      <c r="AA50" s="15"/>
      <c r="AB50" s="16"/>
      <c r="AC50" s="207" t="s">
        <v>399</v>
      </c>
      <c r="AD50" s="202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>
      <c r="AA51" s="15"/>
      <c r="AB51" s="16"/>
      <c r="AC51" s="207" t="s">
        <v>400</v>
      </c>
      <c r="AD51" s="207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>
      <c r="AB52"/>
      <c r="AC52" s="207" t="s">
        <v>145</v>
      </c>
      <c r="AD52" s="207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>
      <c r="AB53"/>
      <c r="AC53" s="207" t="s">
        <v>392</v>
      </c>
      <c r="AD53" s="207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>
      <c r="AB54" s="205" t="s">
        <v>401</v>
      </c>
      <c r="AC54"/>
      <c r="AD54"/>
      <c r="AE54" t="s">
        <v>406</v>
      </c>
      <c r="AF54" t="s">
        <v>407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>
      <c r="AB55"/>
      <c r="AC55" s="220" t="s">
        <v>405</v>
      </c>
      <c r="AD55" s="218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>
      <c r="AB56"/>
      <c r="AC56" s="220" t="s">
        <v>387</v>
      </c>
      <c r="AD56" s="215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>
      <c r="AB57"/>
      <c r="AC57" s="217" t="s">
        <v>408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>
      <c r="AB58"/>
      <c r="AC58" s="207" t="s">
        <v>145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>
      <c r="E59" s="1087" t="s">
        <v>411</v>
      </c>
      <c r="F59" s="1087"/>
      <c r="G59" s="1087"/>
      <c r="H59" s="1087"/>
      <c r="I59" s="1087"/>
      <c r="J59" s="1087"/>
      <c r="K59" s="1087"/>
      <c r="L59" s="1087"/>
      <c r="M59" s="1087"/>
      <c r="N59" s="1087"/>
      <c r="O59" s="1087"/>
      <c r="P59" s="1087"/>
      <c r="Q59" s="1087"/>
      <c r="R59" s="1087"/>
      <c r="S59" s="1087"/>
      <c r="U59" s="1038" t="s">
        <v>143</v>
      </c>
      <c r="V59" s="1039"/>
      <c r="W59" s="1039"/>
      <c r="X59" s="1040"/>
      <c r="AB59"/>
      <c r="AC59" s="221" t="s">
        <v>392</v>
      </c>
      <c r="AD59" s="221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>
      <c r="B60" s="1073" t="s">
        <v>393</v>
      </c>
      <c r="C60" s="1073"/>
      <c r="E60" s="1047" t="str" cm="1">
        <f t="array" ref="E60">angleDecimal2Txt(I60,0)</f>
        <v>+67°43.11</v>
      </c>
      <c r="F60" s="1047"/>
      <c r="G60" s="1047"/>
      <c r="H60" s="1047"/>
      <c r="I60" s="1037">
        <f>AD66</f>
        <v>67.718563531590618</v>
      </c>
      <c r="J60" s="1037"/>
      <c r="K60" s="1037"/>
      <c r="L60" s="1088" t="str" cm="1">
        <f t="array" ref="L60">angleDecimal2Txt(I60)</f>
        <v>+67°43.11 (+67.7185) [+67°43'06.82]</v>
      </c>
      <c r="M60" s="1088"/>
      <c r="N60" s="1088"/>
      <c r="O60" s="1088"/>
      <c r="P60" s="1088"/>
      <c r="Q60" s="1088"/>
      <c r="R60" s="1088"/>
      <c r="S60" s="1088"/>
      <c r="T60" s="1"/>
      <c r="U60" s="1041">
        <f>AD64</f>
        <v>4501.6667210167871</v>
      </c>
      <c r="V60" s="1042"/>
      <c r="W60" s="1042"/>
      <c r="X60" s="1043"/>
      <c r="AB60" s="205" t="s">
        <v>412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>
      <c r="B61" s="1073"/>
      <c r="C61" s="1073"/>
      <c r="E61" s="1047"/>
      <c r="F61" s="1047"/>
      <c r="G61" s="1047"/>
      <c r="H61" s="1047"/>
      <c r="I61" s="1037"/>
      <c r="J61" s="1037"/>
      <c r="K61" s="1037"/>
      <c r="L61" s="1088"/>
      <c r="M61" s="1088"/>
      <c r="N61" s="1088"/>
      <c r="O61" s="1088"/>
      <c r="P61" s="1088"/>
      <c r="Q61" s="1088"/>
      <c r="R61" s="1088"/>
      <c r="S61" s="1088"/>
      <c r="T61" s="1"/>
      <c r="U61" s="1044"/>
      <c r="V61" s="1045"/>
      <c r="W61" s="1045"/>
      <c r="X61" s="1046"/>
      <c r="AB61"/>
      <c r="AC61" t="s">
        <v>413</v>
      </c>
      <c r="AD61" s="218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>
      <c r="AB62"/>
      <c r="AC62" t="s">
        <v>414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>
      <c r="AB63"/>
      <c r="AC63" s="16" t="s">
        <v>152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>
      <c r="AB64"/>
      <c r="AC64" s="222" t="s">
        <v>416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>
      <c r="AB65"/>
      <c r="AC65" t="s">
        <v>415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>
      <c r="AB66"/>
      <c r="AC66" s="3" t="s">
        <v>417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>
      <c r="B67" s="10" t="s">
        <v>144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08"/>
      <c r="AB67" s="209"/>
      <c r="AC67" s="209"/>
      <c r="AD67" s="208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>
      <c r="C69" s="1089" t="s">
        <v>142</v>
      </c>
      <c r="D69" s="1147" t="s">
        <v>49</v>
      </c>
      <c r="E69" s="1061" cm="1">
        <f t="array" ref="E69">angleConvert2Decimal(I69)*VLOOKUP(H69,D16:F17,3)</f>
        <v>40.016666666666666</v>
      </c>
      <c r="F69" s="1061"/>
      <c r="G69" s="1062"/>
      <c r="H69" s="1065" t="s">
        <v>3</v>
      </c>
      <c r="I69" s="1067" t="s">
        <v>384</v>
      </c>
      <c r="J69" s="1068"/>
      <c r="K69" s="1068"/>
      <c r="L69" s="1068"/>
      <c r="M69" s="1069"/>
      <c r="N69" s="1058" t="str" cm="1">
        <f t="array" ref="N69">angleDecimal2Txt(E69)</f>
        <v>+40°01.00 (+40.0166) [+40°01'00.00]</v>
      </c>
      <c r="O69" s="1058"/>
      <c r="P69" s="1058"/>
      <c r="Q69" s="1058"/>
      <c r="R69" s="1058"/>
      <c r="S69" s="1058"/>
      <c r="T69" s="1058"/>
      <c r="U69" s="1058"/>
      <c r="V69" s="1058"/>
      <c r="W69" s="1059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>
      <c r="C70" s="1090"/>
      <c r="D70" s="1148"/>
      <c r="E70" s="1063"/>
      <c r="F70" s="1063"/>
      <c r="G70" s="1064"/>
      <c r="H70" s="1066"/>
      <c r="I70" s="1070"/>
      <c r="J70" s="1071"/>
      <c r="K70" s="1071"/>
      <c r="L70" s="1071"/>
      <c r="M70" s="1072"/>
      <c r="N70" s="1056"/>
      <c r="O70" s="1056"/>
      <c r="P70" s="1056"/>
      <c r="Q70" s="1056"/>
      <c r="R70" s="1056"/>
      <c r="S70" s="1056"/>
      <c r="T70" s="1056"/>
      <c r="U70" s="1056"/>
      <c r="V70" s="1056"/>
      <c r="W70" s="1057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>
      <c r="C71" s="1090"/>
      <c r="D71" s="1148" t="s">
        <v>50</v>
      </c>
      <c r="E71" s="1061" cm="1">
        <f t="array" ref="E71">angleConvert2Decimal(I71)*VLOOKUP(H71,E16:F18,2)</f>
        <v>5.7166666666666668</v>
      </c>
      <c r="F71" s="1061"/>
      <c r="G71" s="1062"/>
      <c r="H71" s="1079" t="s">
        <v>5</v>
      </c>
      <c r="I71" s="1081" t="s">
        <v>385</v>
      </c>
      <c r="J71" s="1082"/>
      <c r="K71" s="1082"/>
      <c r="L71" s="1082"/>
      <c r="M71" s="1083"/>
      <c r="N71" s="1058" t="str" cm="1">
        <f t="array" ref="N71">angleDecimal2Txt(E71)</f>
        <v>+05°43.00 (+05.7166) [+05°43'00.00]</v>
      </c>
      <c r="O71" s="1058"/>
      <c r="P71" s="1058"/>
      <c r="Q71" s="1058"/>
      <c r="R71" s="1058"/>
      <c r="S71" s="1058"/>
      <c r="T71" s="1058"/>
      <c r="U71" s="1058"/>
      <c r="V71" s="1058"/>
      <c r="W71" s="1059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>
      <c r="C72" s="1091"/>
      <c r="D72" s="1149"/>
      <c r="E72" s="1063"/>
      <c r="F72" s="1063"/>
      <c r="G72" s="1064"/>
      <c r="H72" s="1080"/>
      <c r="I72" s="1084"/>
      <c r="J72" s="1085"/>
      <c r="K72" s="1085"/>
      <c r="L72" s="1085"/>
      <c r="M72" s="1086"/>
      <c r="N72" s="1056"/>
      <c r="O72" s="1056"/>
      <c r="P72" s="1056"/>
      <c r="Q72" s="1056"/>
      <c r="R72" s="1056"/>
      <c r="S72" s="1056"/>
      <c r="T72" s="1056"/>
      <c r="U72" s="1056"/>
      <c r="V72" s="1056"/>
      <c r="W72" s="1057"/>
      <c r="AA72" s="15"/>
      <c r="AB72" t="s">
        <v>419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392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>
      <c r="C75" s="1089" t="s">
        <v>147</v>
      </c>
      <c r="D75" s="1156" t="s">
        <v>148</v>
      </c>
      <c r="E75" s="1157"/>
      <c r="F75" s="1165">
        <v>120</v>
      </c>
      <c r="G75" s="1166"/>
      <c r="H75" s="1166"/>
      <c r="I75" s="1060">
        <v>120</v>
      </c>
      <c r="J75" s="1060"/>
      <c r="K75" s="1060"/>
      <c r="L75" s="1060"/>
      <c r="M75" s="1060"/>
      <c r="N75" s="1058" t="str" cm="1">
        <f t="array" ref="N75">angleDecimal2Txt(F75)</f>
        <v>+120°00.00 (+120.0000) [+120°00'00.00]</v>
      </c>
      <c r="O75" s="1058"/>
      <c r="P75" s="1058"/>
      <c r="Q75" s="1058"/>
      <c r="R75" s="1058"/>
      <c r="S75" s="1058"/>
      <c r="T75" s="1058"/>
      <c r="U75" s="1058"/>
      <c r="V75" s="1058"/>
      <c r="W75" s="1059"/>
      <c r="AA75" s="15"/>
      <c r="AB75" t="s">
        <v>420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>
      <c r="C76" s="1152"/>
      <c r="D76" s="1146"/>
      <c r="E76" s="1158"/>
      <c r="F76" s="1165"/>
      <c r="G76" s="1166"/>
      <c r="H76" s="1166"/>
      <c r="I76" s="1060"/>
      <c r="J76" s="1060"/>
      <c r="K76" s="1060"/>
      <c r="L76" s="1060"/>
      <c r="M76" s="1060"/>
      <c r="N76" s="1056"/>
      <c r="O76" s="1056"/>
      <c r="P76" s="1056"/>
      <c r="Q76" s="1056"/>
      <c r="R76" s="1056"/>
      <c r="S76" s="1056"/>
      <c r="T76" s="1056"/>
      <c r="U76" s="1056"/>
      <c r="V76" s="1056"/>
      <c r="W76" s="1057"/>
      <c r="AA76" s="15"/>
      <c r="AB76" t="s">
        <v>421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>
      <c r="C77" s="1152"/>
      <c r="D77" s="1146" t="s">
        <v>147</v>
      </c>
      <c r="E77" s="1158"/>
      <c r="F77" s="1165">
        <f>I77</f>
        <v>10</v>
      </c>
      <c r="G77" s="1166"/>
      <c r="H77" s="1166"/>
      <c r="I77" s="1060">
        <v>10</v>
      </c>
      <c r="J77" s="1060"/>
      <c r="K77" s="1060"/>
      <c r="L77" s="1060"/>
      <c r="M77" s="1060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>
      <c r="C78" s="1152"/>
      <c r="D78" s="1146"/>
      <c r="E78" s="1158"/>
      <c r="F78" s="1165"/>
      <c r="G78" s="1166"/>
      <c r="H78" s="1166"/>
      <c r="I78" s="1060"/>
      <c r="J78" s="1060"/>
      <c r="K78" s="1060"/>
      <c r="L78" s="1060"/>
      <c r="M78" s="1060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AA78" s="15"/>
      <c r="AB78" s="1" t="s">
        <v>162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>
      <c r="C79" s="1152"/>
      <c r="D79" s="1146" t="s">
        <v>150</v>
      </c>
      <c r="E79" s="1158"/>
      <c r="F79" s="1165">
        <v>2</v>
      </c>
      <c r="G79" s="1166"/>
      <c r="H79" s="1166"/>
      <c r="I79" s="1164" t="s">
        <v>418</v>
      </c>
      <c r="J79" s="1164"/>
      <c r="K79" s="1164"/>
      <c r="L79" s="1164"/>
      <c r="M79" s="1164"/>
      <c r="N79" s="1058" t="str" cm="1">
        <f t="array" ref="N79">heureDecimal2Txt(F79)</f>
        <v>02:00:00.00(02.0000)</v>
      </c>
      <c r="O79" s="1058"/>
      <c r="P79" s="1058"/>
      <c r="Q79" s="1058"/>
      <c r="R79" s="1058"/>
      <c r="S79" s="1058"/>
      <c r="T79" s="1058"/>
      <c r="U79" s="1058"/>
      <c r="V79" s="1058"/>
      <c r="W79" s="105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>
      <c r="C80" s="1153"/>
      <c r="D80" s="1167"/>
      <c r="E80" s="1168"/>
      <c r="F80" s="1165"/>
      <c r="G80" s="1166"/>
      <c r="H80" s="1166"/>
      <c r="I80" s="1164"/>
      <c r="J80" s="1164"/>
      <c r="K80" s="1164"/>
      <c r="L80" s="1164"/>
      <c r="M80" s="1164"/>
      <c r="N80" s="1056"/>
      <c r="O80" s="1056"/>
      <c r="P80" s="1056"/>
      <c r="Q80" s="1056"/>
      <c r="R80" s="1056"/>
      <c r="S80" s="1056"/>
      <c r="T80" s="1056"/>
      <c r="U80" s="1056"/>
      <c r="V80" s="1056"/>
      <c r="W80" s="1057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>
      <c r="AB81"/>
      <c r="AC81"/>
      <c r="AD81"/>
      <c r="AE81"/>
      <c r="AF81"/>
      <c r="AG81"/>
    </row>
    <row r="82" spans="2:61" s="1" customFormat="1" ht="17.25" customHeight="1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>
      <c r="C83" s="37"/>
      <c r="D83" s="16"/>
      <c r="F83" s="1161" t="s">
        <v>149</v>
      </c>
      <c r="G83" s="1162"/>
      <c r="H83" s="1162"/>
      <c r="I83" s="1162"/>
      <c r="J83" s="1162"/>
      <c r="K83" s="1162"/>
      <c r="L83" s="1162"/>
      <c r="M83" s="1162"/>
      <c r="N83" s="1162"/>
      <c r="O83" s="1162"/>
      <c r="P83" s="1162"/>
      <c r="Q83" s="1162"/>
      <c r="R83" s="1162"/>
      <c r="S83" s="1162"/>
      <c r="T83" s="1162"/>
      <c r="U83" s="1162"/>
      <c r="V83" s="1162"/>
      <c r="W83" s="1162"/>
      <c r="X83" s="1162"/>
      <c r="Y83" s="1163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>
      <c r="F84" s="1150" t="s">
        <v>49</v>
      </c>
      <c r="G84" s="1154">
        <f>E69+F77*F79*COS(F75*K15)/60</f>
        <v>39.85</v>
      </c>
      <c r="H84" s="1154"/>
      <c r="I84" s="1154"/>
      <c r="J84" s="1154"/>
      <c r="K84" s="1154"/>
      <c r="L84" s="1154"/>
      <c r="M84" s="1154"/>
      <c r="N84" s="1154"/>
      <c r="O84" s="1154"/>
      <c r="P84" s="1054" t="str" cm="1">
        <f t="array" ref="P84">angleDecimal2Txt(G84)</f>
        <v>+39°51.00 (+39.8500) [+39°51'00.00]</v>
      </c>
      <c r="Q84" s="1054"/>
      <c r="R84" s="1054"/>
      <c r="S84" s="1054"/>
      <c r="T84" s="1054"/>
      <c r="U84" s="1054"/>
      <c r="V84" s="1054"/>
      <c r="W84" s="1054"/>
      <c r="X84" s="1054"/>
      <c r="Y84" s="1055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>
      <c r="F85" s="1151"/>
      <c r="G85" s="1154"/>
      <c r="H85" s="1154"/>
      <c r="I85" s="1154"/>
      <c r="J85" s="1154"/>
      <c r="K85" s="1154"/>
      <c r="L85" s="1154"/>
      <c r="M85" s="1154"/>
      <c r="N85" s="1154"/>
      <c r="O85" s="1154"/>
      <c r="P85" s="1056"/>
      <c r="Q85" s="1056"/>
      <c r="R85" s="1056"/>
      <c r="S85" s="1056"/>
      <c r="T85" s="1056"/>
      <c r="U85" s="1056"/>
      <c r="V85" s="1056"/>
      <c r="W85" s="1056"/>
      <c r="X85" s="1056"/>
      <c r="Y85" s="1057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>
      <c r="F86" s="1159" t="s">
        <v>50</v>
      </c>
      <c r="G86" s="1155">
        <f>AC78</f>
        <v>6.0931379837585844</v>
      </c>
      <c r="H86" s="1154"/>
      <c r="I86" s="1154"/>
      <c r="J86" s="1154"/>
      <c r="K86" s="1154"/>
      <c r="L86" s="1154"/>
      <c r="M86" s="1154"/>
      <c r="N86" s="1154"/>
      <c r="O86" s="1154"/>
      <c r="P86" s="1058" t="str" cm="1">
        <f t="array" ref="P86">angleDecimal2Txt(G86)</f>
        <v>+06°05.58 (+06.0931) [+06°05'35.29]</v>
      </c>
      <c r="Q86" s="1058"/>
      <c r="R86" s="1058"/>
      <c r="S86" s="1058"/>
      <c r="T86" s="1058"/>
      <c r="U86" s="1058"/>
      <c r="V86" s="1058"/>
      <c r="W86" s="1058"/>
      <c r="X86" s="1058"/>
      <c r="Y86" s="1059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>
      <c r="F87" s="1160"/>
      <c r="G87" s="1154"/>
      <c r="H87" s="1154"/>
      <c r="I87" s="1154"/>
      <c r="J87" s="1154"/>
      <c r="K87" s="1154"/>
      <c r="L87" s="1154"/>
      <c r="M87" s="1154"/>
      <c r="N87" s="1154"/>
      <c r="O87" s="1154"/>
      <c r="P87" s="1056"/>
      <c r="Q87" s="1056"/>
      <c r="R87" s="1056"/>
      <c r="S87" s="1056"/>
      <c r="T87" s="1056"/>
      <c r="U87" s="1056"/>
      <c r="V87" s="1056"/>
      <c r="W87" s="1056"/>
      <c r="X87" s="1056"/>
      <c r="Y87" s="105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>
      <c r="AB88"/>
      <c r="AC88"/>
      <c r="AD88"/>
    </row>
    <row r="89" spans="2:61">
      <c r="F89" s="62" t="s">
        <v>388</v>
      </c>
      <c r="G89" s="62"/>
      <c r="H89" s="1144">
        <f>G84-E69</f>
        <v>-0.1666666666666643</v>
      </c>
      <c r="I89" s="1145"/>
      <c r="J89" s="1145" t="str" cm="1">
        <f t="array" ref="J89">angleDecimal2Txt(H89)</f>
        <v>-00°09.99 (-00.1666) [-00°09'59.99]</v>
      </c>
      <c r="K89" s="1145"/>
      <c r="L89" s="1145"/>
      <c r="M89" s="1145"/>
      <c r="N89" s="1145"/>
      <c r="O89" s="1145"/>
      <c r="AB89"/>
      <c r="AC89"/>
      <c r="AD89"/>
    </row>
    <row r="90" spans="2:61">
      <c r="F90" s="62" t="s">
        <v>422</v>
      </c>
      <c r="G90" s="62"/>
      <c r="H90" s="1144">
        <f>G86-E71</f>
        <v>0.37647131709191761</v>
      </c>
      <c r="I90" s="1145"/>
      <c r="J90" s="1145" t="str" cm="1">
        <f t="array" ref="J90">angleDecimal2Txt(H90)</f>
        <v>+00°22.58 (+00.3764) [+00°22'35.29]</v>
      </c>
      <c r="K90" s="1145"/>
      <c r="L90" s="1145"/>
      <c r="M90" s="1145"/>
      <c r="N90" s="1145"/>
      <c r="O90" s="1145"/>
      <c r="AB90"/>
      <c r="AC90"/>
      <c r="AD90"/>
    </row>
    <row r="91" spans="2:61">
      <c r="AB91"/>
      <c r="AC91"/>
      <c r="AD91"/>
    </row>
    <row r="92" spans="2:61">
      <c r="AB92"/>
      <c r="AC92"/>
      <c r="AD92"/>
    </row>
    <row r="93" spans="2:61" ht="15.75" thickBot="1">
      <c r="AB93"/>
      <c r="AC93"/>
      <c r="AD93"/>
    </row>
    <row r="94" spans="2:61" s="1" customFormat="1" ht="17.25" customHeight="1" thickBot="1">
      <c r="B94" s="10" t="s">
        <v>432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04"/>
      <c r="AC94" s="204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>
      <c r="B96" s="16"/>
      <c r="C96" s="1092" t="s">
        <v>22</v>
      </c>
      <c r="D96" s="1093"/>
      <c r="E96" s="1093"/>
      <c r="F96" s="1093"/>
      <c r="G96" s="1093"/>
      <c r="H96" s="1094"/>
      <c r="I96" s="1096">
        <f>AB96</f>
        <v>-0.05</v>
      </c>
      <c r="J96" s="1097"/>
      <c r="K96" s="1097"/>
      <c r="L96" s="1098" t="s">
        <v>169</v>
      </c>
      <c r="M96" s="1099"/>
      <c r="N96" s="1099"/>
      <c r="O96" s="1141">
        <f>AB96</f>
        <v>-0.05</v>
      </c>
      <c r="P96" s="1141"/>
      <c r="Q96" s="1141"/>
      <c r="R96" s="1141"/>
      <c r="S96" s="1141"/>
      <c r="T96" s="1141"/>
      <c r="U96" s="1141"/>
      <c r="V96" s="1141"/>
      <c r="W96" s="1141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>
      <c r="C97" s="1095" t="s">
        <v>32</v>
      </c>
      <c r="D97" s="1095"/>
      <c r="E97" s="1095"/>
      <c r="F97" s="1095"/>
      <c r="G97" s="1095"/>
      <c r="H97" s="1095"/>
      <c r="I97" s="1048">
        <f>AB97</f>
        <v>2.5833333333333335</v>
      </c>
      <c r="J97" s="1049"/>
      <c r="K97" s="1049"/>
      <c r="L97" s="1050" t="s">
        <v>431</v>
      </c>
      <c r="M97" s="1051"/>
      <c r="N97" s="1052"/>
      <c r="O97" s="1141">
        <f>AB97</f>
        <v>2.5833333333333335</v>
      </c>
      <c r="P97" s="1141"/>
      <c r="Q97" s="1141"/>
      <c r="R97" s="1141"/>
      <c r="S97" s="1141"/>
      <c r="T97" s="1141"/>
      <c r="U97" s="1141"/>
      <c r="V97" s="1141"/>
      <c r="W97" s="1141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>
      <c r="C98" s="1095" t="s">
        <v>177</v>
      </c>
      <c r="D98" s="1095"/>
      <c r="E98" s="1095"/>
      <c r="F98" s="1095"/>
      <c r="G98" s="1095"/>
      <c r="H98" s="1095"/>
      <c r="I98" s="1048">
        <f>AB98</f>
        <v>2.5333333333333337</v>
      </c>
      <c r="J98" s="1049"/>
      <c r="K98" s="1049"/>
      <c r="L98" s="1050" t="s">
        <v>431</v>
      </c>
      <c r="M98" s="1051"/>
      <c r="N98" s="1052"/>
      <c r="O98" s="1141" t="str" cm="1">
        <f t="array" ref="O98">angleDecimal2Txt(AC98)</f>
        <v>+00°00.00 (+00.0000) [+00°00'00.00]</v>
      </c>
      <c r="P98" s="1141"/>
      <c r="Q98" s="1141"/>
      <c r="R98" s="1141"/>
      <c r="S98" s="1141"/>
      <c r="T98" s="1141"/>
      <c r="U98" s="1141"/>
      <c r="V98" s="1141"/>
      <c r="W98" s="1141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>
      <c r="C99" s="1095" t="s">
        <v>178</v>
      </c>
      <c r="D99" s="1095"/>
      <c r="E99" s="1095"/>
      <c r="F99" s="1095"/>
      <c r="G99" s="1095"/>
      <c r="H99" s="1095"/>
      <c r="I99" s="1048">
        <v>13</v>
      </c>
      <c r="J99" s="1049"/>
      <c r="K99" s="1049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>
      <c r="AA100" s="16"/>
      <c r="AB100" s="16"/>
      <c r="AC100" s="16"/>
    </row>
    <row r="101" spans="1:60" ht="17.25" customHeight="1">
      <c r="AA101" s="16"/>
      <c r="AB101" s="16"/>
      <c r="AC101" s="16"/>
    </row>
    <row r="102" spans="1:60" ht="17.25" customHeight="1">
      <c r="I102" s="1013" t="s">
        <v>179</v>
      </c>
      <c r="J102" s="1013"/>
      <c r="K102" s="1013"/>
      <c r="L102" s="1013">
        <f>I99/TAN(I98*PI()/180)</f>
        <v>293.82619257974028</v>
      </c>
      <c r="M102" s="1013"/>
      <c r="AA102" s="16"/>
      <c r="AB102" s="16"/>
      <c r="AC102" s="16"/>
    </row>
    <row r="103" spans="1:60" ht="17.25" customHeight="1">
      <c r="I103" s="1013" t="s">
        <v>143</v>
      </c>
      <c r="J103" s="1013"/>
      <c r="K103" s="1013"/>
      <c r="L103" s="1013">
        <f>L102/1852</f>
        <v>0.15865345171692238</v>
      </c>
      <c r="M103" s="1013"/>
      <c r="AA103" s="16"/>
      <c r="AB103" s="16"/>
      <c r="AC103" s="16"/>
    </row>
    <row r="104" spans="1:60" ht="17.25" customHeight="1">
      <c r="AA104" s="16"/>
      <c r="AB104" s="16"/>
      <c r="AC104" s="16"/>
    </row>
    <row r="105" spans="1:60" ht="17.25" customHeight="1">
      <c r="AA105" s="16"/>
      <c r="AB105" s="16"/>
      <c r="AC105" s="16"/>
    </row>
    <row r="106" spans="1:60">
      <c r="AA106" s="16"/>
      <c r="AB106" s="16"/>
      <c r="AC106" s="16"/>
    </row>
    <row r="107" spans="1:60" ht="15.75" thickBot="1">
      <c r="AA107" s="16"/>
      <c r="AB107" s="16"/>
      <c r="AC107" s="16"/>
    </row>
    <row r="108" spans="1:60" ht="15.75" thickBot="1">
      <c r="A108" s="1"/>
      <c r="B108" s="10" t="s">
        <v>423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>
      <c r="A110" s="1"/>
      <c r="C110"/>
      <c r="D110"/>
      <c r="E110" s="213" t="s">
        <v>114</v>
      </c>
      <c r="F110" s="213" t="s">
        <v>427</v>
      </c>
      <c r="G110" s="213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428</v>
      </c>
      <c r="R110" t="s">
        <v>429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>
      <c r="A111" s="1"/>
      <c r="B111" s="1"/>
      <c r="C111"/>
      <c r="D111"/>
      <c r="E111" s="213">
        <v>23.13</v>
      </c>
      <c r="F111" s="213">
        <v>27.25</v>
      </c>
      <c r="G111" s="213">
        <v>328.93</v>
      </c>
      <c r="H111"/>
      <c r="I111" s="226" t="s">
        <v>425</v>
      </c>
      <c r="J111" s="226">
        <f>SIN(E112)*SIN(F112)+COS(E112)*COS(G112)*COS(F112)</f>
        <v>0.88012731306072611</v>
      </c>
      <c r="K111"/>
      <c r="L111" s="224" t="s">
        <v>424</v>
      </c>
      <c r="M111" s="225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>
      <c r="A112" s="1"/>
      <c r="B112" s="1"/>
      <c r="C112"/>
      <c r="D112"/>
      <c r="E112" s="227">
        <f>E111*$K$15</f>
        <v>0.4036946559862884</v>
      </c>
      <c r="F112" s="227">
        <f>F111*$K$15</f>
        <v>0.4756022211684548</v>
      </c>
      <c r="G112" s="227">
        <f>G111*$K$15</f>
        <v>5.740911508584948</v>
      </c>
      <c r="H112"/>
      <c r="I112"/>
      <c r="J112"/>
      <c r="K112"/>
      <c r="L112" s="223"/>
      <c r="M112" s="226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>
      <c r="A113" s="1"/>
      <c r="B113" s="1"/>
      <c r="C113"/>
      <c r="D113"/>
      <c r="E113"/>
      <c r="F113"/>
      <c r="G113"/>
      <c r="H113"/>
      <c r="I113" s="226" t="s">
        <v>426</v>
      </c>
      <c r="J113" s="226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>
      <c r="H115"/>
      <c r="I115"/>
      <c r="J115"/>
      <c r="K115"/>
      <c r="L115"/>
      <c r="M115"/>
      <c r="N115"/>
      <c r="AA115" s="16"/>
      <c r="AB115" s="16"/>
      <c r="AC115" s="16"/>
    </row>
    <row r="116" spans="1:29">
      <c r="H116"/>
      <c r="I116"/>
      <c r="J116"/>
      <c r="K116"/>
      <c r="L116"/>
      <c r="M116"/>
      <c r="N116"/>
      <c r="AA116" s="16"/>
    </row>
    <row r="117" spans="1:29" ht="15.75" thickBot="1">
      <c r="H117"/>
      <c r="I117"/>
      <c r="J117"/>
      <c r="K117"/>
      <c r="L117"/>
      <c r="M117"/>
      <c r="N117"/>
      <c r="AA117" s="16"/>
    </row>
    <row r="118" spans="1:29" s="181" customFormat="1" ht="13.5" thickBot="1">
      <c r="B118" s="107" t="s">
        <v>452</v>
      </c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249"/>
      <c r="AB118" s="184"/>
      <c r="AC118" s="184"/>
    </row>
    <row r="119" spans="1:29" s="181" customFormat="1" ht="12.75">
      <c r="H119" s="96"/>
      <c r="I119" s="96"/>
      <c r="J119" s="96"/>
      <c r="K119" s="96"/>
      <c r="L119" s="96"/>
      <c r="M119" s="96"/>
      <c r="N119" s="96"/>
      <c r="AA119" s="250"/>
      <c r="AB119" s="184"/>
      <c r="AC119" s="184"/>
    </row>
    <row r="120" spans="1:29" s="181" customFormat="1" ht="13.5" thickBot="1">
      <c r="B120" s="181" t="s">
        <v>453</v>
      </c>
      <c r="O120" s="181" t="s">
        <v>454</v>
      </c>
      <c r="AA120" s="250"/>
      <c r="AB120" s="184"/>
      <c r="AC120" s="184"/>
    </row>
    <row r="121" spans="1:29" s="181" customFormat="1" ht="14.25" thickTop="1" thickBot="1">
      <c r="C121" s="1075" t="s">
        <v>15</v>
      </c>
      <c r="D121" s="1075"/>
      <c r="E121" s="1075"/>
      <c r="F121" s="1076" t="s">
        <v>14</v>
      </c>
      <c r="G121" s="1076"/>
      <c r="H121" s="1076"/>
      <c r="I121" s="1030" t="s">
        <v>35</v>
      </c>
      <c r="J121" s="1030"/>
      <c r="K121" s="1030"/>
      <c r="L121" s="1030"/>
      <c r="M121" s="1030"/>
      <c r="N121" s="255"/>
      <c r="O121" s="1024" t="s">
        <v>29</v>
      </c>
      <c r="P121" s="1025"/>
      <c r="Q121" s="1025"/>
      <c r="R121" s="1026"/>
      <c r="S121" s="1027" t="s">
        <v>30</v>
      </c>
      <c r="T121" s="1028"/>
      <c r="U121" s="1029"/>
      <c r="V121" s="1030" t="s">
        <v>35</v>
      </c>
      <c r="W121" s="1030"/>
      <c r="X121" s="1030"/>
      <c r="Y121" s="1030"/>
      <c r="Z121" s="1030"/>
      <c r="AA121" s="250"/>
      <c r="AB121" s="184"/>
      <c r="AC121" s="184"/>
    </row>
    <row r="122" spans="1:29" s="181" customFormat="1" ht="14.25" thickTop="1" thickBot="1">
      <c r="C122" s="1031" t="s">
        <v>79</v>
      </c>
      <c r="D122" s="1032"/>
      <c r="E122" s="1033"/>
      <c r="F122" s="1034" cm="1">
        <f t="array" ref="F122">heureConvert2Decimal(C122)</f>
        <v>11.983333333333333</v>
      </c>
      <c r="G122" s="1035"/>
      <c r="H122" s="1036"/>
      <c r="I122" s="1021" t="str" cm="1">
        <f t="array" ref="I122">heureDecimal2Txt(F122)</f>
        <v>11:59:00.00(11.9833)</v>
      </c>
      <c r="J122" s="1022"/>
      <c r="K122" s="1022"/>
      <c r="L122" s="1022"/>
      <c r="M122" s="1023"/>
      <c r="O122" s="1015" t="s">
        <v>466</v>
      </c>
      <c r="P122" s="1016"/>
      <c r="Q122" s="1016"/>
      <c r="R122" s="1017"/>
      <c r="S122" s="1018" cm="1">
        <f t="array" ref="S122">angleConvert2Decimal(O122)</f>
        <v>1</v>
      </c>
      <c r="T122" s="1019"/>
      <c r="U122" s="1020"/>
      <c r="V122" s="1021" t="str" cm="1">
        <f t="array" ref="V122">angleDecimal2Txt(S122)</f>
        <v>+01°00.00 (+01.0000) [+01°00'00.00]</v>
      </c>
      <c r="W122" s="1022"/>
      <c r="X122" s="1022"/>
      <c r="Y122" s="1022"/>
      <c r="Z122" s="1023"/>
      <c r="AA122" s="250"/>
      <c r="AB122" s="184"/>
      <c r="AC122" s="184"/>
    </row>
    <row r="123" spans="1:29" s="181" customFormat="1" ht="14.25" thickTop="1" thickBot="1">
      <c r="C123" s="1031" t="s">
        <v>79</v>
      </c>
      <c r="D123" s="1032"/>
      <c r="E123" s="1033"/>
      <c r="F123" s="1034" cm="1">
        <f t="array" ref="F123">heureConvert2Decimal(C123)</f>
        <v>11.983333333333333</v>
      </c>
      <c r="G123" s="1035"/>
      <c r="H123" s="1036"/>
      <c r="I123" s="1021" t="str" cm="1">
        <f t="array" ref="I123">heureDecimal2Txt(F123)</f>
        <v>11:59:00.00(11.9833)</v>
      </c>
      <c r="J123" s="1022"/>
      <c r="K123" s="1022"/>
      <c r="L123" s="1022"/>
      <c r="M123" s="1023"/>
      <c r="O123" s="1015" t="s">
        <v>430</v>
      </c>
      <c r="P123" s="1016"/>
      <c r="Q123" s="1016"/>
      <c r="R123" s="1017"/>
      <c r="S123" s="1018" cm="1">
        <f t="array" ref="S123">angleConvert2Decimal(O123)</f>
        <v>0.46666666666666667</v>
      </c>
      <c r="T123" s="1019"/>
      <c r="U123" s="1020"/>
      <c r="V123" s="1021" t="str" cm="1">
        <f t="array" ref="V123">angleDecimal2Txt(S123)</f>
        <v>+00°28.00 (+00.4666) [+00°28'00.00]</v>
      </c>
      <c r="W123" s="1022"/>
      <c r="X123" s="1022"/>
      <c r="Y123" s="1022"/>
      <c r="Z123" s="1023"/>
      <c r="AA123" s="250"/>
      <c r="AB123" s="184"/>
      <c r="AC123" s="184"/>
    </row>
    <row r="124" spans="1:29" s="181" customFormat="1" ht="14.25" thickTop="1" thickBot="1">
      <c r="C124" s="1031" t="s">
        <v>79</v>
      </c>
      <c r="D124" s="1032"/>
      <c r="E124" s="1033"/>
      <c r="F124" s="1034" cm="1">
        <f t="array" ref="F124">heureConvert2Decimal(C124)</f>
        <v>11.983333333333333</v>
      </c>
      <c r="G124" s="1035"/>
      <c r="H124" s="1036"/>
      <c r="I124" s="1021" t="str" cm="1">
        <f t="array" ref="I124">heureDecimal2Txt(F124)</f>
        <v>11:59:00.00(11.9833)</v>
      </c>
      <c r="J124" s="1022"/>
      <c r="K124" s="1022"/>
      <c r="L124" s="1022"/>
      <c r="M124" s="1023"/>
      <c r="O124" s="1015" t="s">
        <v>430</v>
      </c>
      <c r="P124" s="1016"/>
      <c r="Q124" s="1016"/>
      <c r="R124" s="1017"/>
      <c r="S124" s="1018" cm="1">
        <f t="array" ref="S124">angleConvert2Decimal(O124)</f>
        <v>0.46666666666666667</v>
      </c>
      <c r="T124" s="1019"/>
      <c r="U124" s="1020"/>
      <c r="V124" s="1021" t="str" cm="1">
        <f t="array" ref="V124">angleDecimal2Txt(S124)</f>
        <v>+00°28.00 (+00.4666) [+00°28'00.00]</v>
      </c>
      <c r="W124" s="1022"/>
      <c r="X124" s="1022"/>
      <c r="Y124" s="1022"/>
      <c r="Z124" s="1023"/>
      <c r="AA124" s="250"/>
      <c r="AB124" s="184"/>
      <c r="AC124" s="184"/>
    </row>
    <row r="125" spans="1:29" s="181" customFormat="1" ht="14.25" thickTop="1" thickBot="1">
      <c r="C125" s="1031" t="s">
        <v>79</v>
      </c>
      <c r="D125" s="1032"/>
      <c r="E125" s="1033"/>
      <c r="F125" s="1034" cm="1">
        <f t="array" ref="F125">heureConvert2Decimal(C125)</f>
        <v>11.983333333333333</v>
      </c>
      <c r="G125" s="1035"/>
      <c r="H125" s="1036"/>
      <c r="I125" s="1021" t="str" cm="1">
        <f t="array" ref="I125">heureDecimal2Txt(F125)</f>
        <v>11:59:00.00(11.9833)</v>
      </c>
      <c r="J125" s="1022"/>
      <c r="K125" s="1022"/>
      <c r="L125" s="1022"/>
      <c r="M125" s="1023"/>
      <c r="O125" s="1015" t="s">
        <v>430</v>
      </c>
      <c r="P125" s="1016"/>
      <c r="Q125" s="1016"/>
      <c r="R125" s="1017"/>
      <c r="S125" s="1018" cm="1">
        <f t="array" ref="S125">angleConvert2Decimal(O125)</f>
        <v>0.46666666666666667</v>
      </c>
      <c r="T125" s="1019"/>
      <c r="U125" s="1020"/>
      <c r="V125" s="1021" t="str" cm="1">
        <f t="array" ref="V125">angleDecimal2Txt(S125)</f>
        <v>+00°28.00 (+00.4666) [+00°28'00.00]</v>
      </c>
      <c r="W125" s="1022"/>
      <c r="X125" s="1022"/>
      <c r="Y125" s="1022"/>
      <c r="Z125" s="1023"/>
      <c r="AA125" s="250"/>
      <c r="AB125" s="184"/>
      <c r="AC125" s="184"/>
    </row>
    <row r="126" spans="1:29" s="181" customFormat="1" ht="14.25" thickTop="1" thickBot="1">
      <c r="C126" s="1031" t="s">
        <v>79</v>
      </c>
      <c r="D126" s="1032"/>
      <c r="E126" s="1033"/>
      <c r="F126" s="1034" cm="1">
        <f t="array" ref="F126">heureConvert2Decimal(C126)</f>
        <v>11.983333333333333</v>
      </c>
      <c r="G126" s="1035"/>
      <c r="H126" s="1036"/>
      <c r="I126" s="1021" t="str" cm="1">
        <f t="array" ref="I126">heureDecimal2Txt(F126)</f>
        <v>11:59:00.00(11.9833)</v>
      </c>
      <c r="J126" s="1022"/>
      <c r="K126" s="1022"/>
      <c r="L126" s="1022"/>
      <c r="M126" s="1023"/>
      <c r="O126" s="1015" t="s">
        <v>430</v>
      </c>
      <c r="P126" s="1016"/>
      <c r="Q126" s="1016"/>
      <c r="R126" s="1017"/>
      <c r="S126" s="1018" cm="1">
        <f t="array" ref="S126">angleConvert2Decimal(O126)</f>
        <v>0.46666666666666667</v>
      </c>
      <c r="T126" s="1019"/>
      <c r="U126" s="1020"/>
      <c r="V126" s="1021" t="str" cm="1">
        <f t="array" ref="V126">angleDecimal2Txt(S126)</f>
        <v>+00°28.00 (+00.4666) [+00°28'00.00]</v>
      </c>
      <c r="W126" s="1022"/>
      <c r="X126" s="1022"/>
      <c r="Y126" s="1022"/>
      <c r="Z126" s="1023"/>
      <c r="AA126" s="250"/>
      <c r="AB126" s="184"/>
      <c r="AC126" s="184"/>
    </row>
    <row r="127" spans="1:29" s="181" customFormat="1" ht="14.25" thickTop="1" thickBot="1">
      <c r="C127" s="1031" t="s">
        <v>79</v>
      </c>
      <c r="D127" s="1032"/>
      <c r="E127" s="1033"/>
      <c r="F127" s="1034" cm="1">
        <f t="array" ref="F127">heureConvert2Decimal(C127)</f>
        <v>11.983333333333333</v>
      </c>
      <c r="G127" s="1035"/>
      <c r="H127" s="1036"/>
      <c r="I127" s="1021" t="str" cm="1">
        <f t="array" ref="I127">heureDecimal2Txt(F127)</f>
        <v>11:59:00.00(11.9833)</v>
      </c>
      <c r="J127" s="1022"/>
      <c r="K127" s="1022"/>
      <c r="L127" s="1022"/>
      <c r="M127" s="1023"/>
      <c r="O127" s="1015" t="s">
        <v>430</v>
      </c>
      <c r="P127" s="1016"/>
      <c r="Q127" s="1016"/>
      <c r="R127" s="1017"/>
      <c r="S127" s="1018" cm="1">
        <f t="array" ref="S127">angleConvert2Decimal(O127)</f>
        <v>0.46666666666666667</v>
      </c>
      <c r="T127" s="1019"/>
      <c r="U127" s="1020"/>
      <c r="V127" s="1021" t="str" cm="1">
        <f t="array" ref="V127">angleDecimal2Txt(S127)</f>
        <v>+00°28.00 (+00.4666) [+00°28'00.00]</v>
      </c>
      <c r="W127" s="1022"/>
      <c r="X127" s="1022"/>
      <c r="Y127" s="1022"/>
      <c r="Z127" s="1023"/>
      <c r="AA127" s="250"/>
      <c r="AB127" s="184"/>
      <c r="AC127" s="184"/>
    </row>
    <row r="128" spans="1:29" s="181" customFormat="1" ht="14.25" thickTop="1" thickBot="1">
      <c r="C128" s="1031" t="s">
        <v>79</v>
      </c>
      <c r="D128" s="1032"/>
      <c r="E128" s="1033"/>
      <c r="F128" s="1034" cm="1">
        <f t="array" ref="F128">heureConvert2Decimal(C128)</f>
        <v>11.983333333333333</v>
      </c>
      <c r="G128" s="1035"/>
      <c r="H128" s="1036"/>
      <c r="I128" s="1021" t="str" cm="1">
        <f t="array" ref="I128">heureDecimal2Txt(F128)</f>
        <v>11:59:00.00(11.9833)</v>
      </c>
      <c r="J128" s="1022"/>
      <c r="K128" s="1022"/>
      <c r="L128" s="1022"/>
      <c r="M128" s="1023"/>
      <c r="O128" s="1015" t="s">
        <v>430</v>
      </c>
      <c r="P128" s="1016"/>
      <c r="Q128" s="1016"/>
      <c r="R128" s="1017"/>
      <c r="S128" s="1018" cm="1">
        <f t="array" ref="S128">angleConvert2Decimal(O128)</f>
        <v>0.46666666666666667</v>
      </c>
      <c r="T128" s="1019"/>
      <c r="U128" s="1020"/>
      <c r="V128" s="1021" t="str" cm="1">
        <f t="array" ref="V128">angleDecimal2Txt(S128)</f>
        <v>+00°28.00 (+00.4666) [+00°28'00.00]</v>
      </c>
      <c r="W128" s="1022"/>
      <c r="X128" s="1022"/>
      <c r="Y128" s="1022"/>
      <c r="Z128" s="1023"/>
      <c r="AA128" s="250"/>
      <c r="AB128" s="184"/>
      <c r="AC128" s="184"/>
    </row>
    <row r="129" spans="2:29" s="181" customFormat="1" ht="14.25" thickTop="1" thickBot="1">
      <c r="O129" s="1015" t="s">
        <v>430</v>
      </c>
      <c r="P129" s="1016"/>
      <c r="Q129" s="1016"/>
      <c r="R129" s="1017"/>
      <c r="S129" s="1018" cm="1">
        <f t="array" ref="S129">angleConvert2Decimal(O129)</f>
        <v>0.46666666666666667</v>
      </c>
      <c r="T129" s="1019"/>
      <c r="U129" s="1020"/>
      <c r="V129" s="1021" t="str" cm="1">
        <f t="array" ref="V129">angleDecimal2Txt(S129)</f>
        <v>+00°28.00 (+00.4666) [+00°28'00.00]</v>
      </c>
      <c r="W129" s="1022"/>
      <c r="X129" s="1022"/>
      <c r="Y129" s="1022"/>
      <c r="Z129" s="1023"/>
      <c r="AA129" s="250"/>
      <c r="AB129" s="184"/>
      <c r="AC129" s="184"/>
    </row>
    <row r="130" spans="2:29" s="181" customFormat="1" ht="14.25" thickTop="1" thickBot="1">
      <c r="O130" s="1015" t="s">
        <v>430</v>
      </c>
      <c r="P130" s="1016"/>
      <c r="Q130" s="1016"/>
      <c r="R130" s="1017"/>
      <c r="S130" s="1018" cm="1">
        <f t="array" ref="S130">angleConvert2Decimal(O130)</f>
        <v>0.46666666666666667</v>
      </c>
      <c r="T130" s="1019"/>
      <c r="U130" s="1020"/>
      <c r="V130" s="1021" t="str" cm="1">
        <f t="array" ref="V130">angleDecimal2Txt(S130)</f>
        <v>+00°28.00 (+00.4666) [+00°28'00.00]</v>
      </c>
      <c r="W130" s="1022"/>
      <c r="X130" s="1022"/>
      <c r="Y130" s="1022"/>
      <c r="Z130" s="1023"/>
      <c r="AA130" s="250"/>
      <c r="AB130" s="184"/>
      <c r="AC130" s="184"/>
    </row>
    <row r="131" spans="2:29" s="181" customFormat="1" ht="14.25" thickTop="1" thickBot="1">
      <c r="O131" s="1015" t="s">
        <v>430</v>
      </c>
      <c r="P131" s="1016"/>
      <c r="Q131" s="1016"/>
      <c r="R131" s="1017"/>
      <c r="S131" s="1018" cm="1">
        <f t="array" ref="S131">angleConvert2Decimal(O131)</f>
        <v>0.46666666666666667</v>
      </c>
      <c r="T131" s="1019"/>
      <c r="U131" s="1020"/>
      <c r="V131" s="1021" t="str" cm="1">
        <f t="array" ref="V131">angleDecimal2Txt(S131)</f>
        <v>+00°28.00 (+00.4666) [+00°28'00.00]</v>
      </c>
      <c r="W131" s="1022"/>
      <c r="X131" s="1022"/>
      <c r="Y131" s="1022"/>
      <c r="Z131" s="1023"/>
      <c r="AA131" s="250"/>
      <c r="AB131" s="184"/>
      <c r="AC131" s="184"/>
    </row>
    <row r="132" spans="2:29" s="181" customFormat="1" ht="14.25" thickTop="1" thickBot="1">
      <c r="O132" s="1015" t="s">
        <v>430</v>
      </c>
      <c r="P132" s="1016"/>
      <c r="Q132" s="1016"/>
      <c r="R132" s="1017"/>
      <c r="S132" s="1018" cm="1">
        <f t="array" ref="S132">angleConvert2Decimal(O132)</f>
        <v>0.46666666666666667</v>
      </c>
      <c r="T132" s="1019"/>
      <c r="U132" s="1020"/>
      <c r="V132" s="1021" t="str" cm="1">
        <f t="array" ref="V132">angleDecimal2Txt(S132)</f>
        <v>+00°28.00 (+00.4666) [+00°28'00.00]</v>
      </c>
      <c r="W132" s="1022"/>
      <c r="X132" s="1022"/>
      <c r="Y132" s="1022"/>
      <c r="Z132" s="1023"/>
      <c r="AA132" s="250"/>
      <c r="AB132" s="184"/>
      <c r="AC132" s="184"/>
    </row>
    <row r="133" spans="2:29" ht="16.5" thickTop="1" thickBot="1">
      <c r="O133" s="1015" t="s">
        <v>430</v>
      </c>
      <c r="P133" s="1016"/>
      <c r="Q133" s="1016"/>
      <c r="R133" s="1017"/>
      <c r="S133" s="1018" cm="1">
        <f t="array" ref="S133">angleConvert2Decimal(O133)</f>
        <v>0.46666666666666667</v>
      </c>
      <c r="T133" s="1019"/>
      <c r="U133" s="1020"/>
      <c r="V133" s="1021" t="str" cm="1">
        <f t="array" ref="V133">angleDecimal2Txt(S133)</f>
        <v>+00°28.00 (+00.4666) [+00°28'00.00]</v>
      </c>
      <c r="W133" s="1022"/>
      <c r="X133" s="1022"/>
      <c r="Y133" s="1022"/>
      <c r="Z133" s="1023"/>
    </row>
    <row r="134" spans="2:29" ht="16.5" thickTop="1" thickBot="1">
      <c r="O134" s="1015" t="s">
        <v>430</v>
      </c>
      <c r="P134" s="1016"/>
      <c r="Q134" s="1016"/>
      <c r="R134" s="1017"/>
      <c r="S134" s="1018" cm="1">
        <f t="array" ref="S134">angleConvert2Decimal(O134)</f>
        <v>0.46666666666666667</v>
      </c>
      <c r="T134" s="1019"/>
      <c r="U134" s="1020"/>
      <c r="V134" s="1021" t="str" cm="1">
        <f t="array" ref="V134">angleDecimal2Txt(S134)</f>
        <v>+00°28.00 (+00.4666) [+00°28'00.00]</v>
      </c>
      <c r="W134" s="1022"/>
      <c r="X134" s="1022"/>
      <c r="Y134" s="1022"/>
      <c r="Z134" s="1023"/>
    </row>
    <row r="135" spans="2:29" ht="16.5" thickTop="1" thickBot="1">
      <c r="B135" s="107" t="s">
        <v>465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7"/>
    </row>
    <row r="136" spans="2:29">
      <c r="C136" s="1012" t="s">
        <v>461</v>
      </c>
      <c r="D136" s="251" t="s">
        <v>455</v>
      </c>
      <c r="E136" s="39">
        <v>5</v>
      </c>
      <c r="F136" s="33"/>
      <c r="G136" s="1013" t="s">
        <v>463</v>
      </c>
      <c r="H136" s="1013"/>
      <c r="I136" s="1013"/>
      <c r="J136" s="1013"/>
      <c r="L136" s="16" t="s">
        <v>459</v>
      </c>
      <c r="M136" s="16">
        <f>(E137-E139)/(E136-E138)</f>
        <v>4.9616666666666669</v>
      </c>
    </row>
    <row r="137" spans="2:29">
      <c r="C137" s="1012"/>
      <c r="D137" s="251" t="s">
        <v>456</v>
      </c>
      <c r="E137" s="39">
        <v>23.23</v>
      </c>
      <c r="F137" s="254" t="s">
        <v>464</v>
      </c>
      <c r="G137" s="251" t="s">
        <v>166</v>
      </c>
      <c r="H137" s="39">
        <v>10.5</v>
      </c>
      <c r="I137" s="229" t="s">
        <v>451</v>
      </c>
      <c r="J137" s="252">
        <f>M136*H137+M137</f>
        <v>50.519166666666671</v>
      </c>
      <c r="L137" s="16" t="s">
        <v>460</v>
      </c>
      <c r="M137" s="16">
        <f>E137-M136*(E136)</f>
        <v>-1.5783333333333331</v>
      </c>
    </row>
    <row r="138" spans="2:29">
      <c r="C138" s="1014" t="s">
        <v>462</v>
      </c>
      <c r="D138" s="253" t="s">
        <v>457</v>
      </c>
      <c r="E138" s="39">
        <v>11</v>
      </c>
      <c r="F138" s="33"/>
      <c r="G138" s="33"/>
      <c r="H138" s="33"/>
      <c r="I138" s="33"/>
      <c r="J138" s="33"/>
    </row>
    <row r="139" spans="2:29">
      <c r="C139" s="1014"/>
      <c r="D139" s="253" t="s">
        <v>458</v>
      </c>
      <c r="E139" s="39">
        <v>53</v>
      </c>
      <c r="F139" s="33"/>
      <c r="G139" s="33"/>
      <c r="H139" s="33"/>
      <c r="I139" s="33"/>
      <c r="J139" s="33"/>
    </row>
    <row r="141" spans="2:29">
      <c r="C141" s="1012" t="s">
        <v>461</v>
      </c>
      <c r="D141" s="251" t="s">
        <v>455</v>
      </c>
      <c r="E141" s="39">
        <v>0</v>
      </c>
      <c r="F141" s="33"/>
      <c r="G141" s="1013" t="s">
        <v>463</v>
      </c>
      <c r="H141" s="1013"/>
      <c r="I141" s="1013"/>
      <c r="J141" s="1013"/>
      <c r="L141" s="16" t="s">
        <v>459</v>
      </c>
      <c r="M141" s="16">
        <f>(E142-E144)/(E141-E143)</f>
        <v>1</v>
      </c>
    </row>
    <row r="142" spans="2:29">
      <c r="C142" s="1012"/>
      <c r="D142" s="251" t="s">
        <v>456</v>
      </c>
      <c r="E142" s="39">
        <v>0</v>
      </c>
      <c r="F142" s="254" t="s">
        <v>464</v>
      </c>
      <c r="G142" s="251" t="s">
        <v>166</v>
      </c>
      <c r="H142" s="39">
        <v>10.5</v>
      </c>
      <c r="I142" s="229" t="s">
        <v>451</v>
      </c>
      <c r="J142" s="252">
        <f>M141*H142+M142</f>
        <v>10.5</v>
      </c>
      <c r="L142" s="16" t="s">
        <v>460</v>
      </c>
      <c r="M142" s="16">
        <f>E142-M141*(E141)</f>
        <v>0</v>
      </c>
    </row>
    <row r="143" spans="2:29">
      <c r="C143" s="1014" t="s">
        <v>462</v>
      </c>
      <c r="D143" s="253" t="s">
        <v>457</v>
      </c>
      <c r="E143" s="39">
        <v>11</v>
      </c>
      <c r="F143" s="33"/>
      <c r="G143" s="33"/>
      <c r="H143" s="33"/>
      <c r="I143" s="33"/>
      <c r="J143" s="33"/>
    </row>
    <row r="144" spans="2:29">
      <c r="C144" s="1014"/>
      <c r="D144" s="253" t="s">
        <v>458</v>
      </c>
      <c r="E144" s="39">
        <v>11</v>
      </c>
      <c r="F144" s="33"/>
      <c r="G144" s="33"/>
      <c r="H144" s="33"/>
      <c r="I144" s="33"/>
      <c r="J144" s="33"/>
    </row>
    <row r="146" spans="3:13">
      <c r="C146" s="1012" t="s">
        <v>461</v>
      </c>
      <c r="D146" s="251" t="s">
        <v>455</v>
      </c>
      <c r="E146" s="39">
        <v>0</v>
      </c>
      <c r="F146" s="33"/>
      <c r="G146" s="1013" t="s">
        <v>463</v>
      </c>
      <c r="H146" s="1013"/>
      <c r="I146" s="1013"/>
      <c r="J146" s="1013"/>
      <c r="L146" s="16" t="s">
        <v>459</v>
      </c>
      <c r="M146" s="16">
        <f>(E147-E149)/(E146-E148)</f>
        <v>-1</v>
      </c>
    </row>
    <row r="147" spans="3:13">
      <c r="C147" s="1012"/>
      <c r="D147" s="251" t="s">
        <v>456</v>
      </c>
      <c r="E147" s="39">
        <v>11</v>
      </c>
      <c r="F147" s="254" t="s">
        <v>464</v>
      </c>
      <c r="G147" s="251" t="s">
        <v>166</v>
      </c>
      <c r="H147" s="39">
        <v>10.5</v>
      </c>
      <c r="I147" s="229" t="s">
        <v>451</v>
      </c>
      <c r="J147" s="252">
        <f>M146*H147+M147</f>
        <v>0.5</v>
      </c>
      <c r="L147" s="16" t="s">
        <v>460</v>
      </c>
      <c r="M147" s="16">
        <f>E147-M146*(E146)</f>
        <v>11</v>
      </c>
    </row>
    <row r="148" spans="3:13">
      <c r="C148" s="1014" t="s">
        <v>462</v>
      </c>
      <c r="D148" s="253" t="s">
        <v>457</v>
      </c>
      <c r="E148" s="39">
        <v>11</v>
      </c>
      <c r="F148" s="33"/>
      <c r="G148" s="33"/>
      <c r="H148" s="33"/>
      <c r="I148" s="33"/>
      <c r="J148" s="33"/>
    </row>
    <row r="149" spans="3:13">
      <c r="C149" s="1014"/>
      <c r="D149" s="253" t="s">
        <v>458</v>
      </c>
      <c r="E149" s="39">
        <v>0</v>
      </c>
      <c r="F149" s="33"/>
      <c r="G149" s="33"/>
      <c r="H149" s="33"/>
      <c r="I149" s="33"/>
      <c r="J149" s="33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>
      <c r="C1" s="1135" t="s">
        <v>228</v>
      </c>
      <c r="D1" s="1135"/>
      <c r="E1" s="1135"/>
      <c r="F1" s="1135"/>
      <c r="G1" s="1136" t="s">
        <v>229</v>
      </c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>
      <c r="C2" s="1135"/>
      <c r="D2" s="1135"/>
      <c r="E2" s="1135"/>
      <c r="F2" s="1135"/>
      <c r="G2" s="1136"/>
      <c r="H2" s="1136"/>
      <c r="I2" s="1136"/>
      <c r="J2" s="1136"/>
      <c r="K2" s="1136"/>
      <c r="L2" s="1136"/>
      <c r="M2" s="1136"/>
      <c r="N2" s="1136"/>
      <c r="O2" s="1136"/>
      <c r="P2" s="1136"/>
      <c r="Q2" s="1136"/>
      <c r="R2" s="1136"/>
      <c r="S2" s="1136"/>
      <c r="T2" s="1136"/>
      <c r="U2" s="1136"/>
      <c r="V2" s="1136"/>
      <c r="W2" s="1136"/>
      <c r="X2" s="1136"/>
      <c r="Y2" s="1136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>
      <c r="C3" s="1135"/>
      <c r="D3" s="1135"/>
      <c r="E3" s="1135"/>
      <c r="F3" s="1135"/>
      <c r="G3" s="1174" t="s">
        <v>233</v>
      </c>
      <c r="H3" s="1174"/>
      <c r="I3" s="1174"/>
      <c r="J3" s="1176" t="s">
        <v>232</v>
      </c>
      <c r="K3" s="1176"/>
      <c r="L3" s="1176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>
      <c r="C4" s="1135"/>
      <c r="D4" s="1135"/>
      <c r="E4" s="1135"/>
      <c r="F4" s="1135"/>
      <c r="G4" s="1175"/>
      <c r="H4" s="1175"/>
      <c r="I4" s="1175"/>
      <c r="J4" s="1177"/>
      <c r="K4" s="1177"/>
      <c r="L4" s="1177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>
      <c r="AC7" s="16" t="s">
        <v>256</v>
      </c>
      <c r="AD7" s="50">
        <f ca="1">TODAY()</f>
        <v>45509</v>
      </c>
      <c r="AI7" s="34">
        <f ca="1">AD7</f>
        <v>45509</v>
      </c>
      <c r="AQ7" s="16" t="s">
        <v>263</v>
      </c>
      <c r="AR7" s="16" t="s">
        <v>101</v>
      </c>
      <c r="AS7" s="16" t="s">
        <v>264</v>
      </c>
      <c r="AT7" s="16" t="s">
        <v>65</v>
      </c>
      <c r="AU7" s="16" t="s">
        <v>264</v>
      </c>
    </row>
    <row r="8" spans="1:66" ht="18.75">
      <c r="C8" s="38" t="s">
        <v>197</v>
      </c>
      <c r="D8" s="46" t="s">
        <v>166</v>
      </c>
      <c r="E8"/>
      <c r="F8" s="1172" t="s">
        <v>127</v>
      </c>
      <c r="G8" s="1172"/>
      <c r="H8" s="1172"/>
      <c r="I8" s="1172"/>
      <c r="J8" s="1172"/>
      <c r="K8" s="1172"/>
      <c r="L8" s="1172"/>
      <c r="M8" s="1172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>
      <c r="C9" s="38" t="s">
        <v>199</v>
      </c>
      <c r="D9" s="46" t="s">
        <v>166</v>
      </c>
      <c r="E9"/>
      <c r="F9" s="1173" t="s">
        <v>200</v>
      </c>
      <c r="G9" s="1173"/>
      <c r="H9" s="1173"/>
      <c r="I9" s="1173"/>
      <c r="J9" s="1173" t="s">
        <v>203</v>
      </c>
      <c r="K9" s="1173"/>
      <c r="L9" s="1173"/>
      <c r="M9" s="1173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>
      <c r="F10" s="1173" t="s">
        <v>201</v>
      </c>
      <c r="G10" s="1173"/>
      <c r="H10" s="1173" t="s">
        <v>202</v>
      </c>
      <c r="I10" s="1173"/>
      <c r="J10" s="1173" t="s">
        <v>201</v>
      </c>
      <c r="K10" s="1173"/>
      <c r="L10" s="1173" t="s">
        <v>202</v>
      </c>
      <c r="M10" s="1173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>
      <c r="C11"/>
      <c r="D11" s="47" t="s">
        <v>197</v>
      </c>
      <c r="E11" s="47" t="s">
        <v>199</v>
      </c>
      <c r="F11" s="35" t="s">
        <v>204</v>
      </c>
      <c r="G11" s="35" t="s">
        <v>205</v>
      </c>
      <c r="H11" s="35" t="s">
        <v>204</v>
      </c>
      <c r="I11" s="35" t="s">
        <v>205</v>
      </c>
      <c r="J11" s="35" t="s">
        <v>204</v>
      </c>
      <c r="K11" s="35" t="s">
        <v>205</v>
      </c>
      <c r="L11" s="35" t="s">
        <v>204</v>
      </c>
      <c r="M11" s="35" t="s">
        <v>205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>
      <c r="A12" s="65" t="s">
        <v>246</v>
      </c>
      <c r="B12" s="65" t="s">
        <v>300</v>
      </c>
      <c r="C12" s="65" t="s">
        <v>199</v>
      </c>
      <c r="D12" s="1169" t="s">
        <v>198</v>
      </c>
      <c r="E12" s="48" t="s">
        <v>216</v>
      </c>
      <c r="F12" s="42">
        <v>0.23</v>
      </c>
      <c r="G12" s="43" t="s">
        <v>207</v>
      </c>
      <c r="H12" s="42">
        <v>-2.1</v>
      </c>
      <c r="I12" s="44" t="s">
        <v>206</v>
      </c>
      <c r="J12" s="42">
        <v>0.13</v>
      </c>
      <c r="K12" s="43" t="s">
        <v>207</v>
      </c>
      <c r="L12" s="42">
        <v>-0.78</v>
      </c>
      <c r="M12" s="44" t="s">
        <v>213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>
      <c r="A13" s="49" t="s">
        <v>201</v>
      </c>
      <c r="B13" s="3" t="s">
        <v>166</v>
      </c>
      <c r="C13" s="62" t="s">
        <v>166</v>
      </c>
      <c r="D13" s="1170"/>
      <c r="E13" s="48" t="s">
        <v>243</v>
      </c>
      <c r="F13" s="42">
        <v>0.23</v>
      </c>
      <c r="G13" s="43" t="s">
        <v>207</v>
      </c>
      <c r="H13" s="42">
        <v>-2.1</v>
      </c>
      <c r="I13" s="44" t="s">
        <v>265</v>
      </c>
      <c r="J13" s="42">
        <v>0.13</v>
      </c>
      <c r="K13" s="43" t="s">
        <v>207</v>
      </c>
      <c r="L13" s="42">
        <v>-0.78</v>
      </c>
      <c r="M13" s="44" t="s">
        <v>213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>
      <c r="A14" s="49" t="s">
        <v>202</v>
      </c>
      <c r="B14" s="62" t="s">
        <v>198</v>
      </c>
      <c r="C14" s="62" t="s">
        <v>216</v>
      </c>
      <c r="D14" s="1171"/>
      <c r="E14" s="48" t="s">
        <v>244</v>
      </c>
      <c r="F14" s="42">
        <v>0.23</v>
      </c>
      <c r="G14" s="43" t="s">
        <v>207</v>
      </c>
      <c r="H14" s="42">
        <v>-2.1</v>
      </c>
      <c r="I14" s="44" t="s">
        <v>206</v>
      </c>
      <c r="J14" s="42">
        <v>0.13</v>
      </c>
      <c r="K14" s="43" t="s">
        <v>207</v>
      </c>
      <c r="L14" s="42">
        <v>-0.78</v>
      </c>
      <c r="M14" s="44" t="s">
        <v>213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>
      <c r="B15" s="66" t="s">
        <v>245</v>
      </c>
      <c r="C15" s="62" t="s">
        <v>243</v>
      </c>
      <c r="D15" s="1169" t="s">
        <v>245</v>
      </c>
      <c r="E15" s="48" t="s">
        <v>216</v>
      </c>
      <c r="F15" s="42">
        <v>0.23</v>
      </c>
      <c r="G15" s="43" t="s">
        <v>207</v>
      </c>
      <c r="H15" s="42">
        <v>-2.1</v>
      </c>
      <c r="I15" s="44" t="s">
        <v>206</v>
      </c>
      <c r="J15" s="42">
        <v>0.13</v>
      </c>
      <c r="K15" s="43" t="s">
        <v>207</v>
      </c>
      <c r="L15" s="42">
        <v>-0.78</v>
      </c>
      <c r="M15" s="44" t="s">
        <v>213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>
      <c r="C16" s="62" t="s">
        <v>244</v>
      </c>
      <c r="D16" s="1170"/>
      <c r="E16" s="48" t="s">
        <v>243</v>
      </c>
      <c r="F16" s="42">
        <v>0.23</v>
      </c>
      <c r="G16" s="43" t="s">
        <v>207</v>
      </c>
      <c r="H16" s="42">
        <v>-2.1</v>
      </c>
      <c r="I16" s="44" t="s">
        <v>206</v>
      </c>
      <c r="J16" s="42">
        <v>0.13</v>
      </c>
      <c r="K16" s="43" t="s">
        <v>207</v>
      </c>
      <c r="L16" s="42">
        <v>-0.78</v>
      </c>
      <c r="M16" s="44" t="s">
        <v>213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>
      <c r="C17" s="62"/>
      <c r="D17" s="1171"/>
      <c r="E17" s="48" t="s">
        <v>244</v>
      </c>
      <c r="F17" s="42">
        <v>0.23</v>
      </c>
      <c r="G17" s="43" t="s">
        <v>207</v>
      </c>
      <c r="H17" s="42">
        <v>-2.1</v>
      </c>
      <c r="I17" s="44" t="s">
        <v>206</v>
      </c>
      <c r="J17" s="42">
        <v>0.13</v>
      </c>
      <c r="K17" s="43" t="s">
        <v>207</v>
      </c>
      <c r="L17" s="42">
        <v>-0.78</v>
      </c>
      <c r="M17" s="44" t="s">
        <v>213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>
      <c r="D18" s="48" t="s">
        <v>166</v>
      </c>
      <c r="E18" s="48" t="s">
        <v>166</v>
      </c>
      <c r="F18" s="42">
        <v>0</v>
      </c>
      <c r="G18" s="43" t="s">
        <v>301</v>
      </c>
      <c r="H18" s="42">
        <v>0</v>
      </c>
      <c r="I18" s="43" t="s">
        <v>301</v>
      </c>
      <c r="J18" s="42">
        <v>0</v>
      </c>
      <c r="K18" s="43" t="s">
        <v>301</v>
      </c>
      <c r="L18" s="42">
        <v>0</v>
      </c>
      <c r="M18" s="43" t="s">
        <v>301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>
      <c r="P19" s="16"/>
      <c r="Q19" s="16"/>
      <c r="S19"/>
      <c r="T19"/>
      <c r="U19"/>
    </row>
    <row r="20" spans="2:53" ht="20.25" thickTop="1" thickBot="1">
      <c r="C20" s="1185" t="s">
        <v>215</v>
      </c>
      <c r="D20" s="1185"/>
      <c r="E20" s="1185"/>
      <c r="F20" s="1185"/>
      <c r="G20" s="1185"/>
      <c r="H20" s="1186" t="s">
        <v>304</v>
      </c>
      <c r="I20" s="1187"/>
      <c r="J20" s="1187"/>
      <c r="K20" s="1187"/>
      <c r="L20"/>
      <c r="M20"/>
      <c r="P20" s="16"/>
      <c r="Q20" s="16"/>
    </row>
    <row r="21" spans="2:53" ht="17.25" thickTop="1" thickBot="1">
      <c r="C21" s="40" t="s">
        <v>246</v>
      </c>
      <c r="D21" s="40" t="s">
        <v>1</v>
      </c>
      <c r="E21" s="40" t="s">
        <v>11</v>
      </c>
      <c r="F21" s="40" t="s">
        <v>192</v>
      </c>
      <c r="G21" s="40" t="s">
        <v>291</v>
      </c>
      <c r="H21" s="73" t="s">
        <v>249</v>
      </c>
      <c r="I21" s="68" t="s">
        <v>260</v>
      </c>
      <c r="J21" s="68" t="s">
        <v>11</v>
      </c>
      <c r="K21" s="68" t="s">
        <v>193</v>
      </c>
      <c r="P21" s="16"/>
      <c r="Q21" s="16"/>
      <c r="AB21" s="16" t="s">
        <v>250</v>
      </c>
      <c r="AC21" s="16" t="s">
        <v>1</v>
      </c>
      <c r="AD21" s="16" t="s">
        <v>11</v>
      </c>
      <c r="AE21" s="16" t="s">
        <v>251</v>
      </c>
      <c r="AF21" s="16" t="s">
        <v>252</v>
      </c>
      <c r="AG21" s="16" t="s">
        <v>253</v>
      </c>
      <c r="AH21" s="16" t="s">
        <v>254</v>
      </c>
      <c r="AI21" s="16" t="s">
        <v>255</v>
      </c>
      <c r="AJ21" s="16" t="s">
        <v>257</v>
      </c>
      <c r="AK21" s="16" t="s">
        <v>258</v>
      </c>
      <c r="AL21" s="16" t="s">
        <v>272</v>
      </c>
      <c r="AM21" s="16" t="s">
        <v>259</v>
      </c>
      <c r="AN21" s="16" t="s">
        <v>192</v>
      </c>
      <c r="AO21" s="16" t="s">
        <v>209</v>
      </c>
      <c r="AQ21" s="16" t="s">
        <v>266</v>
      </c>
      <c r="AR21" s="16" t="s">
        <v>267</v>
      </c>
      <c r="AS21" s="16" t="s">
        <v>268</v>
      </c>
      <c r="AT21" s="16" t="s">
        <v>269</v>
      </c>
      <c r="AU21" s="16" t="s">
        <v>11</v>
      </c>
      <c r="AW21" s="16" t="s">
        <v>266</v>
      </c>
      <c r="AX21" s="16" t="s">
        <v>267</v>
      </c>
      <c r="AY21" s="16" t="s">
        <v>268</v>
      </c>
      <c r="AZ21" s="16" t="s">
        <v>269</v>
      </c>
      <c r="BA21" s="16" t="s">
        <v>193</v>
      </c>
    </row>
    <row r="22" spans="2:53" ht="17.25" thickTop="1" thickBot="1">
      <c r="B22" s="72" t="s">
        <v>247</v>
      </c>
      <c r="C22" s="39" t="s">
        <v>201</v>
      </c>
      <c r="D22" s="74" t="s">
        <v>261</v>
      </c>
      <c r="E22" s="75" t="s">
        <v>194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>
      <c r="C23" s="78" t="str">
        <f>IF(C22=$A$13,$A$14,$A$13)</f>
        <v>BM</v>
      </c>
      <c r="D23" s="74" t="s">
        <v>261</v>
      </c>
      <c r="E23" s="75" t="s">
        <v>195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0.67500000000000004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>
      <c r="C24" s="78" t="str">
        <f t="shared" ref="C24:C31" si="29">IF(C23=$A$13,$A$14,$A$13)</f>
        <v>PM</v>
      </c>
      <c r="D24" s="74" t="s">
        <v>262</v>
      </c>
      <c r="E24" s="77" t="s">
        <v>273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>
      <c r="C25" s="78" t="str">
        <f t="shared" si="29"/>
        <v>BM</v>
      </c>
      <c r="D25" s="74" t="s">
        <v>262</v>
      </c>
      <c r="E25" s="77" t="s">
        <v>274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>
      <c r="C26" s="78" t="str">
        <f t="shared" si="29"/>
        <v>PM</v>
      </c>
      <c r="D26" s="74" t="str">
        <f>D25</f>
        <v>2024/12/21</v>
      </c>
      <c r="E26" s="77" t="s">
        <v>305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>
      <c r="B31" s="72" t="s">
        <v>248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>
      <c r="P32" s="16"/>
      <c r="Q32" s="16"/>
      <c r="X32"/>
      <c r="Y32" s="1178"/>
      <c r="Z32" s="1178"/>
      <c r="AA32" s="1178"/>
    </row>
    <row r="33" spans="3:83">
      <c r="P33" s="16"/>
      <c r="Q33" s="16"/>
      <c r="X33"/>
      <c r="Y33" s="1178"/>
      <c r="Z33" s="1178"/>
      <c r="AA33" s="1178"/>
    </row>
    <row r="34" spans="3:83">
      <c r="X34"/>
      <c r="Y34" s="1178"/>
      <c r="Z34" s="1178"/>
      <c r="AA34" s="1178"/>
      <c r="AC34" s="51">
        <f ca="1">IF(AM22,J22,AD7)</f>
        <v>45646.416666666664</v>
      </c>
      <c r="AD34" s="16" t="s">
        <v>271</v>
      </c>
      <c r="AE34" s="16" t="s">
        <v>271</v>
      </c>
      <c r="AF34" s="16" t="s">
        <v>271</v>
      </c>
      <c r="AG34" s="16" t="s">
        <v>271</v>
      </c>
      <c r="AH34" s="16" t="s">
        <v>271</v>
      </c>
      <c r="AI34" s="51">
        <f ca="1">IF($AM$23,$J$23,AC34+6/24)</f>
        <v>45646.675000000003</v>
      </c>
      <c r="AJ34" s="16" t="s">
        <v>271</v>
      </c>
      <c r="AK34" s="16" t="s">
        <v>271</v>
      </c>
      <c r="AL34" s="16" t="s">
        <v>271</v>
      </c>
      <c r="AM34" s="16" t="s">
        <v>271</v>
      </c>
      <c r="AN34" s="16" t="s">
        <v>271</v>
      </c>
      <c r="AO34" s="51">
        <f ca="1">IF($AM$24,$J$24,AI34+6/24)</f>
        <v>45647.008333333331</v>
      </c>
      <c r="AP34" s="16" t="s">
        <v>271</v>
      </c>
      <c r="AQ34" s="16" t="s">
        <v>271</v>
      </c>
      <c r="AR34" s="16" t="s">
        <v>271</v>
      </c>
      <c r="AS34" s="16" t="s">
        <v>271</v>
      </c>
      <c r="AT34" s="16" t="s">
        <v>271</v>
      </c>
      <c r="AU34" s="51">
        <f ca="1">IF($AM$25,$J$25,AO34+6/24)</f>
        <v>45647.258333333331</v>
      </c>
      <c r="AV34" s="16" t="s">
        <v>271</v>
      </c>
      <c r="AW34" s="16" t="s">
        <v>271</v>
      </c>
      <c r="AX34" s="16" t="s">
        <v>271</v>
      </c>
      <c r="AY34" s="16" t="s">
        <v>271</v>
      </c>
      <c r="AZ34" s="16" t="s">
        <v>271</v>
      </c>
      <c r="BA34" s="51">
        <f ca="1">IF($AM$26,$J$26,AU34+6/24)</f>
        <v>45647.51666666667</v>
      </c>
      <c r="BB34" s="16" t="s">
        <v>271</v>
      </c>
      <c r="BC34" s="16" t="s">
        <v>271</v>
      </c>
      <c r="BD34" s="16" t="s">
        <v>271</v>
      </c>
      <c r="BE34" s="16" t="s">
        <v>271</v>
      </c>
      <c r="BF34" s="16" t="s">
        <v>271</v>
      </c>
      <c r="BG34" s="51">
        <f ca="1">IF($AM$27,$J$27,BA34+6/24)</f>
        <v>45647.76666666667</v>
      </c>
      <c r="BH34" s="16" t="s">
        <v>271</v>
      </c>
      <c r="BI34" s="16" t="s">
        <v>271</v>
      </c>
      <c r="BJ34" s="16" t="s">
        <v>271</v>
      </c>
      <c r="BK34" s="16" t="s">
        <v>271</v>
      </c>
      <c r="BL34" s="16" t="s">
        <v>271</v>
      </c>
      <c r="BM34" s="51">
        <f ca="1">IF($AM$28,$J$28,BG34+6/24)</f>
        <v>45648.01666666667</v>
      </c>
      <c r="BN34" s="16" t="s">
        <v>271</v>
      </c>
      <c r="BO34" s="16" t="s">
        <v>271</v>
      </c>
      <c r="BP34" s="16" t="s">
        <v>271</v>
      </c>
      <c r="BQ34" s="16" t="s">
        <v>271</v>
      </c>
      <c r="BR34" s="16" t="s">
        <v>271</v>
      </c>
      <c r="BS34" s="51">
        <f ca="1">IF($AM$29,$J$29,BM34+6/24)</f>
        <v>45648.26666666667</v>
      </c>
      <c r="BT34" s="16" t="s">
        <v>271</v>
      </c>
      <c r="BU34" s="16" t="s">
        <v>271</v>
      </c>
      <c r="BV34" s="16" t="s">
        <v>271</v>
      </c>
      <c r="BW34" s="16" t="s">
        <v>271</v>
      </c>
      <c r="BX34" s="16" t="s">
        <v>271</v>
      </c>
      <c r="BY34" s="51">
        <f ca="1">IF($AM$30,$J$30,BS34+6/24)</f>
        <v>45648.51666666667</v>
      </c>
      <c r="BZ34" s="16" t="s">
        <v>271</v>
      </c>
      <c r="CA34" s="16" t="s">
        <v>271</v>
      </c>
      <c r="CB34" s="16" t="s">
        <v>271</v>
      </c>
      <c r="CC34" s="16" t="s">
        <v>271</v>
      </c>
      <c r="CD34" s="16" t="s">
        <v>271</v>
      </c>
      <c r="CE34" s="51">
        <f ca="1">IF($AM$31,$J$31,BY34+6/24)</f>
        <v>45648.76666666667</v>
      </c>
    </row>
    <row r="35" spans="3:83" ht="18.75">
      <c r="C35" s="1181" t="s">
        <v>292</v>
      </c>
      <c r="D35" s="1182"/>
      <c r="E35" s="1182"/>
      <c r="F35" s="1183"/>
      <c r="AB35" s="16" t="s">
        <v>270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>
      <c r="C36" s="16" t="s">
        <v>281</v>
      </c>
      <c r="D36" s="16">
        <v>5.01</v>
      </c>
      <c r="E36" s="16" t="s">
        <v>196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>
      <c r="C37" s="16" t="s">
        <v>293</v>
      </c>
      <c r="D37" s="53" t="s">
        <v>289</v>
      </c>
      <c r="AB37" s="16" t="s">
        <v>193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>
      <c r="D38" s="1173" t="s">
        <v>294</v>
      </c>
      <c r="E38" s="1173"/>
    </row>
    <row r="39" spans="3:83">
      <c r="D39" s="59" t="s">
        <v>11</v>
      </c>
      <c r="E39" s="67" t="s">
        <v>193</v>
      </c>
      <c r="F39" s="1184" t="s">
        <v>295</v>
      </c>
      <c r="G39" s="1179" t="s">
        <v>296</v>
      </c>
      <c r="H39" s="1180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>
      <c r="D40" s="58">
        <f ca="1">J22</f>
        <v>45646.416666666664</v>
      </c>
      <c r="E40" s="61">
        <f ca="1">K22</f>
        <v>9.56</v>
      </c>
      <c r="F40" s="1184"/>
      <c r="G40" s="36" t="s">
        <v>297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>
      <c r="D41" s="1191">
        <f ca="1">AJ46</f>
        <v>45646.67386695907</v>
      </c>
      <c r="E41" s="1192"/>
      <c r="F41" s="1193"/>
      <c r="G41" s="63" t="str">
        <f ca="1">IF(AS65,AJ65,"-")</f>
        <v>-</v>
      </c>
      <c r="H41" s="64" t="str">
        <f ca="1">IF(AS65,AL65,"Impossible")</f>
        <v>Impossible</v>
      </c>
      <c r="AC41" s="16" t="s">
        <v>299</v>
      </c>
      <c r="AD41" s="16">
        <f ca="1">(AM39-AC39)/10</f>
        <v>0.23500000000058208</v>
      </c>
    </row>
    <row r="42" spans="3:83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>
      <c r="D43" s="1188">
        <f ca="1">AJ48</f>
        <v>45646.676282051281</v>
      </c>
      <c r="E43" s="1189"/>
      <c r="F43" s="1190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193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>
      <c r="D45" s="1188">
        <f ca="1">AJ50</f>
        <v>45647.234480122323</v>
      </c>
      <c r="E45" s="1189"/>
      <c r="F45" s="1190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298</v>
      </c>
      <c r="AC45" s="54" t="s">
        <v>275</v>
      </c>
      <c r="AD45" s="16" t="s">
        <v>276</v>
      </c>
      <c r="AE45" s="16" t="s">
        <v>279</v>
      </c>
      <c r="AF45" s="16" t="s">
        <v>277</v>
      </c>
      <c r="AG45" s="16" t="s">
        <v>278</v>
      </c>
      <c r="AH45" s="16" t="s">
        <v>280</v>
      </c>
      <c r="AI45" s="16" t="s">
        <v>282</v>
      </c>
      <c r="AJ45" s="16" t="s">
        <v>11</v>
      </c>
    </row>
    <row r="46" spans="3:83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>
      <c r="D47" s="1188">
        <f ca="1">AJ52</f>
        <v>45647.285362173039</v>
      </c>
      <c r="E47" s="1189"/>
      <c r="F47" s="1190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>
      <c r="D49" s="1188" t="e">
        <f ca="1">AJ54</f>
        <v>#VALUE!</v>
      </c>
      <c r="E49" s="1189"/>
      <c r="F49" s="1190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>
      <c r="D51" s="1188" t="e">
        <f>AJ56</f>
        <v>#VALUE!</v>
      </c>
      <c r="E51" s="1189"/>
      <c r="F51" s="1190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>
      <c r="D53" s="1188" t="e">
        <f>AJ58</f>
        <v>#VALUE!</v>
      </c>
      <c r="E53" s="1189"/>
      <c r="F53" s="1190"/>
      <c r="G53" s="63" t="e">
        <f>IF(AS71,AJ71,"-")</f>
        <v>#VALUE!</v>
      </c>
      <c r="H53" s="64" t="e">
        <f>IF(AS71,AL71,"Impossible")</f>
        <v>#VALUE!</v>
      </c>
      <c r="Q53" s="16"/>
    </row>
    <row r="54" spans="4:51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>
      <c r="D55" s="1188" t="str">
        <f>AJ60</f>
        <v>impossible</v>
      </c>
      <c r="E55" s="1189"/>
      <c r="F55" s="1190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>
      <c r="D57" s="1188" t="str">
        <f>AJ62</f>
        <v>impossible</v>
      </c>
      <c r="E57" s="1189"/>
      <c r="F57" s="1190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>
      <c r="O59"/>
      <c r="P59"/>
      <c r="Q59"/>
      <c r="R59"/>
      <c r="S59"/>
      <c r="T59"/>
      <c r="U59"/>
      <c r="V59"/>
      <c r="W59"/>
      <c r="X59"/>
      <c r="Y59"/>
    </row>
    <row r="60" spans="4:51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>
      <c r="O61"/>
      <c r="P61"/>
      <c r="Q61"/>
      <c r="R61"/>
      <c r="S61"/>
      <c r="T61"/>
      <c r="U61"/>
      <c r="V61"/>
      <c r="W61"/>
      <c r="X61"/>
      <c r="Y61"/>
    </row>
    <row r="62" spans="4:51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>
      <c r="O63"/>
      <c r="P63"/>
      <c r="Q63"/>
      <c r="R63"/>
      <c r="S63"/>
      <c r="T63"/>
      <c r="U63"/>
      <c r="V63"/>
      <c r="W63"/>
      <c r="X63"/>
      <c r="Y63"/>
    </row>
    <row r="64" spans="4:51">
      <c r="O64"/>
      <c r="P64"/>
      <c r="Q64"/>
      <c r="R64"/>
      <c r="S64"/>
      <c r="T64"/>
      <c r="U64"/>
      <c r="V64"/>
      <c r="W64"/>
      <c r="X64"/>
      <c r="Y64"/>
      <c r="AC64" s="56" t="s">
        <v>275</v>
      </c>
      <c r="AD64" s="56" t="s">
        <v>276</v>
      </c>
      <c r="AE64" s="56" t="s">
        <v>279</v>
      </c>
      <c r="AF64" s="56" t="s">
        <v>290</v>
      </c>
      <c r="AG64" s="56" t="s">
        <v>278</v>
      </c>
      <c r="AH64" s="56" t="s">
        <v>280</v>
      </c>
      <c r="AI64" s="56" t="s">
        <v>282</v>
      </c>
      <c r="AJ64" s="56" t="s">
        <v>11</v>
      </c>
      <c r="AK64" s="56" t="s">
        <v>283</v>
      </c>
      <c r="AL64" s="16" t="s">
        <v>284</v>
      </c>
      <c r="AN64" s="16" t="s">
        <v>263</v>
      </c>
      <c r="AO64" s="16" t="s">
        <v>101</v>
      </c>
      <c r="AP64" s="16" t="s">
        <v>264</v>
      </c>
      <c r="AQ64" s="16" t="s">
        <v>65</v>
      </c>
      <c r="AR64" s="16" t="s">
        <v>264</v>
      </c>
      <c r="AS64" s="16" t="s">
        <v>285</v>
      </c>
      <c r="AT64" s="16" t="s">
        <v>286</v>
      </c>
      <c r="AU64" s="16" t="s">
        <v>287</v>
      </c>
      <c r="AV64" s="16" t="s">
        <v>288</v>
      </c>
      <c r="AW64" s="16" t="s">
        <v>264</v>
      </c>
      <c r="AX64" s="16" t="s">
        <v>11</v>
      </c>
      <c r="AY64" s="16" t="s">
        <v>11</v>
      </c>
    </row>
    <row r="65" spans="15:51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>
      <c r="O74"/>
      <c r="P74"/>
      <c r="Q74"/>
      <c r="R74"/>
      <c r="S74"/>
      <c r="T74"/>
      <c r="U74"/>
      <c r="V74"/>
      <c r="W74"/>
      <c r="X74"/>
      <c r="Y74"/>
    </row>
    <row r="75" spans="15:51">
      <c r="O75"/>
      <c r="P75"/>
      <c r="Q75"/>
      <c r="R75"/>
      <c r="S75"/>
      <c r="T75"/>
      <c r="U75"/>
      <c r="V75"/>
      <c r="W75"/>
      <c r="X75"/>
      <c r="Y75"/>
    </row>
    <row r="76" spans="15:51">
      <c r="O76"/>
      <c r="P76"/>
      <c r="Q76"/>
      <c r="R76"/>
      <c r="S76"/>
      <c r="T76"/>
      <c r="U76"/>
      <c r="V76"/>
      <c r="W76"/>
      <c r="X76"/>
      <c r="Y76"/>
    </row>
    <row r="77" spans="15:51">
      <c r="O77"/>
      <c r="P77"/>
      <c r="Q77"/>
      <c r="R77"/>
      <c r="S77"/>
      <c r="T77"/>
      <c r="U77"/>
      <c r="V77"/>
      <c r="W77"/>
      <c r="X77"/>
      <c r="Y77"/>
    </row>
    <row r="78" spans="15:51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baseColWidth="10" defaultColWidth="7.28515625" defaultRowHeight="1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>
      <c r="K3" s="84" t="s">
        <v>210</v>
      </c>
      <c r="L3" s="84" t="s">
        <v>217</v>
      </c>
      <c r="M3" s="84" t="s">
        <v>208</v>
      </c>
      <c r="N3" s="85" t="s">
        <v>220</v>
      </c>
      <c r="P3" s="84" t="s">
        <v>211</v>
      </c>
      <c r="Q3" s="84" t="s">
        <v>209</v>
      </c>
      <c r="R3" s="84" t="s">
        <v>212</v>
      </c>
      <c r="S3" s="84" t="s">
        <v>214</v>
      </c>
      <c r="T3" s="84" t="s">
        <v>192</v>
      </c>
    </row>
    <row r="4" spans="2:20">
      <c r="B4" s="1194" t="s">
        <v>218</v>
      </c>
      <c r="C4" s="87" t="str">
        <f>Maree!D22</f>
        <v>2024/12/20</v>
      </c>
      <c r="D4" s="88" t="s">
        <v>318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>
      <c r="B5" s="1194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>
      <c r="B6" s="1195" t="s">
        <v>219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>
      <c r="B7" s="1195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>
      <c r="B8" s="1195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>
      <c r="B9" s="1195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>
      <c r="B10" s="1195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>
      <c r="B11" s="1195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>
      <c r="B12" s="1195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>
      <c r="B13" s="1195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>
      <c r="B14" s="1195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>
      <c r="B15" s="1195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>
      <c r="B16" s="1195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>
      <c r="B17" s="1195"/>
      <c r="C17" s="92"/>
      <c r="D17" s="92"/>
      <c r="E17" s="92"/>
      <c r="F17" s="92"/>
    </row>
    <row r="18" spans="2:10">
      <c r="B18" s="1195"/>
      <c r="C18" s="92"/>
      <c r="D18" s="92"/>
      <c r="E18" s="92"/>
      <c r="F18" s="92"/>
    </row>
    <row r="30" spans="2:10">
      <c r="E30" s="82">
        <f>18+46/60</f>
        <v>18.766666666666666</v>
      </c>
    </row>
    <row r="31" spans="2:10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1:BN24"/>
  <sheetViews>
    <sheetView workbookViewId="0">
      <selection activeCell="J15" sqref="A1:XFD1048576"/>
    </sheetView>
  </sheetViews>
  <sheetFormatPr baseColWidth="10" defaultColWidth="11.42578125" defaultRowHeight="15"/>
  <sheetData>
    <row r="1" spans="1:23">
      <c r="A1" s="506" t="s">
        <v>228</v>
      </c>
      <c r="B1" s="506"/>
      <c r="C1" s="506"/>
      <c r="D1" s="506"/>
      <c r="E1" s="497" t="s">
        <v>229</v>
      </c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</row>
    <row r="2" spans="1:23">
      <c r="A2" s="506"/>
      <c r="B2" s="506"/>
      <c r="C2" s="506"/>
      <c r="D2" s="506"/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</row>
    <row r="3" spans="1:23">
      <c r="A3" s="506"/>
      <c r="B3" s="506"/>
      <c r="C3" s="506"/>
      <c r="D3" s="506"/>
      <c r="E3" s="502" t="s">
        <v>233</v>
      </c>
      <c r="F3" s="502"/>
      <c r="G3" s="502"/>
      <c r="H3" s="504" t="s">
        <v>232</v>
      </c>
      <c r="I3" s="504"/>
      <c r="J3" s="504"/>
      <c r="K3" s="98"/>
      <c r="L3" s="1205" t="s">
        <v>435</v>
      </c>
      <c r="M3" s="1206"/>
      <c r="N3" s="1207"/>
      <c r="O3" s="1199" t="s">
        <v>353</v>
      </c>
      <c r="P3" s="1200"/>
      <c r="Q3" s="1201"/>
      <c r="R3" s="98"/>
      <c r="S3" s="98"/>
      <c r="T3" s="98"/>
      <c r="U3" s="98"/>
      <c r="V3" s="98"/>
      <c r="W3" s="98"/>
    </row>
    <row r="4" spans="1:23">
      <c r="A4" s="506"/>
      <c r="B4" s="506"/>
      <c r="C4" s="506"/>
      <c r="D4" s="506"/>
      <c r="E4" s="503"/>
      <c r="F4" s="503"/>
      <c r="G4" s="503"/>
      <c r="H4" s="505"/>
      <c r="I4" s="505"/>
      <c r="J4" s="505"/>
      <c r="K4" s="98"/>
      <c r="L4" s="1208"/>
      <c r="M4" s="1209"/>
      <c r="N4" s="1210"/>
      <c r="O4" s="1202"/>
      <c r="P4" s="1203"/>
      <c r="Q4" s="1204"/>
      <c r="R4" s="98"/>
      <c r="S4" s="98"/>
      <c r="T4" s="98"/>
      <c r="U4" s="98"/>
      <c r="V4" s="98"/>
      <c r="W4" s="98"/>
    </row>
    <row r="8" spans="1:23" ht="15.75" thickBot="1"/>
    <row r="9" spans="1:23">
      <c r="C9" s="1196" t="s">
        <v>138</v>
      </c>
      <c r="D9" s="1197"/>
      <c r="E9" s="1197"/>
      <c r="F9" s="1198"/>
    </row>
    <row r="10" spans="1:23">
      <c r="C10" s="134" t="s">
        <v>62</v>
      </c>
      <c r="D10" s="135" t="s">
        <v>121</v>
      </c>
      <c r="E10" s="136" t="s">
        <v>302</v>
      </c>
      <c r="F10" s="137">
        <f>PI()/180</f>
        <v>1.7453292519943295E-2</v>
      </c>
    </row>
    <row r="11" spans="1:23" ht="15.75" thickBot="1">
      <c r="C11" s="101" t="s">
        <v>123</v>
      </c>
      <c r="D11" s="138" t="s">
        <v>121</v>
      </c>
      <c r="E11" s="139" t="s">
        <v>303</v>
      </c>
      <c r="F11" s="140">
        <f>180/PI()</f>
        <v>57.295779513082323</v>
      </c>
    </row>
    <row r="12" spans="1:23" ht="15.75" thickBot="1"/>
    <row r="13" spans="1:23" ht="15.75" thickBot="1">
      <c r="C13" s="725" t="s">
        <v>41</v>
      </c>
      <c r="D13" s="726"/>
      <c r="E13" s="727"/>
    </row>
    <row r="14" spans="1:23">
      <c r="C14" s="99" t="s">
        <v>49</v>
      </c>
      <c r="D14" s="114" t="s">
        <v>50</v>
      </c>
      <c r="E14" s="100"/>
    </row>
    <row r="15" spans="1:23">
      <c r="C15" s="99" t="s">
        <v>3</v>
      </c>
      <c r="D15" s="114" t="s">
        <v>5</v>
      </c>
      <c r="E15" s="100">
        <v>1</v>
      </c>
    </row>
    <row r="16" spans="1:23" ht="15.75" thickBot="1">
      <c r="C16" s="101" t="s">
        <v>4</v>
      </c>
      <c r="D16" s="102" t="s">
        <v>6</v>
      </c>
      <c r="E16" s="103">
        <v>-1</v>
      </c>
    </row>
    <row r="21" spans="28:66" s="98" customFormat="1" ht="17.25" customHeight="1">
      <c r="AB21" s="145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106"/>
    </row>
    <row r="22" spans="28:66" s="98" customFormat="1" ht="17.25" customHeight="1"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28:66" s="98" customFormat="1" ht="17.25" customHeight="1"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28:66" s="98" customFormat="1" ht="17.25" customHeight="1">
      <c r="AB24" s="145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06"/>
    </row>
  </sheetData>
  <sheetProtection selectLockedCells="1" selectUnlockedCells="1"/>
  <mergeCells count="8">
    <mergeCell ref="C9:F9"/>
    <mergeCell ref="C13:E13"/>
    <mergeCell ref="A1:D4"/>
    <mergeCell ref="O3:Q4"/>
    <mergeCell ref="L3:N4"/>
    <mergeCell ref="H3:J4"/>
    <mergeCell ref="E3:G4"/>
    <mergeCell ref="E1:W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dimension ref="B1:I7"/>
  <sheetViews>
    <sheetView workbookViewId="0">
      <selection activeCell="F13" sqref="F13"/>
    </sheetView>
  </sheetViews>
  <sheetFormatPr baseColWidth="10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697</v>
      </c>
      <c r="E1" s="1266">
        <v>31557600</v>
      </c>
      <c r="G1" s="1267" t="s">
        <v>702</v>
      </c>
      <c r="H1" s="1267"/>
    </row>
    <row r="3" spans="2:9">
      <c r="B3" s="39" t="s">
        <v>690</v>
      </c>
      <c r="C3" s="39" t="s">
        <v>691</v>
      </c>
      <c r="D3" s="1220" t="s">
        <v>696</v>
      </c>
      <c r="E3" s="1268" t="s">
        <v>698</v>
      </c>
      <c r="F3" s="1220" t="s">
        <v>695</v>
      </c>
      <c r="G3" s="1270" t="s">
        <v>700</v>
      </c>
      <c r="H3" s="1220" t="s">
        <v>701</v>
      </c>
      <c r="I3" s="1269" t="s">
        <v>703</v>
      </c>
    </row>
    <row r="4" spans="2:9">
      <c r="B4" s="1271" t="s">
        <v>692</v>
      </c>
      <c r="C4" s="39">
        <v>0</v>
      </c>
      <c r="D4" s="1220">
        <f>dateConvert2Decimal(B4)</f>
        <v>1696118400</v>
      </c>
      <c r="E4" s="1220"/>
      <c r="F4" s="1220"/>
      <c r="G4" s="1270"/>
      <c r="H4" s="1220"/>
      <c r="I4" s="1270"/>
    </row>
    <row r="5" spans="2:9">
      <c r="B5" s="376" t="s">
        <v>693</v>
      </c>
      <c r="C5" s="39">
        <v>62</v>
      </c>
      <c r="D5" s="1220">
        <f>dateConvert2Decimal(B5)</f>
        <v>1714521600</v>
      </c>
      <c r="E5" s="1220">
        <f>D5-$D$4</f>
        <v>18403200</v>
      </c>
      <c r="F5" s="1220">
        <f>$E$1*C5/E5</f>
        <v>106.3169014084507</v>
      </c>
      <c r="G5" s="1270">
        <f>30*H5</f>
        <v>8.7323943661971821</v>
      </c>
      <c r="H5" s="1220">
        <f>F5/365.25</f>
        <v>0.29107981220657275</v>
      </c>
      <c r="I5" s="1270">
        <v>10</v>
      </c>
    </row>
    <row r="6" spans="2:9">
      <c r="B6" s="376" t="s">
        <v>694</v>
      </c>
      <c r="C6" s="39">
        <v>73</v>
      </c>
      <c r="D6" s="1220">
        <f>dateConvert2Decimal(B6)</f>
        <v>1721606400</v>
      </c>
      <c r="E6" s="1220">
        <f t="shared" ref="E6:G7" si="0">D6-$D$4</f>
        <v>25488000</v>
      </c>
      <c r="F6" s="1220">
        <f>$E$1*C6/E6</f>
        <v>90.383898305084742</v>
      </c>
      <c r="G6" s="1270">
        <f>30*H6</f>
        <v>7.4237288135593218</v>
      </c>
      <c r="H6" s="1220">
        <f t="shared" ref="H6:H7" si="1">F6/365.25</f>
        <v>0.24745762711864405</v>
      </c>
      <c r="I6" s="1270">
        <v>12</v>
      </c>
    </row>
    <row r="7" spans="2:9">
      <c r="B7" s="1271" t="s">
        <v>699</v>
      </c>
      <c r="C7" s="39">
        <v>86</v>
      </c>
      <c r="D7" s="1220">
        <f>dateConvert2Decimal(B7)</f>
        <v>1722816000</v>
      </c>
      <c r="E7" s="1220">
        <f t="shared" si="0"/>
        <v>26697600</v>
      </c>
      <c r="F7" s="1220">
        <f>$E$1*C7/E7</f>
        <v>101.65533980582525</v>
      </c>
      <c r="G7" s="1270">
        <f>30*H7</f>
        <v>8.3495145631067977</v>
      </c>
      <c r="H7" s="1220">
        <f t="shared" si="1"/>
        <v>0.27831715210355989</v>
      </c>
      <c r="I7" s="1270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Nav</vt:lpstr>
      <vt:lpstr>Maree</vt:lpstr>
      <vt:lpstr>Maree-backend</vt:lpstr>
      <vt:lpstr>Outils</vt:lpstr>
      <vt:lpstr>Montre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2024-08-05T11:06:32Z</dcterms:modified>
</cp:coreProperties>
</file>