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INE\Desktop\New folder (3)\"/>
    </mc:Choice>
  </mc:AlternateContent>
  <xr:revisionPtr revIDLastSave="0" documentId="13_ncr:1_{DE63E817-E410-40BC-AB5D-93A48EA034E0}" xr6:coauthVersionLast="47" xr6:coauthVersionMax="47" xr10:uidLastSave="{00000000-0000-0000-0000-000000000000}"/>
  <bookViews>
    <workbookView xWindow="-108" yWindow="-108" windowWidth="23256" windowHeight="13176" activeTab="6" xr2:uid="{00000000-000D-0000-FFFF-FFFF00000000}"/>
  </bookViews>
  <sheets>
    <sheet name="Dashboard fin" sheetId="8" r:id="rId1"/>
    <sheet name="transactions" sheetId="6" r:id="rId2"/>
    <sheet name="DATA" sheetId="1" r:id="rId3"/>
    <sheet name="PLOTS" sheetId="4" r:id="rId4"/>
    <sheet name="sectors and industries" sheetId="3" r:id="rId5"/>
    <sheet name="calculations" sheetId="5" r:id="rId6"/>
    <sheet name="costs" sheetId="2" r:id="rId7"/>
  </sheets>
  <definedNames>
    <definedName name="target">'Dashboard fin'!$D$42</definedName>
    <definedName name="transaction">transactions!$A$2:$F$21</definedName>
    <definedName name="varcov">'Dashboard fin'!$Y$15:$AH$24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N36" i="5"/>
  <c r="M36" i="5"/>
  <c r="J14" i="8" s="1"/>
  <c r="J13" i="8"/>
  <c r="J12" i="8"/>
  <c r="J11" i="8"/>
  <c r="J10" i="8"/>
  <c r="J9" i="8"/>
  <c r="J8" i="8"/>
  <c r="J7" i="8"/>
  <c r="J6" i="8"/>
  <c r="J5" i="8"/>
  <c r="C36" i="5"/>
  <c r="D36" i="5"/>
  <c r="E36" i="5"/>
  <c r="F36" i="5"/>
  <c r="G36" i="5"/>
  <c r="H36" i="5"/>
  <c r="I36" i="5"/>
  <c r="J36" i="5"/>
  <c r="K36" i="5"/>
  <c r="L36" i="5"/>
  <c r="B36" i="5"/>
  <c r="D60" i="8"/>
  <c r="C60" i="8"/>
  <c r="C17" i="2"/>
  <c r="O21" i="5"/>
  <c r="M35" i="5"/>
  <c r="O34" i="5"/>
  <c r="AA41" i="1"/>
  <c r="X41" i="1"/>
  <c r="W41" i="1"/>
  <c r="V41" i="1"/>
  <c r="U41" i="1"/>
  <c r="T41" i="1"/>
  <c r="S41" i="1"/>
  <c r="R41" i="1"/>
  <c r="Q41" i="1"/>
  <c r="P41" i="1"/>
  <c r="Y41" i="1"/>
  <c r="X27" i="1"/>
  <c r="X28" i="1"/>
  <c r="X29" i="1"/>
  <c r="X30" i="1"/>
  <c r="X31" i="1"/>
  <c r="X26" i="1"/>
  <c r="W27" i="1"/>
  <c r="W28" i="1"/>
  <c r="W29" i="1"/>
  <c r="W30" i="1"/>
  <c r="W31" i="1"/>
  <c r="W26" i="1"/>
  <c r="V27" i="1"/>
  <c r="V28" i="1"/>
  <c r="V29" i="1"/>
  <c r="V30" i="1"/>
  <c r="V31" i="1"/>
  <c r="V26" i="1"/>
  <c r="U27" i="1"/>
  <c r="U28" i="1"/>
  <c r="U29" i="1"/>
  <c r="U26" i="1"/>
  <c r="Q27" i="1"/>
  <c r="Q28" i="1"/>
  <c r="Q29" i="1"/>
  <c r="Q30" i="1"/>
  <c r="Q31" i="1"/>
  <c r="Q26" i="1"/>
  <c r="O33" i="5"/>
  <c r="L35" i="5"/>
  <c r="K34" i="5"/>
  <c r="L34" i="5"/>
  <c r="L33" i="5"/>
  <c r="M22" i="5"/>
  <c r="M23" i="5"/>
  <c r="M24" i="5"/>
  <c r="M25" i="5"/>
  <c r="M26" i="5"/>
  <c r="M27" i="5"/>
  <c r="M28" i="5"/>
  <c r="M29" i="5"/>
  <c r="M30" i="5"/>
  <c r="M31" i="5"/>
  <c r="M32" i="5"/>
  <c r="M21" i="5"/>
  <c r="M34" i="5"/>
  <c r="K35" i="5"/>
  <c r="X39" i="1"/>
  <c r="Z41" i="1" l="1"/>
  <c r="K55" i="8"/>
  <c r="C15" i="2"/>
  <c r="R26" i="1"/>
  <c r="S26" i="1"/>
  <c r="T26" i="1"/>
  <c r="Y26" i="1"/>
  <c r="P26" i="1"/>
  <c r="N22" i="5"/>
  <c r="N23" i="5"/>
  <c r="N24" i="5"/>
  <c r="N25" i="5"/>
  <c r="N26" i="5"/>
  <c r="N27" i="5"/>
  <c r="N28" i="5"/>
  <c r="N29" i="5"/>
  <c r="N30" i="5"/>
  <c r="N31" i="5"/>
  <c r="N32" i="5"/>
  <c r="N33" i="5"/>
  <c r="N21" i="5"/>
  <c r="K33" i="5"/>
  <c r="L21" i="5"/>
  <c r="C34" i="5"/>
  <c r="D34" i="5"/>
  <c r="D35" i="5"/>
  <c r="C35" i="5"/>
  <c r="B34" i="5"/>
  <c r="B35" i="5"/>
  <c r="M33" i="5"/>
  <c r="M16" i="5"/>
  <c r="L16" i="5"/>
  <c r="C15" i="5"/>
  <c r="D15" i="5"/>
  <c r="E15" i="5"/>
  <c r="F15" i="5"/>
  <c r="G15" i="5"/>
  <c r="H15" i="5"/>
  <c r="I15" i="5"/>
  <c r="J15" i="5"/>
  <c r="K15" i="5"/>
  <c r="L15" i="5"/>
  <c r="M15" i="5"/>
  <c r="B15" i="5"/>
  <c r="M4" i="5"/>
  <c r="M5" i="5"/>
  <c r="M6" i="5"/>
  <c r="M7" i="5"/>
  <c r="M8" i="5"/>
  <c r="M9" i="5"/>
  <c r="M10" i="5"/>
  <c r="M11" i="5"/>
  <c r="M12" i="5"/>
  <c r="M13" i="5"/>
  <c r="M14" i="5"/>
  <c r="M3" i="5"/>
  <c r="M2" i="5"/>
  <c r="L3" i="5"/>
  <c r="AA27" i="1"/>
  <c r="AA28" i="1"/>
  <c r="AA29" i="1"/>
  <c r="AA30" i="1"/>
  <c r="AA31" i="1"/>
  <c r="AA32" i="1"/>
  <c r="AA33" i="1"/>
  <c r="AA34" i="1"/>
  <c r="AA35" i="1"/>
  <c r="AA36" i="1"/>
  <c r="AA37" i="1"/>
  <c r="Z39" i="1"/>
  <c r="Z40" i="1"/>
  <c r="Z38" i="1"/>
  <c r="Z27" i="1"/>
  <c r="Z28" i="1"/>
  <c r="Z29" i="1"/>
  <c r="Z30" i="1"/>
  <c r="Z31" i="1"/>
  <c r="Z32" i="1"/>
  <c r="Z33" i="1"/>
  <c r="Z34" i="1"/>
  <c r="Z35" i="1"/>
  <c r="Z36" i="1"/>
  <c r="C59" i="1"/>
  <c r="D59" i="1"/>
  <c r="E59" i="1"/>
  <c r="F59" i="1"/>
  <c r="G59" i="1"/>
  <c r="H59" i="1"/>
  <c r="I59" i="1"/>
  <c r="J59" i="1"/>
  <c r="K59" i="1"/>
  <c r="L59" i="1"/>
  <c r="M59" i="1"/>
  <c r="B59" i="1"/>
  <c r="C58" i="1"/>
  <c r="D58" i="1"/>
  <c r="E58" i="1"/>
  <c r="F58" i="1"/>
  <c r="G58" i="1"/>
  <c r="H58" i="1"/>
  <c r="I58" i="1"/>
  <c r="J58" i="1"/>
  <c r="K58" i="1"/>
  <c r="L58" i="1"/>
  <c r="M58" i="1"/>
  <c r="B58" i="1"/>
  <c r="C57" i="1"/>
  <c r="D57" i="1"/>
  <c r="E57" i="1"/>
  <c r="F57" i="1"/>
  <c r="G57" i="1"/>
  <c r="H57" i="1"/>
  <c r="I57" i="1"/>
  <c r="J57" i="1"/>
  <c r="K57" i="1"/>
  <c r="L57" i="1"/>
  <c r="M57" i="1"/>
  <c r="B57" i="1"/>
  <c r="B56" i="1"/>
  <c r="B55" i="1"/>
  <c r="C54" i="1"/>
  <c r="D54" i="1"/>
  <c r="E54" i="1"/>
  <c r="F54" i="1"/>
  <c r="G54" i="1"/>
  <c r="H54" i="1"/>
  <c r="I54" i="1"/>
  <c r="J54" i="1"/>
  <c r="K54" i="1"/>
  <c r="L54" i="1"/>
  <c r="M54" i="1"/>
  <c r="B54" i="1"/>
  <c r="C53" i="1"/>
  <c r="D53" i="1"/>
  <c r="E53" i="1"/>
  <c r="F53" i="1"/>
  <c r="G53" i="1"/>
  <c r="H53" i="1"/>
  <c r="I53" i="1"/>
  <c r="J53" i="1"/>
  <c r="K53" i="1"/>
  <c r="L53" i="1"/>
  <c r="M53" i="1"/>
  <c r="B53" i="1"/>
  <c r="C52" i="1"/>
  <c r="D52" i="1"/>
  <c r="E52" i="1"/>
  <c r="F52" i="1"/>
  <c r="G52" i="1"/>
  <c r="H52" i="1"/>
  <c r="I52" i="1"/>
  <c r="J52" i="1"/>
  <c r="K52" i="1"/>
  <c r="L52" i="1"/>
  <c r="M52" i="1"/>
  <c r="B52" i="1"/>
  <c r="C51" i="1"/>
  <c r="D51" i="1"/>
  <c r="E51" i="1"/>
  <c r="F51" i="1"/>
  <c r="G51" i="1"/>
  <c r="H51" i="1"/>
  <c r="I51" i="1"/>
  <c r="J51" i="1"/>
  <c r="K51" i="1"/>
  <c r="L51" i="1"/>
  <c r="M51" i="1"/>
  <c r="B51" i="1"/>
  <c r="C50" i="1"/>
  <c r="D50" i="1"/>
  <c r="E50" i="1"/>
  <c r="F50" i="1"/>
  <c r="G50" i="1"/>
  <c r="H50" i="1"/>
  <c r="I50" i="1"/>
  <c r="J50" i="1"/>
  <c r="K50" i="1"/>
  <c r="L50" i="1"/>
  <c r="M50" i="1"/>
  <c r="B50" i="1"/>
  <c r="C49" i="1"/>
  <c r="D49" i="1"/>
  <c r="E49" i="1"/>
  <c r="F49" i="1"/>
  <c r="G49" i="1"/>
  <c r="H49" i="1"/>
  <c r="I49" i="1"/>
  <c r="J49" i="1"/>
  <c r="K49" i="1"/>
  <c r="L49" i="1"/>
  <c r="M49" i="1"/>
  <c r="B49" i="1"/>
  <c r="C48" i="1"/>
  <c r="D48" i="1"/>
  <c r="E48" i="1"/>
  <c r="F48" i="1"/>
  <c r="G48" i="1"/>
  <c r="H48" i="1"/>
  <c r="I48" i="1"/>
  <c r="J48" i="1"/>
  <c r="K48" i="1"/>
  <c r="L48" i="1"/>
  <c r="M48" i="1"/>
  <c r="B48" i="1"/>
  <c r="C47" i="1"/>
  <c r="D47" i="1"/>
  <c r="E47" i="1"/>
  <c r="F47" i="1"/>
  <c r="G47" i="1"/>
  <c r="H47" i="1"/>
  <c r="I47" i="1"/>
  <c r="J47" i="1"/>
  <c r="K47" i="1"/>
  <c r="L47" i="1"/>
  <c r="M47" i="1"/>
  <c r="B47" i="1"/>
  <c r="C46" i="1"/>
  <c r="D46" i="1"/>
  <c r="E46" i="1"/>
  <c r="F46" i="1"/>
  <c r="G46" i="1"/>
  <c r="H46" i="1"/>
  <c r="I46" i="1"/>
  <c r="J46" i="1"/>
  <c r="K46" i="1"/>
  <c r="L46" i="1"/>
  <c r="M46" i="1"/>
  <c r="B46" i="1"/>
  <c r="C45" i="1"/>
  <c r="D45" i="1"/>
  <c r="E45" i="1"/>
  <c r="F45" i="1"/>
  <c r="G45" i="1"/>
  <c r="H45" i="1"/>
  <c r="I45" i="1"/>
  <c r="J45" i="1"/>
  <c r="K45" i="1"/>
  <c r="L45" i="1"/>
  <c r="M45" i="1"/>
  <c r="B45" i="1"/>
  <c r="M55" i="1"/>
  <c r="M56" i="1"/>
  <c r="AA39" i="1"/>
  <c r="AA40" i="1"/>
  <c r="AA38" i="1"/>
  <c r="R29" i="1"/>
  <c r="R30" i="1"/>
  <c r="R31" i="1"/>
  <c r="D28" i="1"/>
  <c r="R28" i="1" s="1"/>
  <c r="F34" i="1"/>
  <c r="G14" i="8"/>
  <c r="C5" i="8" a="1"/>
  <c r="C5" i="8" s="1"/>
  <c r="X38" i="1"/>
  <c r="X40" i="1"/>
  <c r="V38" i="1"/>
  <c r="V39" i="1"/>
  <c r="V40" i="1"/>
  <c r="T38" i="1"/>
  <c r="T39" i="1"/>
  <c r="T40" i="1"/>
  <c r="S38" i="1"/>
  <c r="S39" i="1"/>
  <c r="S40" i="1"/>
  <c r="R38" i="1"/>
  <c r="R39" i="1"/>
  <c r="R40" i="1"/>
  <c r="Q38" i="1"/>
  <c r="Q39" i="1"/>
  <c r="Q40" i="1"/>
  <c r="P38" i="1"/>
  <c r="P39" i="1"/>
  <c r="P40" i="1"/>
  <c r="C3" i="2"/>
  <c r="C4" i="2"/>
  <c r="C5" i="2"/>
  <c r="C6" i="2"/>
  <c r="C7" i="2"/>
  <c r="C8" i="2"/>
  <c r="C9" i="2"/>
  <c r="C10" i="2"/>
  <c r="C11" i="2"/>
  <c r="C12" i="2"/>
  <c r="C13" i="2"/>
  <c r="C14" i="2"/>
  <c r="C2" i="2"/>
  <c r="D24" i="5"/>
  <c r="D25" i="5"/>
  <c r="D26" i="5"/>
  <c r="C22" i="5"/>
  <c r="C21" i="5"/>
  <c r="F30" i="5"/>
  <c r="G22" i="5"/>
  <c r="G23" i="5"/>
  <c r="G24" i="5"/>
  <c r="G21" i="5"/>
  <c r="H22" i="5"/>
  <c r="H23" i="5"/>
  <c r="H24" i="5"/>
  <c r="H25" i="5"/>
  <c r="H21" i="5"/>
  <c r="I22" i="5"/>
  <c r="I23" i="5"/>
  <c r="I24" i="5"/>
  <c r="I25" i="5"/>
  <c r="I21" i="5"/>
  <c r="I27" i="5"/>
  <c r="I28" i="5"/>
  <c r="I29" i="5"/>
  <c r="I30" i="5"/>
  <c r="I31" i="5"/>
  <c r="I26" i="5"/>
  <c r="J22" i="5"/>
  <c r="J23" i="5"/>
  <c r="J24" i="5"/>
  <c r="J25" i="5"/>
  <c r="J21" i="5"/>
  <c r="J26" i="5"/>
  <c r="J27" i="5"/>
  <c r="J28" i="5"/>
  <c r="J29" i="5"/>
  <c r="J30" i="5"/>
  <c r="J31" i="5"/>
  <c r="J32" i="5"/>
  <c r="J33" i="5"/>
  <c r="J34" i="5"/>
  <c r="J35" i="5"/>
  <c r="K27" i="5"/>
  <c r="K28" i="5"/>
  <c r="K29" i="5"/>
  <c r="K30" i="5"/>
  <c r="K31" i="5"/>
  <c r="K32" i="5"/>
  <c r="K26" i="5"/>
  <c r="L22" i="5"/>
  <c r="L23" i="5"/>
  <c r="L24" i="5"/>
  <c r="L25" i="5"/>
  <c r="L26" i="5"/>
  <c r="L27" i="5"/>
  <c r="L28" i="5"/>
  <c r="L29" i="5"/>
  <c r="L30" i="5"/>
  <c r="L31" i="5"/>
  <c r="B22" i="5"/>
  <c r="D22" i="5"/>
  <c r="E22" i="5"/>
  <c r="F22" i="5"/>
  <c r="K22" i="5"/>
  <c r="B23" i="5"/>
  <c r="C23" i="5"/>
  <c r="E23" i="5"/>
  <c r="F23" i="5"/>
  <c r="K23" i="5"/>
  <c r="B24" i="5"/>
  <c r="C24" i="5"/>
  <c r="E24" i="5"/>
  <c r="F24" i="5"/>
  <c r="K24" i="5"/>
  <c r="B25" i="5"/>
  <c r="C25" i="5"/>
  <c r="E25" i="5"/>
  <c r="F25" i="5"/>
  <c r="G25" i="5"/>
  <c r="K25" i="5"/>
  <c r="B26" i="5"/>
  <c r="C26" i="5"/>
  <c r="E26" i="5"/>
  <c r="F26" i="5"/>
  <c r="G26" i="5"/>
  <c r="H26" i="5"/>
  <c r="B27" i="5"/>
  <c r="C27" i="5"/>
  <c r="D27" i="5"/>
  <c r="E27" i="5"/>
  <c r="F27" i="5"/>
  <c r="G27" i="5"/>
  <c r="H27" i="5"/>
  <c r="B28" i="5"/>
  <c r="C28" i="5"/>
  <c r="D28" i="5"/>
  <c r="E28" i="5"/>
  <c r="F28" i="5"/>
  <c r="G28" i="5"/>
  <c r="H28" i="5"/>
  <c r="B29" i="5"/>
  <c r="C29" i="5"/>
  <c r="D29" i="5"/>
  <c r="E29" i="5"/>
  <c r="H29" i="5"/>
  <c r="B30" i="5"/>
  <c r="C30" i="5"/>
  <c r="D30" i="5"/>
  <c r="E30" i="5"/>
  <c r="H30" i="5"/>
  <c r="B31" i="5"/>
  <c r="C31" i="5"/>
  <c r="D31" i="5"/>
  <c r="E31" i="5"/>
  <c r="F31" i="5"/>
  <c r="H31" i="5"/>
  <c r="B32" i="5"/>
  <c r="C32" i="5"/>
  <c r="D32" i="5"/>
  <c r="E32" i="5"/>
  <c r="F32" i="5"/>
  <c r="H32" i="5"/>
  <c r="L32" i="5"/>
  <c r="B33" i="5"/>
  <c r="C33" i="5"/>
  <c r="D33" i="5"/>
  <c r="E33" i="5"/>
  <c r="F33" i="5"/>
  <c r="H33" i="5"/>
  <c r="E34" i="5"/>
  <c r="F34" i="5"/>
  <c r="H34" i="5"/>
  <c r="E35" i="5"/>
  <c r="F35" i="5"/>
  <c r="H35" i="5"/>
  <c r="D21" i="5"/>
  <c r="E21" i="5"/>
  <c r="F21" i="5"/>
  <c r="K21" i="5"/>
  <c r="B21" i="5"/>
  <c r="O22" i="5" l="1"/>
  <c r="O25" i="5"/>
  <c r="O27" i="5"/>
  <c r="O24" i="5"/>
  <c r="G13" i="8"/>
  <c r="G12" i="8"/>
  <c r="G11" i="8"/>
  <c r="G10" i="8"/>
  <c r="G9" i="8"/>
  <c r="G8" i="8"/>
  <c r="G7" i="8"/>
  <c r="G6" i="8"/>
  <c r="G5" i="8"/>
  <c r="K4" i="5"/>
  <c r="L4" i="5"/>
  <c r="K5" i="5"/>
  <c r="L5" i="5"/>
  <c r="K6" i="5"/>
  <c r="L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O28" i="5" l="1"/>
  <c r="H6" i="8"/>
  <c r="K6" i="8" s="1"/>
  <c r="H7" i="8"/>
  <c r="K7" i="8" s="1"/>
  <c r="H5" i="8"/>
  <c r="H8" i="8"/>
  <c r="K8" i="8" s="1"/>
  <c r="H9" i="8"/>
  <c r="K9" i="8" s="1"/>
  <c r="H10" i="8"/>
  <c r="K10" i="8" s="1"/>
  <c r="H11" i="8"/>
  <c r="K11" i="8" s="1"/>
  <c r="H12" i="8"/>
  <c r="K12" i="8" s="1"/>
  <c r="H13" i="8"/>
  <c r="K13" i="8" s="1"/>
  <c r="H14" i="8"/>
  <c r="K14" i="8" s="1"/>
  <c r="C2" i="5"/>
  <c r="D2" i="5"/>
  <c r="E2" i="5"/>
  <c r="F2" i="5"/>
  <c r="G2" i="5"/>
  <c r="H2" i="5"/>
  <c r="I2" i="5"/>
  <c r="J2" i="5"/>
  <c r="K2" i="5"/>
  <c r="L2" i="5"/>
  <c r="N2" i="5"/>
  <c r="B2" i="5"/>
  <c r="N3" i="5"/>
  <c r="B4" i="5"/>
  <c r="C4" i="5"/>
  <c r="D4" i="5"/>
  <c r="E4" i="5"/>
  <c r="F4" i="5"/>
  <c r="G4" i="5"/>
  <c r="H4" i="5"/>
  <c r="I4" i="5"/>
  <c r="J4" i="5"/>
  <c r="N4" i="5"/>
  <c r="B5" i="5"/>
  <c r="C5" i="5"/>
  <c r="D5" i="5"/>
  <c r="E5" i="5"/>
  <c r="F5" i="5"/>
  <c r="G5" i="5"/>
  <c r="H5" i="5"/>
  <c r="I5" i="5"/>
  <c r="J5" i="5"/>
  <c r="N5" i="5"/>
  <c r="B6" i="5"/>
  <c r="C6" i="5"/>
  <c r="D6" i="5"/>
  <c r="E6" i="5"/>
  <c r="F6" i="5"/>
  <c r="G6" i="5"/>
  <c r="H6" i="5"/>
  <c r="I6" i="5"/>
  <c r="J6" i="5"/>
  <c r="N6" i="5"/>
  <c r="B7" i="5"/>
  <c r="C7" i="5"/>
  <c r="D7" i="5"/>
  <c r="E7" i="5"/>
  <c r="F7" i="5"/>
  <c r="G7" i="5"/>
  <c r="H7" i="5"/>
  <c r="I7" i="5"/>
  <c r="J7" i="5"/>
  <c r="N7" i="5"/>
  <c r="B8" i="5"/>
  <c r="C8" i="5"/>
  <c r="D8" i="5"/>
  <c r="E8" i="5"/>
  <c r="F8" i="5"/>
  <c r="G8" i="5"/>
  <c r="H8" i="5"/>
  <c r="I8" i="5"/>
  <c r="J8" i="5"/>
  <c r="N8" i="5"/>
  <c r="B9" i="5"/>
  <c r="C9" i="5"/>
  <c r="D9" i="5"/>
  <c r="E9" i="5"/>
  <c r="F9" i="5"/>
  <c r="G9" i="5"/>
  <c r="H9" i="5"/>
  <c r="I9" i="5"/>
  <c r="J9" i="5"/>
  <c r="N9" i="5"/>
  <c r="B10" i="5"/>
  <c r="C10" i="5"/>
  <c r="D10" i="5"/>
  <c r="E10" i="5"/>
  <c r="F10" i="5"/>
  <c r="G10" i="5"/>
  <c r="H10" i="5"/>
  <c r="I10" i="5"/>
  <c r="J10" i="5"/>
  <c r="N10" i="5"/>
  <c r="B11" i="5"/>
  <c r="C11" i="5"/>
  <c r="D11" i="5"/>
  <c r="E11" i="5"/>
  <c r="F11" i="5"/>
  <c r="G11" i="5"/>
  <c r="H11" i="5"/>
  <c r="I11" i="5"/>
  <c r="J11" i="5"/>
  <c r="N11" i="5"/>
  <c r="B12" i="5"/>
  <c r="C12" i="5"/>
  <c r="D12" i="5"/>
  <c r="E12" i="5"/>
  <c r="F12" i="5"/>
  <c r="G12" i="5"/>
  <c r="H12" i="5"/>
  <c r="I12" i="5"/>
  <c r="J12" i="5"/>
  <c r="N12" i="5"/>
  <c r="B13" i="5"/>
  <c r="C13" i="5"/>
  <c r="D13" i="5"/>
  <c r="E13" i="5"/>
  <c r="F13" i="5"/>
  <c r="G13" i="5"/>
  <c r="H13" i="5"/>
  <c r="I13" i="5"/>
  <c r="J13" i="5"/>
  <c r="N13" i="5"/>
  <c r="B14" i="5"/>
  <c r="C14" i="5"/>
  <c r="D14" i="5"/>
  <c r="E14" i="5"/>
  <c r="F14" i="5"/>
  <c r="G14" i="5"/>
  <c r="H14" i="5"/>
  <c r="I14" i="5"/>
  <c r="J14" i="5"/>
  <c r="N14" i="5"/>
  <c r="C3" i="5"/>
  <c r="D3" i="5"/>
  <c r="E3" i="5"/>
  <c r="F3" i="5"/>
  <c r="G3" i="5"/>
  <c r="H3" i="5"/>
  <c r="I3" i="5"/>
  <c r="J3" i="5"/>
  <c r="K3" i="5"/>
  <c r="B3" i="5"/>
  <c r="F22" i="6"/>
  <c r="F23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K5" i="8" l="1"/>
  <c r="F16" i="5"/>
  <c r="D16" i="5"/>
  <c r="G16" i="5"/>
  <c r="B16" i="5"/>
  <c r="J16" i="5"/>
  <c r="I16" i="5"/>
  <c r="C16" i="5"/>
  <c r="E16" i="5"/>
  <c r="H16" i="5"/>
  <c r="K16" i="5"/>
  <c r="W36" i="1"/>
  <c r="X36" i="1"/>
  <c r="Z37" i="1"/>
  <c r="X37" i="1"/>
  <c r="I38" i="1"/>
  <c r="I39" i="1"/>
  <c r="I40" i="1"/>
  <c r="I37" i="1"/>
  <c r="G37" i="1"/>
  <c r="U37" i="1" s="1"/>
  <c r="G38" i="1"/>
  <c r="G39" i="1"/>
  <c r="G40" i="1"/>
  <c r="S36" i="1"/>
  <c r="T36" i="1"/>
  <c r="V36" i="1"/>
  <c r="S37" i="1"/>
  <c r="T37" i="1"/>
  <c r="V37" i="1"/>
  <c r="R37" i="1"/>
  <c r="Q37" i="1"/>
  <c r="P37" i="1"/>
  <c r="V32" i="1"/>
  <c r="T35" i="1"/>
  <c r="X33" i="1"/>
  <c r="X34" i="1"/>
  <c r="X35" i="1"/>
  <c r="X32" i="1"/>
  <c r="W33" i="1"/>
  <c r="W34" i="1"/>
  <c r="W35" i="1"/>
  <c r="W32" i="1"/>
  <c r="R33" i="1"/>
  <c r="R34" i="1"/>
  <c r="R35" i="1"/>
  <c r="R36" i="1"/>
  <c r="R32" i="1"/>
  <c r="R27" i="1"/>
  <c r="Y27" i="1"/>
  <c r="Y28" i="1"/>
  <c r="Y29" i="1"/>
  <c r="Y30" i="1"/>
  <c r="V33" i="1"/>
  <c r="V34" i="1"/>
  <c r="V35" i="1"/>
  <c r="U30" i="1"/>
  <c r="U31" i="1"/>
  <c r="U32" i="1"/>
  <c r="U33" i="1"/>
  <c r="T27" i="1"/>
  <c r="T28" i="1"/>
  <c r="T29" i="1"/>
  <c r="T30" i="1"/>
  <c r="T31" i="1"/>
  <c r="T32" i="1"/>
  <c r="T33" i="1"/>
  <c r="S27" i="1"/>
  <c r="S28" i="1"/>
  <c r="S29" i="1"/>
  <c r="S30" i="1"/>
  <c r="S31" i="1"/>
  <c r="S32" i="1"/>
  <c r="S33" i="1"/>
  <c r="S34" i="1"/>
  <c r="S35" i="1"/>
  <c r="Q32" i="1"/>
  <c r="Q33" i="1"/>
  <c r="Q34" i="1"/>
  <c r="Q35" i="1"/>
  <c r="Q36" i="1"/>
  <c r="P27" i="1"/>
  <c r="P28" i="1"/>
  <c r="P29" i="1"/>
  <c r="P30" i="1"/>
  <c r="P31" i="1"/>
  <c r="P32" i="1"/>
  <c r="P33" i="1"/>
  <c r="P34" i="1"/>
  <c r="P35" i="1"/>
  <c r="P36" i="1"/>
  <c r="AB26" i="1"/>
  <c r="G35" i="1"/>
  <c r="U35" i="1" s="1"/>
  <c r="G36" i="1"/>
  <c r="U36" i="1" s="1"/>
  <c r="G34" i="1"/>
  <c r="U34" i="1" s="1"/>
  <c r="AB27" i="1" l="1"/>
  <c r="AB35" i="1"/>
  <c r="AB33" i="1"/>
  <c r="AB32" i="1"/>
  <c r="AB36" i="1"/>
  <c r="D55" i="1"/>
  <c r="L55" i="1"/>
  <c r="I55" i="1"/>
  <c r="G31" i="5"/>
  <c r="E55" i="1"/>
  <c r="G55" i="1"/>
  <c r="H55" i="1"/>
  <c r="F55" i="1"/>
  <c r="J55" i="1"/>
  <c r="C55" i="1"/>
  <c r="K55" i="1"/>
  <c r="G34" i="5"/>
  <c r="N34" i="5" s="1"/>
  <c r="U39" i="1"/>
  <c r="G30" i="5"/>
  <c r="U38" i="1"/>
  <c r="G33" i="5"/>
  <c r="H56" i="1"/>
  <c r="C56" i="1"/>
  <c r="E56" i="1"/>
  <c r="K56" i="1"/>
  <c r="D56" i="1"/>
  <c r="L56" i="1"/>
  <c r="J56" i="1"/>
  <c r="F56" i="1"/>
  <c r="G32" i="5"/>
  <c r="G56" i="1"/>
  <c r="W37" i="1"/>
  <c r="AB37" i="1" s="1"/>
  <c r="I32" i="5"/>
  <c r="I56" i="1"/>
  <c r="I35" i="5"/>
  <c r="W40" i="1"/>
  <c r="I34" i="5"/>
  <c r="W39" i="1"/>
  <c r="D23" i="5"/>
  <c r="I33" i="5"/>
  <c r="W38" i="1"/>
  <c r="G29" i="5"/>
  <c r="T34" i="1"/>
  <c r="F29" i="5"/>
  <c r="U40" i="1"/>
  <c r="G35" i="5"/>
  <c r="AB28" i="1"/>
  <c r="AB31" i="1"/>
  <c r="AB30" i="1"/>
  <c r="AB29" i="1"/>
  <c r="N35" i="5" l="1"/>
  <c r="O35" i="5" s="1"/>
  <c r="AB40" i="1"/>
  <c r="K57" i="8" s="1"/>
  <c r="AB38" i="1"/>
  <c r="AB39" i="1"/>
  <c r="K56" i="8" s="1"/>
  <c r="AB34" i="1"/>
  <c r="O31" i="5"/>
  <c r="O29" i="5"/>
  <c r="O32" i="5"/>
  <c r="O30" i="5"/>
  <c r="O23" i="5"/>
  <c r="O26" i="5" l="1"/>
  <c r="B38" i="5" s="1"/>
  <c r="B39" i="5" s="1"/>
  <c r="B40" i="5" l="1"/>
  <c r="D44" i="8" s="1"/>
  <c r="D4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<sst xmlns="http://schemas.openxmlformats.org/spreadsheetml/2006/main" count="227" uniqueCount="78">
  <si>
    <t xml:space="preserve">ATTIJARI BANK </t>
  </si>
  <si>
    <t xml:space="preserve">ECYCL </t>
  </si>
  <si>
    <t xml:space="preserve">SOTUMAG </t>
  </si>
  <si>
    <t xml:space="preserve">SAH </t>
  </si>
  <si>
    <t xml:space="preserve">OTH </t>
  </si>
  <si>
    <t xml:space="preserve">DH </t>
  </si>
  <si>
    <t xml:space="preserve">SFBT </t>
  </si>
  <si>
    <t xml:space="preserve">POULINA </t>
  </si>
  <si>
    <t xml:space="preserve">SMART </t>
  </si>
  <si>
    <t xml:space="preserve">TELNET </t>
  </si>
  <si>
    <t>QTY</t>
  </si>
  <si>
    <t>P</t>
  </si>
  <si>
    <t>TOT</t>
  </si>
  <si>
    <t>ATTIJARI</t>
  </si>
  <si>
    <t>DH</t>
  </si>
  <si>
    <t>ECYCL</t>
  </si>
  <si>
    <t>OTH</t>
  </si>
  <si>
    <t>SAH</t>
  </si>
  <si>
    <t>SFBT</t>
  </si>
  <si>
    <t>SMART</t>
  </si>
  <si>
    <t>TELNET</t>
  </si>
  <si>
    <t>POULINA</t>
  </si>
  <si>
    <t>SOTUMAG</t>
  </si>
  <si>
    <t>date</t>
  </si>
  <si>
    <t>total portfolio gain/ loss</t>
  </si>
  <si>
    <t>returns</t>
  </si>
  <si>
    <t>average return/share</t>
  </si>
  <si>
    <t>industry</t>
  </si>
  <si>
    <t>sector</t>
  </si>
  <si>
    <t>stock</t>
  </si>
  <si>
    <t>weight</t>
  </si>
  <si>
    <t>tech</t>
  </si>
  <si>
    <t>financials</t>
  </si>
  <si>
    <t>banks</t>
  </si>
  <si>
    <t>consumer goods</t>
  </si>
  <si>
    <t>food &amp; beverages</t>
  </si>
  <si>
    <t>personal and household goods</t>
  </si>
  <si>
    <t>consumer services</t>
  </si>
  <si>
    <t>general retailers</t>
  </si>
  <si>
    <t xml:space="preserve">industrials </t>
  </si>
  <si>
    <t>industrial goods and services</t>
  </si>
  <si>
    <t>B/S</t>
  </si>
  <si>
    <t>Stock</t>
  </si>
  <si>
    <t>weights</t>
  </si>
  <si>
    <t>portfolio</t>
  </si>
  <si>
    <t xml:space="preserve">city cars </t>
  </si>
  <si>
    <t>t=0</t>
  </si>
  <si>
    <t>city cars</t>
  </si>
  <si>
    <t xml:space="preserve"> </t>
  </si>
  <si>
    <t>buy</t>
  </si>
  <si>
    <t>sell</t>
  </si>
  <si>
    <t>Name</t>
  </si>
  <si>
    <t xml:space="preserve">total value </t>
  </si>
  <si>
    <t>allocation</t>
  </si>
  <si>
    <t>beta</t>
  </si>
  <si>
    <t>food and beverages</t>
  </si>
  <si>
    <t>number of shares</t>
  </si>
  <si>
    <t>TUNINDEX</t>
  </si>
  <si>
    <t>total avg return</t>
  </si>
  <si>
    <t>price</t>
  </si>
  <si>
    <t>suppose our target return is</t>
  </si>
  <si>
    <t xml:space="preserve">downside deviation </t>
  </si>
  <si>
    <t>daily returns</t>
  </si>
  <si>
    <t>downside returns</t>
  </si>
  <si>
    <t>sum of squared downside returns</t>
  </si>
  <si>
    <t>sortino ratio</t>
  </si>
  <si>
    <t>value of portfolio</t>
  </si>
  <si>
    <t>TWR</t>
  </si>
  <si>
    <t>initial value of the portfolio = 235.5</t>
  </si>
  <si>
    <t>UMED</t>
  </si>
  <si>
    <t>unimed</t>
  </si>
  <si>
    <t>health care</t>
  </si>
  <si>
    <t>healthcare</t>
  </si>
  <si>
    <t>avg return</t>
  </si>
  <si>
    <t>expected return</t>
  </si>
  <si>
    <t>risk</t>
  </si>
  <si>
    <t>sharpe ration</t>
  </si>
  <si>
    <t>market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</si>
</sst>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%"/>
    <numFmt numFmtId="166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Aharoni"/>
      <charset val="177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0" tint="-0.1499984740745262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4">
    <xf numFmtId="0" fontId="0" fillId="0" borderId="0" xfId="0"/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0" fillId="8" borderId="1" xfId="0" applyNumberFormat="1" applyFill="1" applyBorder="1"/>
    <xf numFmtId="0" fontId="1" fillId="7" borderId="2" xfId="0" applyFont="1" applyFill="1" applyBorder="1"/>
    <xf numFmtId="0" fontId="0" fillId="8" borderId="3" xfId="0" applyFill="1" applyBorder="1"/>
    <xf numFmtId="0" fontId="0" fillId="7" borderId="3" xfId="0" applyFill="1" applyBorder="1"/>
    <xf numFmtId="14" fontId="0" fillId="5" borderId="3" xfId="0" applyNumberFormat="1" applyFill="1" applyBorder="1"/>
    <xf numFmtId="0" fontId="0" fillId="5" borderId="3" xfId="0" applyFill="1" applyBorder="1"/>
    <xf numFmtId="14" fontId="0" fillId="6" borderId="3" xfId="0" applyNumberFormat="1" applyFill="1" applyBorder="1"/>
    <xf numFmtId="14" fontId="0" fillId="2" borderId="3" xfId="0" applyNumberFormat="1" applyFill="1" applyBorder="1" applyAlignment="1">
      <alignment horizontal="center" vertical="center"/>
    </xf>
    <xf numFmtId="0" fontId="0" fillId="2" borderId="3" xfId="0" applyFill="1" applyBorder="1"/>
    <xf numFmtId="14" fontId="0" fillId="2" borderId="3" xfId="0" applyNumberForma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10" borderId="2" xfId="0" applyFont="1" applyFill="1" applyBorder="1"/>
    <xf numFmtId="0" fontId="6" fillId="7" borderId="2" xfId="0" applyFont="1" applyFill="1" applyBorder="1" applyAlignment="1">
      <alignment horizontal="center" vertical="center"/>
    </xf>
    <xf numFmtId="0" fontId="0" fillId="7" borderId="4" xfId="0" applyFill="1" applyBorder="1"/>
    <xf numFmtId="0" fontId="1" fillId="7" borderId="3" xfId="0" applyFont="1" applyFill="1" applyBorder="1"/>
    <xf numFmtId="14" fontId="0" fillId="11" borderId="3" xfId="0" applyNumberFormat="1" applyFill="1" applyBorder="1"/>
    <xf numFmtId="0" fontId="6" fillId="7" borderId="0" xfId="0" applyFont="1" applyFill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164" fontId="6" fillId="12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165" fontId="0" fillId="0" borderId="0" xfId="1" applyNumberFormat="1" applyFont="1"/>
    <xf numFmtId="14" fontId="0" fillId="2" borderId="6" xfId="0" applyNumberFormat="1" applyFill="1" applyBorder="1" applyAlignment="1">
      <alignment horizontal="center" vertical="center"/>
    </xf>
    <xf numFmtId="0" fontId="0" fillId="2" borderId="7" xfId="0" applyFill="1" applyBorder="1"/>
    <xf numFmtId="0" fontId="0" fillId="2" borderId="4" xfId="0" applyFill="1" applyBorder="1"/>
    <xf numFmtId="0" fontId="0" fillId="2" borderId="5" xfId="0" applyFill="1" applyBorder="1"/>
    <xf numFmtId="14" fontId="0" fillId="2" borderId="5" xfId="0" applyNumberFormat="1" applyFill="1" applyBorder="1" applyAlignment="1">
      <alignment horizontal="center"/>
    </xf>
    <xf numFmtId="0" fontId="0" fillId="8" borderId="6" xfId="0" applyFill="1" applyBorder="1"/>
    <xf numFmtId="14" fontId="0" fillId="8" borderId="3" xfId="0" applyNumberFormat="1" applyFill="1" applyBorder="1"/>
    <xf numFmtId="2" fontId="0" fillId="8" borderId="3" xfId="0" applyNumberFormat="1" applyFill="1" applyBorder="1"/>
    <xf numFmtId="165" fontId="0" fillId="8" borderId="3" xfId="1" applyNumberFormat="1" applyFont="1" applyFill="1" applyBorder="1"/>
    <xf numFmtId="0" fontId="0" fillId="13" borderId="3" xfId="0" applyFill="1" applyBorder="1" applyAlignment="1">
      <alignment horizontal="center"/>
    </xf>
    <xf numFmtId="0" fontId="0" fillId="13" borderId="3" xfId="0" applyFill="1" applyBorder="1" applyAlignment="1">
      <alignment horizontal="center" vertical="center"/>
    </xf>
    <xf numFmtId="0" fontId="0" fillId="13" borderId="3" xfId="0" applyFill="1" applyBorder="1"/>
    <xf numFmtId="0" fontId="0" fillId="14" borderId="3" xfId="0" applyFill="1" applyBorder="1" applyAlignment="1">
      <alignment horizontal="center" vertical="center"/>
    </xf>
    <xf numFmtId="0" fontId="0" fillId="13" borderId="3" xfId="0" applyFill="1" applyBorder="1" applyAlignment="1">
      <alignment vertical="center"/>
    </xf>
    <xf numFmtId="0" fontId="0" fillId="14" borderId="3" xfId="0" applyFill="1" applyBorder="1" applyAlignment="1">
      <alignment vertical="center"/>
    </xf>
    <xf numFmtId="0" fontId="0" fillId="13" borderId="4" xfId="0" applyFill="1" applyBorder="1" applyAlignment="1">
      <alignment horizontal="center"/>
    </xf>
    <xf numFmtId="0" fontId="0" fillId="13" borderId="7" xfId="0" applyFill="1" applyBorder="1"/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/>
    <xf numFmtId="0" fontId="0" fillId="13" borderId="13" xfId="0" applyFill="1" applyBorder="1"/>
    <xf numFmtId="0" fontId="9" fillId="15" borderId="0" xfId="0" applyFont="1" applyFill="1" applyAlignment="1">
      <alignment horizontal="center"/>
    </xf>
    <xf numFmtId="2" fontId="9" fillId="15" borderId="0" xfId="0" applyNumberFormat="1" applyFont="1" applyFill="1" applyAlignment="1">
      <alignment horizontal="center"/>
    </xf>
    <xf numFmtId="10" fontId="6" fillId="12" borderId="3" xfId="1" applyNumberFormat="1" applyFont="1" applyFill="1" applyBorder="1" applyAlignment="1">
      <alignment horizontal="center" vertical="center"/>
    </xf>
    <xf numFmtId="165" fontId="10" fillId="0" borderId="3" xfId="1" applyNumberFormat="1" applyFont="1" applyBorder="1"/>
    <xf numFmtId="0" fontId="10" fillId="0" borderId="3" xfId="0" applyFont="1" applyBorder="1"/>
    <xf numFmtId="165" fontId="6" fillId="0" borderId="3" xfId="1" applyNumberFormat="1" applyFont="1" applyBorder="1"/>
    <xf numFmtId="14" fontId="0" fillId="16" borderId="3" xfId="0" applyNumberFormat="1" applyFill="1" applyBorder="1"/>
    <xf numFmtId="14" fontId="0" fillId="2" borderId="3" xfId="0" applyNumberFormat="1" applyFill="1" applyBorder="1"/>
    <xf numFmtId="0" fontId="6" fillId="0" borderId="3" xfId="1" applyNumberFormat="1" applyFont="1" applyBorder="1"/>
    <xf numFmtId="9" fontId="0" fillId="0" borderId="0" xfId="0" applyNumberFormat="1"/>
    <xf numFmtId="0" fontId="0" fillId="18" borderId="0" xfId="0" applyFill="1"/>
    <xf numFmtId="0" fontId="0" fillId="18" borderId="0" xfId="0" applyFill="1" applyAlignment="1">
      <alignment horizontal="center"/>
    </xf>
    <xf numFmtId="0" fontId="0" fillId="17" borderId="0" xfId="0" applyFill="1"/>
    <xf numFmtId="0" fontId="9" fillId="19" borderId="3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0" fontId="1" fillId="20" borderId="3" xfId="0" applyFont="1" applyFill="1" applyBorder="1" applyAlignment="1">
      <alignment horizontal="center" vertical="center"/>
    </xf>
    <xf numFmtId="14" fontId="0" fillId="21" borderId="3" xfId="0" applyNumberFormat="1" applyFill="1" applyBorder="1" applyAlignment="1">
      <alignment horizontal="center" vertical="center"/>
    </xf>
    <xf numFmtId="0" fontId="12" fillId="20" borderId="3" xfId="0" applyFont="1" applyFill="1" applyBorder="1" applyAlignment="1">
      <alignment horizontal="center" vertical="center"/>
    </xf>
    <xf numFmtId="165" fontId="12" fillId="20" borderId="3" xfId="1" applyNumberFormat="1" applyFont="1" applyFill="1" applyBorder="1" applyAlignment="1">
      <alignment horizontal="center" vertical="center"/>
    </xf>
    <xf numFmtId="0" fontId="10" fillId="22" borderId="3" xfId="0" applyFont="1" applyFill="1" applyBorder="1" applyAlignment="1">
      <alignment vertical="center"/>
    </xf>
    <xf numFmtId="166" fontId="10" fillId="22" borderId="3" xfId="1" applyNumberFormat="1" applyFont="1" applyFill="1" applyBorder="1" applyAlignment="1">
      <alignment vertical="center"/>
    </xf>
    <xf numFmtId="2" fontId="11" fillId="22" borderId="3" xfId="0" applyNumberFormat="1" applyFont="1" applyFill="1" applyBorder="1" applyAlignment="1">
      <alignment vertical="center"/>
    </xf>
    <xf numFmtId="0" fontId="12" fillId="22" borderId="0" xfId="0" applyFont="1" applyFill="1" applyAlignment="1">
      <alignment horizontal="center" vertical="center"/>
    </xf>
    <xf numFmtId="14" fontId="11" fillId="20" borderId="3" xfId="0" applyNumberFormat="1" applyFont="1" applyFill="1" applyBorder="1" applyAlignment="1">
      <alignment horizontal="center" vertical="center"/>
    </xf>
    <xf numFmtId="0" fontId="10" fillId="22" borderId="7" xfId="0" applyFont="1" applyFill="1" applyBorder="1" applyAlignment="1">
      <alignment vertical="center"/>
    </xf>
    <xf numFmtId="0" fontId="10" fillId="22" borderId="4" xfId="0" applyFont="1" applyFill="1" applyBorder="1" applyAlignment="1">
      <alignment vertical="center"/>
    </xf>
    <xf numFmtId="0" fontId="12" fillId="22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14" fontId="0" fillId="11" borderId="3" xfId="0" applyNumberFormat="1" applyFill="1" applyBorder="1" applyAlignment="1">
      <alignment horizontal="center" vertical="center"/>
    </xf>
    <xf numFmtId="10" fontId="0" fillId="6" borderId="3" xfId="1" applyNumberFormat="1" applyFont="1" applyFill="1" applyBorder="1"/>
    <xf numFmtId="14" fontId="0" fillId="8" borderId="0" xfId="0" applyNumberFormat="1" applyFill="1"/>
    <xf numFmtId="165" fontId="0" fillId="8" borderId="0" xfId="1" applyNumberFormat="1" applyFont="1" applyFill="1" applyBorder="1"/>
    <xf numFmtId="165" fontId="12" fillId="20" borderId="3" xfId="0" applyNumberFormat="1" applyFont="1" applyFill="1" applyBorder="1" applyAlignment="1">
      <alignment horizontal="center" vertical="center"/>
    </xf>
    <xf numFmtId="9" fontId="9" fillId="19" borderId="3" xfId="0" applyNumberFormat="1" applyFont="1" applyFill="1" applyBorder="1" applyAlignment="1">
      <alignment horizontal="center" vertical="center"/>
    </xf>
    <xf numFmtId="10" fontId="12" fillId="22" borderId="3" xfId="1" applyNumberFormat="1" applyFont="1" applyFill="1" applyBorder="1" applyAlignment="1">
      <alignment horizontal="center" vertical="center"/>
    </xf>
    <xf numFmtId="10" fontId="0" fillId="0" borderId="0" xfId="0" applyNumberFormat="1"/>
    <xf numFmtId="165" fontId="12" fillId="22" borderId="3" xfId="1" applyNumberFormat="1" applyFont="1" applyFill="1" applyBorder="1" applyAlignment="1">
      <alignment horizontal="center" vertical="center"/>
    </xf>
    <xf numFmtId="165" fontId="0" fillId="18" borderId="0" xfId="0" applyNumberFormat="1" applyFill="1"/>
    <xf numFmtId="0" fontId="9" fillId="23" borderId="3" xfId="0" applyFont="1" applyFill="1" applyBorder="1" applyAlignment="1">
      <alignment horizontal="center" vertical="center"/>
    </xf>
    <xf numFmtId="9" fontId="9" fillId="23" borderId="3" xfId="1" applyFont="1" applyFill="1" applyBorder="1" applyAlignment="1">
      <alignment horizontal="center" vertical="center"/>
    </xf>
    <xf numFmtId="165" fontId="9" fillId="23" borderId="3" xfId="1" applyNumberFormat="1" applyFont="1" applyFill="1" applyBorder="1" applyAlignment="1">
      <alignment horizontal="center" vertical="center"/>
    </xf>
    <xf numFmtId="0" fontId="9" fillId="19" borderId="7" xfId="0" applyFont="1" applyFill="1" applyBorder="1" applyAlignment="1">
      <alignment horizontal="center" vertical="center"/>
    </xf>
    <xf numFmtId="0" fontId="9" fillId="19" borderId="4" xfId="0" applyFont="1" applyFill="1" applyBorder="1" applyAlignment="1">
      <alignment horizontal="center" vertical="center"/>
    </xf>
    <xf numFmtId="14" fontId="9" fillId="17" borderId="0" xfId="0" applyNumberFormat="1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0" fillId="18" borderId="10" xfId="0" applyFill="1" applyBorder="1" applyAlignment="1">
      <alignment horizontal="center"/>
    </xf>
    <xf numFmtId="0" fontId="0" fillId="18" borderId="0" xfId="0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18" borderId="0" xfId="0" applyFont="1" applyFill="1"/>
    <xf numFmtId="0" fontId="3" fillId="24" borderId="11" xfId="0" applyFont="1" applyFill="1" applyBorder="1" applyAlignment="1">
      <alignment horizontal="center" vertical="center"/>
    </xf>
    <xf numFmtId="0" fontId="3" fillId="24" borderId="6" xfId="0" applyFont="1" applyFill="1" applyBorder="1" applyAlignment="1">
      <alignment horizontal="center" vertical="center"/>
    </xf>
    <xf numFmtId="0" fontId="3" fillId="24" borderId="1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39">
    <dxf>
      <font>
        <color theme="9"/>
      </font>
    </dxf>
    <dxf>
      <font>
        <color rgb="FF9C0006"/>
      </font>
    </dxf>
    <dxf>
      <font>
        <color theme="9"/>
      </font>
    </dxf>
    <dxf>
      <font>
        <color rgb="FF9C0006"/>
      </font>
    </dxf>
    <dxf>
      <font>
        <color rgb="FF00B050"/>
      </font>
    </dxf>
    <dxf>
      <font>
        <color rgb="FFFF0000"/>
      </font>
    </dxf>
    <dxf>
      <font>
        <color theme="9"/>
      </font>
    </dxf>
    <dxf>
      <font>
        <color rgb="FF9C0006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theme="9"/>
      </font>
    </dxf>
    <dxf>
      <font>
        <color rgb="FF9C0006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9" tint="-0.24994659260841701"/>
      </font>
    </dxf>
    <dxf>
      <font>
        <color rgb="FF00B050"/>
      </font>
    </dxf>
    <dxf>
      <font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3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A3C1D9"/>
      <color rgb="FF2661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0" i="0" u="none" strike="noStrike" kern="1200" cap="all" spc="100" baseline="0">
              <a:solidFill>
                <a:sysClr val="window" lastClr="FFFFFF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777472798937212E-3"/>
          <c:y val="0"/>
          <c:w val="0.99722222222222223"/>
          <c:h val="0.98168221067078776"/>
        </c:manualLayout>
      </c:layout>
      <c:lineChart>
        <c:grouping val="standard"/>
        <c:varyColors val="0"/>
        <c:ser>
          <c:idx val="0"/>
          <c:order val="0"/>
          <c:tx>
            <c:strRef>
              <c:f>DATA!$N$3</c:f>
              <c:strCache>
                <c:ptCount val="1"/>
                <c:pt idx="0">
                  <c:v>TUNINDEX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DATA!$N$4:$N$19</c:f>
              <c:numCache>
                <c:formatCode>General</c:formatCode>
                <c:ptCount val="16"/>
                <c:pt idx="0">
                  <c:v>8610.61</c:v>
                </c:pt>
                <c:pt idx="1">
                  <c:v>8603.86</c:v>
                </c:pt>
                <c:pt idx="2">
                  <c:v>8620.0300000000007</c:v>
                </c:pt>
                <c:pt idx="3">
                  <c:v>8619.15</c:v>
                </c:pt>
                <c:pt idx="4">
                  <c:v>8649.1200000000008</c:v>
                </c:pt>
                <c:pt idx="5">
                  <c:v>8646.34</c:v>
                </c:pt>
                <c:pt idx="6">
                  <c:v>8620.18</c:v>
                </c:pt>
                <c:pt idx="7">
                  <c:v>8620.14</c:v>
                </c:pt>
                <c:pt idx="8">
                  <c:v>8619.85</c:v>
                </c:pt>
                <c:pt idx="9">
                  <c:v>8592.41</c:v>
                </c:pt>
                <c:pt idx="10">
                  <c:v>8609.1299999999992</c:v>
                </c:pt>
                <c:pt idx="11">
                  <c:v>8600.3799999999992</c:v>
                </c:pt>
                <c:pt idx="12">
                  <c:v>8609.33</c:v>
                </c:pt>
                <c:pt idx="13">
                  <c:v>8651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F-4942-A0EB-655237ACF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528040"/>
        <c:axId val="393529480"/>
      </c:lineChart>
      <c:catAx>
        <c:axId val="393528040"/>
        <c:scaling>
          <c:orientation val="minMax"/>
        </c:scaling>
        <c:delete val="1"/>
        <c:axPos val="b"/>
        <c:majorTickMark val="none"/>
        <c:minorTickMark val="none"/>
        <c:tickLblPos val="nextTo"/>
        <c:crossAx val="393529480"/>
        <c:crosses val="autoZero"/>
        <c:auto val="1"/>
        <c:lblAlgn val="ctr"/>
        <c:lblOffset val="100"/>
        <c:noMultiLvlLbl val="0"/>
      </c:catAx>
      <c:valAx>
        <c:axId val="3935294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93528040"/>
        <c:crosses val="autoZero"/>
        <c:crossBetween val="between"/>
      </c:valAx>
      <c:spPr>
        <a:solidFill>
          <a:schemeClr val="tx2">
            <a:lumMod val="7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0" i="0" u="none" strike="noStrike" kern="1200" cap="all" spc="100" baseline="0">
                <a:solidFill>
                  <a:sysClr val="window" lastClr="FFFFFF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cap="all" spc="100" baseline="0">
                <a:solidFill>
                  <a:sysClr val="window" lastClr="FFFFFF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asset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0" i="0" u="none" strike="noStrike" kern="1200" cap="all" spc="100" baseline="0">
              <a:solidFill>
                <a:sysClr val="window" lastClr="FFFFFF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42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582-433D-BA80-2886668F9213}"/>
              </c:ext>
            </c:extLst>
          </c:dPt>
          <c:dPt>
            <c:idx val="1"/>
            <c:bubble3D val="0"/>
            <c:spPr>
              <a:solidFill>
                <a:schemeClr val="accent5">
                  <a:shade val="5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582-433D-BA80-2886668F9213}"/>
              </c:ext>
            </c:extLst>
          </c:dPt>
          <c:dPt>
            <c:idx val="2"/>
            <c:bubble3D val="0"/>
            <c:spPr>
              <a:solidFill>
                <a:schemeClr val="accent5">
                  <a:shade val="6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582-433D-BA80-2886668F9213}"/>
              </c:ext>
            </c:extLst>
          </c:dPt>
          <c:dPt>
            <c:idx val="3"/>
            <c:bubble3D val="0"/>
            <c:spPr>
              <a:solidFill>
                <a:schemeClr val="accent5">
                  <a:shade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582-433D-BA80-2886668F9213}"/>
              </c:ext>
            </c:extLst>
          </c:dPt>
          <c:dPt>
            <c:idx val="4"/>
            <c:bubble3D val="0"/>
            <c:spPr>
              <a:solidFill>
                <a:schemeClr val="accent5">
                  <a:shade val="93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582-433D-BA80-2886668F9213}"/>
              </c:ext>
            </c:extLst>
          </c:dPt>
          <c:dPt>
            <c:idx val="5"/>
            <c:bubble3D val="0"/>
            <c:spPr>
              <a:solidFill>
                <a:schemeClr val="accent5">
                  <a:tint val="94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582-433D-BA80-2886668F9213}"/>
              </c:ext>
            </c:extLst>
          </c:dPt>
          <c:dPt>
            <c:idx val="6"/>
            <c:bubble3D val="0"/>
            <c:spPr>
              <a:solidFill>
                <a:schemeClr val="accent5">
                  <a:tint val="81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582-433D-BA80-2886668F9213}"/>
              </c:ext>
            </c:extLst>
          </c:dPt>
          <c:dPt>
            <c:idx val="7"/>
            <c:bubble3D val="0"/>
            <c:spPr>
              <a:solidFill>
                <a:schemeClr val="accent5">
                  <a:tint val="69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D582-433D-BA80-2886668F9213}"/>
              </c:ext>
            </c:extLst>
          </c:dPt>
          <c:dPt>
            <c:idx val="8"/>
            <c:bubble3D val="0"/>
            <c:spPr>
              <a:solidFill>
                <a:schemeClr val="accent5">
                  <a:tint val="5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582-433D-BA80-2886668F9213}"/>
              </c:ext>
            </c:extLst>
          </c:dPt>
          <c:dPt>
            <c:idx val="9"/>
            <c:bubble3D val="0"/>
            <c:spPr>
              <a:solidFill>
                <a:schemeClr val="accent5">
                  <a:tint val="43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D582-433D-BA80-2886668F921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582-433D-BA80-2886668F921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582-433D-BA80-2886668F921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582-433D-BA80-2886668F921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582-433D-BA80-2886668F921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582-433D-BA80-2886668F9213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582-433D-BA80-2886668F921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D582-433D-BA80-2886668F9213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D582-433D-BA80-2886668F9213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D582-433D-BA80-2886668F9213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D582-433D-BA80-2886668F92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'Dashboard fin'!$C$5:$C$14</c:f>
              <c:strCache>
                <c:ptCount val="10"/>
                <c:pt idx="0">
                  <c:v>ATTIJARI BANK </c:v>
                </c:pt>
                <c:pt idx="1">
                  <c:v>ECYCL </c:v>
                </c:pt>
                <c:pt idx="2">
                  <c:v>SAH </c:v>
                </c:pt>
                <c:pt idx="3">
                  <c:v>OTH </c:v>
                </c:pt>
                <c:pt idx="4">
                  <c:v>DH </c:v>
                </c:pt>
                <c:pt idx="5">
                  <c:v>SFBT </c:v>
                </c:pt>
                <c:pt idx="6">
                  <c:v>POULINA </c:v>
                </c:pt>
                <c:pt idx="7">
                  <c:v>SMART </c:v>
                </c:pt>
                <c:pt idx="8">
                  <c:v>TELNET </c:v>
                </c:pt>
                <c:pt idx="9">
                  <c:v>UMED</c:v>
                </c:pt>
              </c:strCache>
            </c:strRef>
          </c:cat>
          <c:val>
            <c:numRef>
              <c:f>'Dashboard fin'!$H$5:$H$14</c:f>
              <c:numCache>
                <c:formatCode>0.0%</c:formatCode>
                <c:ptCount val="10"/>
                <c:pt idx="0">
                  <c:v>0.27162431339409671</c:v>
                </c:pt>
                <c:pt idx="1">
                  <c:v>9.2774793263717029E-2</c:v>
                </c:pt>
                <c:pt idx="2">
                  <c:v>4.798696203295709E-2</c:v>
                </c:pt>
                <c:pt idx="3">
                  <c:v>5.1306814752218266E-2</c:v>
                </c:pt>
                <c:pt idx="4">
                  <c:v>6.8811492726504497E-2</c:v>
                </c:pt>
                <c:pt idx="5">
                  <c:v>0.14486630047685159</c:v>
                </c:pt>
                <c:pt idx="6">
                  <c:v>9.2352266553992896E-2</c:v>
                </c:pt>
                <c:pt idx="7">
                  <c:v>0.10019919116315569</c:v>
                </c:pt>
                <c:pt idx="8">
                  <c:v>8.5108951530150301E-2</c:v>
                </c:pt>
                <c:pt idx="9">
                  <c:v>4.4968914106356013E-2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2-433D-BA80-2886668F921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0" i="0" u="none" strike="noStrike" kern="1200" cap="all" spc="100" baseline="0">
                <a:solidFill>
                  <a:sysClr val="window" lastClr="FFFFFF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cap="all" spc="100" baseline="0">
                <a:solidFill>
                  <a:sysClr val="window" lastClr="FFFFFF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industries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0" i="0" u="none" strike="noStrike" kern="1200" cap="all" spc="100" baseline="0">
              <a:solidFill>
                <a:sysClr val="window" lastClr="FFFFFF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812532808398951"/>
          <c:y val="0.19432888597258677"/>
          <c:w val="0.38930511811023621"/>
          <c:h val="0.6488418635170604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EAD-4716-9115-A470A1508D9B}"/>
              </c:ext>
            </c:extLst>
          </c:dPt>
          <c:dPt>
            <c:idx val="1"/>
            <c:bubble3D val="0"/>
            <c:spPr>
              <a:solidFill>
                <a:schemeClr val="accent5">
                  <a:shade val="7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EAD-4716-9115-A470A1508D9B}"/>
              </c:ext>
            </c:extLst>
          </c:dPt>
          <c:dPt>
            <c:idx val="2"/>
            <c:bubble3D val="0"/>
            <c:spPr>
              <a:solidFill>
                <a:schemeClr val="accent5">
                  <a:shade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EAD-4716-9115-A470A1508D9B}"/>
              </c:ext>
            </c:extLst>
          </c:dPt>
          <c:dPt>
            <c:idx val="3"/>
            <c:bubble3D val="0"/>
            <c:spPr>
              <a:solidFill>
                <a:schemeClr val="accent5">
                  <a:tint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EAD-4716-9115-A470A1508D9B}"/>
              </c:ext>
            </c:extLst>
          </c:dPt>
          <c:dPt>
            <c:idx val="4"/>
            <c:bubble3D val="0"/>
            <c:spPr>
              <a:solidFill>
                <a:schemeClr val="accent5">
                  <a:tint val="7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EAD-4716-9115-A470A1508D9B}"/>
              </c:ext>
            </c:extLst>
          </c:dPt>
          <c:dPt>
            <c:idx val="5"/>
            <c:bubble3D val="0"/>
            <c:spPr>
              <a:solidFill>
                <a:schemeClr val="accent5">
                  <a:tint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EAD-4716-9115-A470A1508D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'sectors and industries'!$A$14:$A$19</c:f>
              <c:strCache>
                <c:ptCount val="6"/>
                <c:pt idx="0">
                  <c:v>consumer goods</c:v>
                </c:pt>
                <c:pt idx="1">
                  <c:v>consumer services</c:v>
                </c:pt>
                <c:pt idx="2">
                  <c:v>financials</c:v>
                </c:pt>
                <c:pt idx="3">
                  <c:v>industrials </c:v>
                </c:pt>
                <c:pt idx="4">
                  <c:v>tech</c:v>
                </c:pt>
                <c:pt idx="5">
                  <c:v>healthcare</c:v>
                </c:pt>
              </c:strCache>
            </c:strRef>
          </c:cat>
          <c:val>
            <c:numRef>
              <c:f>'sectors and industries'!$B$14:$B$19</c:f>
              <c:numCache>
                <c:formatCode>General</c:formatCode>
                <c:ptCount val="6"/>
                <c:pt idx="0">
                  <c:v>7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EAD-4716-9115-A470A1508D9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A3C1D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0" i="0" u="none" strike="noStrike" kern="1200" cap="all" spc="100" baseline="0">
                <a:solidFill>
                  <a:sysClr val="window" lastClr="FFFFFF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cap="all" spc="100" baseline="0">
                <a:solidFill>
                  <a:sysClr val="window" lastClr="FFFFFF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sectors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0" i="0" u="none" strike="noStrike" kern="1200" cap="all" spc="100" baseline="0">
              <a:solidFill>
                <a:sysClr val="window" lastClr="FFFFFF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47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B8-4C49-9AB1-7B7A0AB638B9}"/>
              </c:ext>
            </c:extLst>
          </c:dPt>
          <c:dPt>
            <c:idx val="1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B8-4C49-9AB1-7B7A0AB638B9}"/>
              </c:ext>
            </c:extLst>
          </c:dPt>
          <c:dPt>
            <c:idx val="2"/>
            <c:bubble3D val="0"/>
            <c:spPr>
              <a:solidFill>
                <a:schemeClr val="accent5">
                  <a:shade val="82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CB8-4C49-9AB1-7B7A0AB638B9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CB8-4C49-9AB1-7B7A0AB638B9}"/>
              </c:ext>
            </c:extLst>
          </c:dPt>
          <c:dPt>
            <c:idx val="4"/>
            <c:bubble3D val="0"/>
            <c:spPr>
              <a:solidFill>
                <a:schemeClr val="accent5">
                  <a:tint val="83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CB8-4C49-9AB1-7B7A0AB638B9}"/>
              </c:ext>
            </c:extLst>
          </c:dPt>
          <c:dPt>
            <c:idx val="5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CB8-4C49-9AB1-7B7A0AB638B9}"/>
              </c:ext>
            </c:extLst>
          </c:dPt>
          <c:dPt>
            <c:idx val="6"/>
            <c:bubble3D val="0"/>
            <c:spPr>
              <a:solidFill>
                <a:schemeClr val="accent5">
                  <a:tint val="4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CB8-4C49-9AB1-7B7A0AB638B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cap="none" spc="50" baseline="0">
                      <a:ln w="0"/>
                      <a:solidFill>
                        <a:schemeClr val="bg2"/>
                      </a:solidFill>
                      <a:effectLst>
                        <a:innerShdw blurRad="63500" dist="50800" dir="13500000">
                          <a:srgbClr val="000000">
                            <a:alpha val="50000"/>
                          </a:srgbClr>
                        </a:inn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CB8-4C49-9AB1-7B7A0AB638B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cap="none" spc="50" baseline="0">
                      <a:ln w="0"/>
                      <a:solidFill>
                        <a:schemeClr val="bg2"/>
                      </a:solidFill>
                      <a:effectLst>
                        <a:innerShdw blurRad="63500" dist="50800" dir="13500000">
                          <a:srgbClr val="000000">
                            <a:alpha val="50000"/>
                          </a:srgbClr>
                        </a:inn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CB8-4C49-9AB1-7B7A0AB638B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cap="none" spc="50" baseline="0">
                      <a:ln w="0"/>
                      <a:solidFill>
                        <a:schemeClr val="bg2"/>
                      </a:solidFill>
                      <a:effectLst>
                        <a:innerShdw blurRad="63500" dist="50800" dir="13500000">
                          <a:srgbClr val="000000">
                            <a:alpha val="50000"/>
                          </a:srgbClr>
                        </a:inn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CB8-4C49-9AB1-7B7A0AB638B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cap="none" spc="50" baseline="0">
                      <a:ln w="0"/>
                      <a:solidFill>
                        <a:schemeClr val="bg2"/>
                      </a:solidFill>
                      <a:effectLst>
                        <a:innerShdw blurRad="63500" dist="50800" dir="13500000">
                          <a:srgbClr val="000000">
                            <a:alpha val="50000"/>
                          </a:srgbClr>
                        </a:inn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5CB8-4C49-9AB1-7B7A0AB638B9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cap="none" spc="50" baseline="0">
                      <a:ln w="0"/>
                      <a:solidFill>
                        <a:schemeClr val="bg2"/>
                      </a:solidFill>
                      <a:effectLst>
                        <a:innerShdw blurRad="63500" dist="50800" dir="13500000">
                          <a:srgbClr val="000000">
                            <a:alpha val="50000"/>
                          </a:srgbClr>
                        </a:inn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5CB8-4C49-9AB1-7B7A0AB638B9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cap="none" spc="50" baseline="0">
                      <a:ln w="0"/>
                      <a:solidFill>
                        <a:schemeClr val="bg2"/>
                      </a:solidFill>
                      <a:effectLst>
                        <a:innerShdw blurRad="63500" dist="50800" dir="13500000">
                          <a:srgbClr val="000000">
                            <a:alpha val="50000"/>
                          </a:srgbClr>
                        </a:inn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5CB8-4C49-9AB1-7B7A0AB638B9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cap="none" spc="50" baseline="0">
                      <a:ln w="0"/>
                      <a:solidFill>
                        <a:schemeClr val="bg2"/>
                      </a:solidFill>
                      <a:effectLst>
                        <a:innerShdw blurRad="63500" dist="50800" dir="13500000">
                          <a:srgbClr val="000000">
                            <a:alpha val="50000"/>
                          </a:srgbClr>
                        </a:inn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5CB8-4C49-9AB1-7B7A0AB638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cap="none" spc="50" baseline="0">
                    <a:ln w="0"/>
                    <a:solidFill>
                      <a:schemeClr val="bg2"/>
                    </a:solidFill>
                    <a:effectLst>
                      <a:innerShdw blurRad="63500" dist="50800" dir="13500000">
                        <a:srgbClr val="000000">
                          <a:alpha val="50000"/>
                        </a:srgbClr>
                      </a:inn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'sectors and industries'!$A$21:$A$27</c:f>
              <c:strCache>
                <c:ptCount val="7"/>
                <c:pt idx="0">
                  <c:v>banks</c:v>
                </c:pt>
                <c:pt idx="1">
                  <c:v>food &amp; beverages</c:v>
                </c:pt>
                <c:pt idx="2">
                  <c:v>general retailers</c:v>
                </c:pt>
                <c:pt idx="3">
                  <c:v>industrial goods and services</c:v>
                </c:pt>
                <c:pt idx="4">
                  <c:v>personal and household goods</c:v>
                </c:pt>
                <c:pt idx="5">
                  <c:v>tech</c:v>
                </c:pt>
                <c:pt idx="6">
                  <c:v>healthcare</c:v>
                </c:pt>
              </c:strCache>
            </c:strRef>
          </c:cat>
          <c:val>
            <c:numRef>
              <c:f>'sectors and industries'!$B$21:$B$27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CB8-4C49-9AB1-7B7A0AB638B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0" i="0" u="none" strike="noStrike" kern="1200" cap="all" spc="50" baseline="0">
                <a:ln>
                  <a:solidFill>
                    <a:schemeClr val="bg1"/>
                  </a:solidFill>
                </a:ln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cap="all" spc="5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rPr>
              <a:t>portfolio performance</a:t>
            </a:r>
          </a:p>
        </c:rich>
      </c:tx>
      <c:layout>
        <c:manualLayout>
          <c:xMode val="edge"/>
          <c:yMode val="edge"/>
          <c:x val="0.1891319996962379"/>
          <c:y val="4.2727262872101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0" i="0" u="none" strike="noStrike" kern="1200" cap="all" spc="50" baseline="0">
              <a:ln>
                <a:solidFill>
                  <a:schemeClr val="bg1"/>
                </a:solidFill>
              </a:ln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returns </c:v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DATA!$O$26:$O$40</c:f>
              <c:numCache>
                <c:formatCode>m/d/yyyy</c:formatCode>
                <c:ptCount val="15"/>
                <c:pt idx="0">
                  <c:v>45271</c:v>
                </c:pt>
                <c:pt idx="1">
                  <c:v>45272</c:v>
                </c:pt>
                <c:pt idx="2">
                  <c:v>45273</c:v>
                </c:pt>
                <c:pt idx="3">
                  <c:v>45274</c:v>
                </c:pt>
                <c:pt idx="4">
                  <c:v>45275</c:v>
                </c:pt>
                <c:pt idx="5">
                  <c:v>45278</c:v>
                </c:pt>
                <c:pt idx="6">
                  <c:v>45279</c:v>
                </c:pt>
                <c:pt idx="7">
                  <c:v>45280</c:v>
                </c:pt>
                <c:pt idx="8">
                  <c:v>45281</c:v>
                </c:pt>
                <c:pt idx="9">
                  <c:v>45282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</c:numCache>
            </c:numRef>
          </c:cat>
          <c:val>
            <c:numRef>
              <c:f>DATA!$AB$26:$AB$40</c:f>
              <c:numCache>
                <c:formatCode>0.000</c:formatCode>
                <c:ptCount val="15"/>
                <c:pt idx="0">
                  <c:v>-7.9999999999998295E-2</c:v>
                </c:pt>
                <c:pt idx="1">
                  <c:v>0.26000000000000334</c:v>
                </c:pt>
                <c:pt idx="2">
                  <c:v>0.13000000000000433</c:v>
                </c:pt>
                <c:pt idx="3">
                  <c:v>0.39999999999999858</c:v>
                </c:pt>
                <c:pt idx="4">
                  <c:v>0.74000000000000465</c:v>
                </c:pt>
                <c:pt idx="5">
                  <c:v>0.51000000000000334</c:v>
                </c:pt>
                <c:pt idx="6">
                  <c:v>-1.9999999999995133E-2</c:v>
                </c:pt>
                <c:pt idx="7">
                  <c:v>-9.9999999999993427E-2</c:v>
                </c:pt>
                <c:pt idx="8">
                  <c:v>-0.79999999999999893</c:v>
                </c:pt>
                <c:pt idx="9">
                  <c:v>0.84000000000000696</c:v>
                </c:pt>
                <c:pt idx="10">
                  <c:v>0.22500000000000409</c:v>
                </c:pt>
                <c:pt idx="11">
                  <c:v>0.84500000000000686</c:v>
                </c:pt>
                <c:pt idx="12">
                  <c:v>2.0650000000000057</c:v>
                </c:pt>
                <c:pt idx="13">
                  <c:v>4.2950000000000061</c:v>
                </c:pt>
                <c:pt idx="14">
                  <c:v>5.4050000000000038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4-446B-A801-3D952B3C15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831696568"/>
        <c:axId val="831696928"/>
        <c:axId val="0"/>
      </c:bar3DChart>
      <c:dateAx>
        <c:axId val="831696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96928"/>
        <c:crosses val="autoZero"/>
        <c:auto val="1"/>
        <c:lblOffset val="100"/>
        <c:baseTimeUnit val="days"/>
      </c:dateAx>
      <c:valAx>
        <c:axId val="831696928"/>
        <c:scaling>
          <c:orientation val="minMax"/>
        </c:scaling>
        <c:delete val="1"/>
        <c:axPos val="l"/>
        <c:numFmt formatCode="0.000" sourceLinked="1"/>
        <c:majorTickMark val="out"/>
        <c:minorTickMark val="none"/>
        <c:tickLblPos val="nextTo"/>
        <c:crossAx val="83169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>
          <a:ln>
            <a:solidFill>
              <a:schemeClr val="bg1"/>
            </a:solidFill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800" b="0" i="0" u="none" strike="noStrike" kern="1200" cap="all" spc="50" baseline="0">
                <a:ln>
                  <a:solidFill>
                    <a:sysClr val="window" lastClr="FFFFFF"/>
                  </a:solidFill>
                </a:ln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cap="all" spc="50" baseline="0">
                <a:ln>
                  <a:solidFill>
                    <a:sysClr val="window" lastClr="FFFFFF"/>
                  </a:solidFill>
                </a:ln>
                <a:solidFill>
                  <a:sysClr val="window" lastClr="FFFFFF"/>
                </a:solidFill>
                <a:latin typeface="+mn-lt"/>
                <a:ea typeface="+mn-ea"/>
                <a:cs typeface="+mn-cs"/>
              </a:rPr>
              <a:t>average return per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800" b="0" i="0" u="none" strike="noStrike" kern="1200" cap="all" spc="50" baseline="0">
              <a:ln>
                <a:solidFill>
                  <a:sysClr val="window" lastClr="FFFFFF"/>
                </a:solidFill>
              </a:ln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DATA!$P$25</c:f>
              <c:strCache>
                <c:ptCount val="1"/>
                <c:pt idx="0">
                  <c:v>ATTIJARI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DATA!$P$41</c:f>
              <c:numCache>
                <c:formatCode>General</c:formatCode>
                <c:ptCount val="1"/>
                <c:pt idx="0">
                  <c:v>0.92066666666667019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F-4B6A-8FD1-033D9E6CC3EB}"/>
            </c:ext>
          </c:extLst>
        </c:ser>
        <c:ser>
          <c:idx val="1"/>
          <c:order val="1"/>
          <c:tx>
            <c:strRef>
              <c:f>DATA!$Q$25</c:f>
              <c:strCache>
                <c:ptCount val="1"/>
                <c:pt idx="0">
                  <c:v>DH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DATA!$Q$41</c:f>
              <c:numCache>
                <c:formatCode>General</c:formatCode>
                <c:ptCount val="1"/>
                <c:pt idx="0">
                  <c:v>-3.0000000000000152E-2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AF-4B6A-8FD1-033D9E6CC3EB}"/>
            </c:ext>
          </c:extLst>
        </c:ser>
        <c:ser>
          <c:idx val="2"/>
          <c:order val="2"/>
          <c:tx>
            <c:strRef>
              <c:f>DATA!$R$25</c:f>
              <c:strCache>
                <c:ptCount val="1"/>
                <c:pt idx="0">
                  <c:v>ECYCL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DATA!$R$41</c:f>
              <c:numCache>
                <c:formatCode>General</c:formatCode>
                <c:ptCount val="1"/>
                <c:pt idx="0">
                  <c:v>-7.8666666666666649E-2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AF-4B6A-8FD1-033D9E6CC3EB}"/>
            </c:ext>
          </c:extLst>
        </c:ser>
        <c:ser>
          <c:idx val="3"/>
          <c:order val="3"/>
          <c:tx>
            <c:strRef>
              <c:f>DATA!$S$25</c:f>
              <c:strCache>
                <c:ptCount val="1"/>
                <c:pt idx="0">
                  <c:v>OTH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DATA!$S$41</c:f>
              <c:numCache>
                <c:formatCode>General</c:formatCode>
                <c:ptCount val="1"/>
                <c:pt idx="0">
                  <c:v>0.20933333333333265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AF-4B6A-8FD1-033D9E6CC3EB}"/>
            </c:ext>
          </c:extLst>
        </c:ser>
        <c:ser>
          <c:idx val="4"/>
          <c:order val="4"/>
          <c:tx>
            <c:strRef>
              <c:f>DATA!$T$25</c:f>
              <c:strCache>
                <c:ptCount val="1"/>
                <c:pt idx="0">
                  <c:v>SAH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DATA!$T$41</c:f>
              <c:numCache>
                <c:formatCode>General</c:formatCode>
                <c:ptCount val="1"/>
                <c:pt idx="0">
                  <c:v>-0.12033333333333283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AF-4B6A-8FD1-033D9E6CC3EB}"/>
            </c:ext>
          </c:extLst>
        </c:ser>
        <c:ser>
          <c:idx val="5"/>
          <c:order val="5"/>
          <c:tx>
            <c:strRef>
              <c:f>DATA!$U$25</c:f>
              <c:strCache>
                <c:ptCount val="1"/>
                <c:pt idx="0">
                  <c:v>SFBT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94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94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9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DATA!$U$41</c:f>
              <c:numCache>
                <c:formatCode>General</c:formatCode>
                <c:ptCount val="1"/>
                <c:pt idx="0">
                  <c:v>-6.0000000000000171E-2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AF-4B6A-8FD1-033D9E6CC3EB}"/>
            </c:ext>
          </c:extLst>
        </c:ser>
        <c:ser>
          <c:idx val="6"/>
          <c:order val="6"/>
          <c:tx>
            <c:strRef>
              <c:f>DATA!$V$25</c:f>
              <c:strCache>
                <c:ptCount val="1"/>
                <c:pt idx="0">
                  <c:v>SMART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DATA!$V$41</c:f>
              <c:numCache>
                <c:formatCode>General</c:formatCode>
                <c:ptCount val="1"/>
                <c:pt idx="0">
                  <c:v>-0.12999999999999862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AF-4B6A-8FD1-033D9E6CC3EB}"/>
            </c:ext>
          </c:extLst>
        </c:ser>
        <c:ser>
          <c:idx val="7"/>
          <c:order val="7"/>
          <c:tx>
            <c:strRef>
              <c:f>DATA!$W$25</c:f>
              <c:strCache>
                <c:ptCount val="1"/>
                <c:pt idx="0">
                  <c:v>TELNET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84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84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8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DATA!$W$41</c:f>
              <c:numCache>
                <c:formatCode>General</c:formatCode>
                <c:ptCount val="1"/>
                <c:pt idx="0">
                  <c:v>0.22888888888888856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AF-4B6A-8FD1-033D9E6CC3EB}"/>
            </c:ext>
          </c:extLst>
        </c:ser>
        <c:ser>
          <c:idx val="8"/>
          <c:order val="8"/>
          <c:tx>
            <c:strRef>
              <c:f>DATA!$X$25</c:f>
              <c:strCache>
                <c:ptCount val="1"/>
                <c:pt idx="0">
                  <c:v>POULINA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DATA!$X$41</c:f>
              <c:numCache>
                <c:formatCode>General</c:formatCode>
                <c:ptCount val="1"/>
                <c:pt idx="0">
                  <c:v>0.10666666666666755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AF-4B6A-8FD1-033D9E6CC3EB}"/>
            </c:ext>
          </c:extLst>
        </c:ser>
        <c:ser>
          <c:idx val="9"/>
          <c:order val="9"/>
          <c:tx>
            <c:strRef>
              <c:f>DATA!$Y$25</c:f>
              <c:strCache>
                <c:ptCount val="1"/>
                <c:pt idx="0">
                  <c:v>SOTUMAG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DATA!$Y$41</c:f>
              <c:numCache>
                <c:formatCode>General</c:formatCode>
                <c:ptCount val="1"/>
                <c:pt idx="0">
                  <c:v>-4.0000000000000389E-2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AF-4B6A-8FD1-033D9E6CC3EB}"/>
            </c:ext>
          </c:extLst>
        </c:ser>
        <c:ser>
          <c:idx val="10"/>
          <c:order val="10"/>
          <c:tx>
            <c:strRef>
              <c:f>DATA!$Z$25</c:f>
              <c:strCache>
                <c:ptCount val="1"/>
                <c:pt idx="0">
                  <c:v>city cars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DATA!$Z$41</c:f>
              <c:numCache>
                <c:formatCode>General</c:formatCode>
                <c:ptCount val="1"/>
                <c:pt idx="0">
                  <c:v>-9.9999999999999645E-2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AF-4B6A-8FD1-033D9E6CC3EB}"/>
            </c:ext>
          </c:extLst>
        </c:ser>
        <c:ser>
          <c:idx val="11"/>
          <c:order val="11"/>
          <c:tx>
            <c:strRef>
              <c:f>DATA!$AA$25</c:f>
              <c:strCache>
                <c:ptCount val="1"/>
                <c:pt idx="0">
                  <c:v>unimed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41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41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4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DATA!$AA$41</c:f>
              <c:numCache>
                <c:formatCode>General</c:formatCode>
                <c:ptCount val="1"/>
                <c:pt idx="0">
                  <c:v>4.33333333333333E-2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DAF-4B6A-8FD1-033D9E6CC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28567984"/>
        <c:axId val="828569424"/>
        <c:axId val="0"/>
      </c:bar3DChart>
      <c:catAx>
        <c:axId val="8285679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569424"/>
        <c:crosses val="autoZero"/>
        <c:auto val="1"/>
        <c:lblAlgn val="ctr"/>
        <c:lblOffset val="100"/>
        <c:noMultiLvlLbl val="0"/>
      </c:catAx>
      <c:valAx>
        <c:axId val="82856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56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returns 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DATA!$O$26:$O$40</c:f>
              <c:numCache>
                <c:formatCode>m/d/yyyy</c:formatCode>
                <c:ptCount val="15"/>
                <c:pt idx="0">
                  <c:v>45271</c:v>
                </c:pt>
                <c:pt idx="1">
                  <c:v>45272</c:v>
                </c:pt>
                <c:pt idx="2">
                  <c:v>45273</c:v>
                </c:pt>
                <c:pt idx="3">
                  <c:v>45274</c:v>
                </c:pt>
                <c:pt idx="4">
                  <c:v>45275</c:v>
                </c:pt>
                <c:pt idx="5">
                  <c:v>45278</c:v>
                </c:pt>
                <c:pt idx="6">
                  <c:v>45279</c:v>
                </c:pt>
                <c:pt idx="7">
                  <c:v>45280</c:v>
                </c:pt>
                <c:pt idx="8">
                  <c:v>45281</c:v>
                </c:pt>
                <c:pt idx="9">
                  <c:v>45282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</c:numCache>
            </c:numRef>
          </c:cat>
          <c:val>
            <c:numRef>
              <c:f>DATA!$AB$26:$AB$40</c:f>
              <c:numCache>
                <c:formatCode>0.000</c:formatCode>
                <c:ptCount val="15"/>
                <c:pt idx="0">
                  <c:v>-7.9999999999998295E-2</c:v>
                </c:pt>
                <c:pt idx="1">
                  <c:v>0.26000000000000334</c:v>
                </c:pt>
                <c:pt idx="2">
                  <c:v>0.13000000000000433</c:v>
                </c:pt>
                <c:pt idx="3">
                  <c:v>0.39999999999999858</c:v>
                </c:pt>
                <c:pt idx="4">
                  <c:v>0.74000000000000465</c:v>
                </c:pt>
                <c:pt idx="5">
                  <c:v>0.51000000000000334</c:v>
                </c:pt>
                <c:pt idx="6">
                  <c:v>-1.9999999999995133E-2</c:v>
                </c:pt>
                <c:pt idx="7">
                  <c:v>-9.9999999999993427E-2</c:v>
                </c:pt>
                <c:pt idx="8">
                  <c:v>-0.79999999999999893</c:v>
                </c:pt>
                <c:pt idx="9">
                  <c:v>0.84000000000000696</c:v>
                </c:pt>
                <c:pt idx="10">
                  <c:v>0.22500000000000409</c:v>
                </c:pt>
                <c:pt idx="11">
                  <c:v>0.84500000000000686</c:v>
                </c:pt>
                <c:pt idx="12">
                  <c:v>2.0650000000000057</c:v>
                </c:pt>
                <c:pt idx="13">
                  <c:v>4.2950000000000061</c:v>
                </c:pt>
                <c:pt idx="14">
                  <c:v>5.4050000000000038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C-40FF-90A2-48BCBB0E7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31696568"/>
        <c:axId val="831696928"/>
        <c:axId val="0"/>
      </c:bar3DChart>
      <c:dateAx>
        <c:axId val="831696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96928"/>
        <c:crosses val="autoZero"/>
        <c:auto val="1"/>
        <c:lblOffset val="100"/>
        <c:baseTimeUnit val="days"/>
      </c:dateAx>
      <c:valAx>
        <c:axId val="8316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9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return per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DATA!$P$25</c:f>
              <c:strCache>
                <c:ptCount val="1"/>
                <c:pt idx="0">
                  <c:v>ATTIJARI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DATA!$P$41</c:f>
              <c:numCache>
                <c:formatCode>General</c:formatCode>
                <c:ptCount val="1"/>
                <c:pt idx="0">
                  <c:v>0.92066666666667019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9-4835-B604-F6BCBECEF8ED}"/>
            </c:ext>
          </c:extLst>
        </c:ser>
        <c:ser>
          <c:idx val="1"/>
          <c:order val="1"/>
          <c:tx>
            <c:strRef>
              <c:f>DATA!$Q$25</c:f>
              <c:strCache>
                <c:ptCount val="1"/>
                <c:pt idx="0">
                  <c:v>DH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DATA!$Q$41</c:f>
              <c:numCache>
                <c:formatCode>General</c:formatCode>
                <c:ptCount val="1"/>
                <c:pt idx="0">
                  <c:v>-3.0000000000000152E-2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9-4835-B604-F6BCBECEF8ED}"/>
            </c:ext>
          </c:extLst>
        </c:ser>
        <c:ser>
          <c:idx val="2"/>
          <c:order val="2"/>
          <c:tx>
            <c:strRef>
              <c:f>DATA!$R$25</c:f>
              <c:strCache>
                <c:ptCount val="1"/>
                <c:pt idx="0">
                  <c:v>ECYCL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DATA!$R$41</c:f>
              <c:numCache>
                <c:formatCode>General</c:formatCode>
                <c:ptCount val="1"/>
                <c:pt idx="0">
                  <c:v>-7.8666666666666649E-2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79-4835-B604-F6BCBECEF8ED}"/>
            </c:ext>
          </c:extLst>
        </c:ser>
        <c:ser>
          <c:idx val="3"/>
          <c:order val="3"/>
          <c:tx>
            <c:strRef>
              <c:f>DATA!$S$25</c:f>
              <c:strCache>
                <c:ptCount val="1"/>
                <c:pt idx="0">
                  <c:v>OTH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DATA!$S$41</c:f>
              <c:numCache>
                <c:formatCode>General</c:formatCode>
                <c:ptCount val="1"/>
                <c:pt idx="0">
                  <c:v>0.20933333333333265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79-4835-B604-F6BCBECEF8ED}"/>
            </c:ext>
          </c:extLst>
        </c:ser>
        <c:ser>
          <c:idx val="4"/>
          <c:order val="4"/>
          <c:tx>
            <c:strRef>
              <c:f>DATA!$T$25</c:f>
              <c:strCache>
                <c:ptCount val="1"/>
                <c:pt idx="0">
                  <c:v>SAH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DATA!$T$41</c:f>
              <c:numCache>
                <c:formatCode>General</c:formatCode>
                <c:ptCount val="1"/>
                <c:pt idx="0">
                  <c:v>-0.12033333333333283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79-4835-B604-F6BCBECEF8ED}"/>
            </c:ext>
          </c:extLst>
        </c:ser>
        <c:ser>
          <c:idx val="5"/>
          <c:order val="5"/>
          <c:tx>
            <c:strRef>
              <c:f>DATA!$U$25</c:f>
              <c:strCache>
                <c:ptCount val="1"/>
                <c:pt idx="0">
                  <c:v>SFBT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DATA!$U$41</c:f>
              <c:numCache>
                <c:formatCode>General</c:formatCode>
                <c:ptCount val="1"/>
                <c:pt idx="0">
                  <c:v>-6.0000000000000171E-2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79-4835-B604-F6BCBECEF8ED}"/>
            </c:ext>
          </c:extLst>
        </c:ser>
        <c:ser>
          <c:idx val="6"/>
          <c:order val="6"/>
          <c:tx>
            <c:strRef>
              <c:f>DATA!$V$25</c:f>
              <c:strCache>
                <c:ptCount val="1"/>
                <c:pt idx="0">
                  <c:v>SMART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DATA!$V$41</c:f>
              <c:numCache>
                <c:formatCode>General</c:formatCode>
                <c:ptCount val="1"/>
                <c:pt idx="0">
                  <c:v>-0.12999999999999862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79-4835-B604-F6BCBECEF8ED}"/>
            </c:ext>
          </c:extLst>
        </c:ser>
        <c:ser>
          <c:idx val="7"/>
          <c:order val="7"/>
          <c:tx>
            <c:strRef>
              <c:f>DATA!$W$25</c:f>
              <c:strCache>
                <c:ptCount val="1"/>
                <c:pt idx="0">
                  <c:v>TELNET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DATA!$W$41</c:f>
              <c:numCache>
                <c:formatCode>General</c:formatCode>
                <c:ptCount val="1"/>
                <c:pt idx="0">
                  <c:v>0.22888888888888856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79-4835-B604-F6BCBECEF8ED}"/>
            </c:ext>
          </c:extLst>
        </c:ser>
        <c:ser>
          <c:idx val="8"/>
          <c:order val="8"/>
          <c:tx>
            <c:strRef>
              <c:f>DATA!$X$25</c:f>
              <c:strCache>
                <c:ptCount val="1"/>
                <c:pt idx="0">
                  <c:v>POULINA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DATA!$X$41</c:f>
              <c:numCache>
                <c:formatCode>General</c:formatCode>
                <c:ptCount val="1"/>
                <c:pt idx="0">
                  <c:v>0.10666666666666755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79-4835-B604-F6BCBECEF8ED}"/>
            </c:ext>
          </c:extLst>
        </c:ser>
        <c:ser>
          <c:idx val="9"/>
          <c:order val="9"/>
          <c:tx>
            <c:strRef>
              <c:f>DATA!$Y$25</c:f>
              <c:strCache>
                <c:ptCount val="1"/>
                <c:pt idx="0">
                  <c:v>SOTUMAG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DATA!$Y$41</c:f>
              <c:numCache>
                <c:formatCode>General</c:formatCode>
                <c:ptCount val="1"/>
                <c:pt idx="0">
                  <c:v>-4.0000000000000389E-2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79-4835-B604-F6BCBECEF8ED}"/>
            </c:ext>
          </c:extLst>
        </c:ser>
        <c:ser>
          <c:idx val="10"/>
          <c:order val="10"/>
          <c:tx>
            <c:strRef>
              <c:f>DATA!$Z$25</c:f>
              <c:strCache>
                <c:ptCount val="1"/>
                <c:pt idx="0">
                  <c:v>city cars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DATA!$Z$41</c:f>
              <c:numCache>
                <c:formatCode>General</c:formatCode>
                <c:ptCount val="1"/>
                <c:pt idx="0">
                  <c:v>-9.9999999999999645E-2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79-4835-B604-F6BCBECEF8ED}"/>
            </c:ext>
          </c:extLst>
        </c:ser>
        <c:ser>
          <c:idx val="11"/>
          <c:order val="11"/>
          <c:tx>
            <c:strRef>
              <c:f>DATA!$AA$25</c:f>
              <c:strCache>
                <c:ptCount val="1"/>
                <c:pt idx="0">
                  <c:v>unimed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DATA!$AA$41</c:f>
              <c:numCache>
                <c:formatCode>General</c:formatCode>
                <c:ptCount val="1"/>
                <c:pt idx="0">
                  <c:v>4.33333333333333E-2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F79-4835-B604-F6BCBECEF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28567984"/>
        <c:axId val="828569424"/>
        <c:axId val="0"/>
      </c:bar3DChart>
      <c:catAx>
        <c:axId val="8285679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569424"/>
        <c:crosses val="autoZero"/>
        <c:auto val="1"/>
        <c:lblAlgn val="ctr"/>
        <c:lblOffset val="100"/>
        <c:noMultiLvlLbl val="0"/>
      </c:catAx>
      <c:valAx>
        <c:axId val="82856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56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812532808398951"/>
          <c:y val="0.19432888597258677"/>
          <c:w val="0.38930511811023621"/>
          <c:h val="0.6488418635170604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90-4A4C-AFDD-938746D5E411}"/>
              </c:ext>
            </c:extLst>
          </c:dPt>
          <c:dPt>
            <c:idx val="1"/>
            <c:bubble3D val="0"/>
            <c:spPr>
              <a:solidFill>
                <a:schemeClr val="accent5">
                  <a:shade val="7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190-4A4C-AFDD-938746D5E411}"/>
              </c:ext>
            </c:extLst>
          </c:dPt>
          <c:dPt>
            <c:idx val="2"/>
            <c:bubble3D val="0"/>
            <c:spPr>
              <a:solidFill>
                <a:schemeClr val="accent5">
                  <a:shade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190-4A4C-AFDD-938746D5E411}"/>
              </c:ext>
            </c:extLst>
          </c:dPt>
          <c:dPt>
            <c:idx val="3"/>
            <c:bubble3D val="0"/>
            <c:spPr>
              <a:solidFill>
                <a:schemeClr val="accent5">
                  <a:tint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190-4A4C-AFDD-938746D5E411}"/>
              </c:ext>
            </c:extLst>
          </c:dPt>
          <c:dPt>
            <c:idx val="4"/>
            <c:bubble3D val="0"/>
            <c:spPr>
              <a:solidFill>
                <a:schemeClr val="accent5">
                  <a:tint val="7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190-4A4C-AFDD-938746D5E411}"/>
              </c:ext>
            </c:extLst>
          </c:dPt>
          <c:dPt>
            <c:idx val="5"/>
            <c:bubble3D val="0"/>
            <c:spPr>
              <a:solidFill>
                <a:schemeClr val="accent5">
                  <a:tint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190-4A4C-AFDD-938746D5E4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'sectors and industries'!$A$14:$A$19</c:f>
              <c:strCache>
                <c:ptCount val="6"/>
                <c:pt idx="0">
                  <c:v>consumer goods</c:v>
                </c:pt>
                <c:pt idx="1">
                  <c:v>consumer services</c:v>
                </c:pt>
                <c:pt idx="2">
                  <c:v>financials</c:v>
                </c:pt>
                <c:pt idx="3">
                  <c:v>industrials </c:v>
                </c:pt>
                <c:pt idx="4">
                  <c:v>tech</c:v>
                </c:pt>
                <c:pt idx="5">
                  <c:v>healthcare</c:v>
                </c:pt>
              </c:strCache>
            </c:strRef>
          </c:cat>
          <c:val>
            <c:numRef>
              <c:f>'sectors and industries'!$B$14:$B$19</c:f>
              <c:numCache>
                <c:formatCode>General</c:formatCode>
                <c:ptCount val="6"/>
                <c:pt idx="0">
                  <c:v>7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90-4A4C-AFDD-938746D5E41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47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912-4ACB-A624-0A249C222CCD}"/>
              </c:ext>
            </c:extLst>
          </c:dPt>
          <c:dPt>
            <c:idx val="1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912-4ACB-A624-0A249C222CCD}"/>
              </c:ext>
            </c:extLst>
          </c:dPt>
          <c:dPt>
            <c:idx val="2"/>
            <c:bubble3D val="0"/>
            <c:spPr>
              <a:solidFill>
                <a:schemeClr val="accent5">
                  <a:shade val="82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912-4ACB-A624-0A249C222CCD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912-4ACB-A624-0A249C222CCD}"/>
              </c:ext>
            </c:extLst>
          </c:dPt>
          <c:dPt>
            <c:idx val="4"/>
            <c:bubble3D val="0"/>
            <c:spPr>
              <a:solidFill>
                <a:schemeClr val="accent5">
                  <a:tint val="83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912-4ACB-A624-0A249C222CCD}"/>
              </c:ext>
            </c:extLst>
          </c:dPt>
          <c:dPt>
            <c:idx val="5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912-4ACB-A624-0A249C222CCD}"/>
              </c:ext>
            </c:extLst>
          </c:dPt>
          <c:dPt>
            <c:idx val="6"/>
            <c:bubble3D val="0"/>
            <c:spPr>
              <a:solidFill>
                <a:schemeClr val="accent5">
                  <a:tint val="4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912-4ACB-A624-0A249C222CC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shade val="47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912-4ACB-A624-0A249C222CC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shade val="6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912-4ACB-A624-0A249C222CC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shade val="82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912-4ACB-A624-0A249C222CC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D912-4ACB-A624-0A249C222CC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tint val="83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D912-4ACB-A624-0A249C222CC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tint val="6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D912-4ACB-A624-0A249C222CC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tint val="48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D912-4ACB-A624-0A249C222CC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'sectors and industries'!$A$21:$A$27</c:f>
              <c:strCache>
                <c:ptCount val="7"/>
                <c:pt idx="0">
                  <c:v>banks</c:v>
                </c:pt>
                <c:pt idx="1">
                  <c:v>food &amp; beverages</c:v>
                </c:pt>
                <c:pt idx="2">
                  <c:v>general retailers</c:v>
                </c:pt>
                <c:pt idx="3">
                  <c:v>industrial goods and services</c:v>
                </c:pt>
                <c:pt idx="4">
                  <c:v>personal and household goods</c:v>
                </c:pt>
                <c:pt idx="5">
                  <c:v>tech</c:v>
                </c:pt>
                <c:pt idx="6">
                  <c:v>healthcare</c:v>
                </c:pt>
              </c:strCache>
            </c:strRef>
          </c:cat>
          <c:val>
            <c:numRef>
              <c:f>'sectors and industries'!$B$21:$B$27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912-4ACB-A624-0A249C222CC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22861</xdr:colOff>
      <xdr:row>0</xdr:row>
      <xdr:rowOff>22860</xdr:rowOff>
    </xdr:from>
    <xdr:to>
      <xdr:col>11</xdr:col>
      <xdr:colOff>21772</xdr:colOff>
      <xdr:row>2</xdr:row>
      <xdr:rowOff>129540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FD10366-5462-D251-AB5D-6BDA5074940E}"/>
            </a:ext>
          </a:extLst>
        </xdr:cNvPr>
        <xdr:cNvSpPr/>
      </xdr:nvSpPr>
      <xdr:spPr>
        <a:xfrm>
          <a:off x="1203961" y="22860"/>
          <a:ext cx="12579531" cy="4724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portfolio Dashboard</a:t>
          </a:r>
        </a:p>
      </xdr:txBody>
    </xdr:sp>
    <xdr:clientData/>
  </xdr:twoCellAnchor>
  <xdr:twoCellAnchor>
    <xdr:from>
      <xdr:col>5</xdr:col>
      <xdr:colOff>0</xdr:colOff>
      <xdr:row>32</xdr:row>
      <xdr:rowOff>15241</xdr:rowOff>
    </xdr:from>
    <xdr:to>
      <xdr:col>6</xdr:col>
      <xdr:colOff>1066800</xdr:colOff>
      <xdr:row>40</xdr:row>
      <xdr:rowOff>125262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538D5C3-8189-45CA-A33C-A0C2E987A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</xdr:colOff>
      <xdr:row>41</xdr:row>
      <xdr:rowOff>0</xdr:rowOff>
    </xdr:from>
    <xdr:to>
      <xdr:col>8</xdr:col>
      <xdr:colOff>1123090</xdr:colOff>
      <xdr:row>54</xdr:row>
      <xdr:rowOff>192221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6C0C54E-68D4-5CD4-2E26-92ACA97D4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29</xdr:row>
      <xdr:rowOff>76200</xdr:rowOff>
    </xdr:from>
    <xdr:to>
      <xdr:col>10</xdr:col>
      <xdr:colOff>1592580</xdr:colOff>
      <xdr:row>40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DE7F1D-97B8-472F-BFBF-7C60774DF9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125730</xdr:colOff>
      <xdr:row>29</xdr:row>
      <xdr:rowOff>62865</xdr:rowOff>
    </xdr:from>
    <xdr:to>
      <xdr:col>4</xdr:col>
      <xdr:colOff>624840</xdr:colOff>
      <xdr:row>40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E85D86-5CBF-4988-94E5-ADE1EB0720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81064</xdr:colOff>
      <xdr:row>14</xdr:row>
      <xdr:rowOff>16212</xdr:rowOff>
    </xdr:from>
    <xdr:to>
      <xdr:col>4</xdr:col>
      <xdr:colOff>656615</xdr:colOff>
      <xdr:row>29</xdr:row>
      <xdr:rowOff>24319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F622AA-A5FB-4E95-8D5A-F4316D353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648509</xdr:colOff>
      <xdr:row>13</xdr:row>
      <xdr:rowOff>162128</xdr:rowOff>
    </xdr:from>
    <xdr:to>
      <xdr:col>11</xdr:col>
      <xdr:colOff>8106</xdr:colOff>
      <xdr:row>29</xdr:row>
      <xdr:rowOff>43774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B51FA1-7FF8-450E-A422-1019F949C5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171450</xdr:rowOff>
    </xdr:from>
    <xdr:to>
      <xdr:col>7</xdr:col>
      <xdr:colOff>304800</xdr:colOff>
      <xdr:row>31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5649D9-F90C-4CDB-B3D0-7C8DFD3630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276225</xdr:colOff>
      <xdr:row>15</xdr:row>
      <xdr:rowOff>133350</xdr:rowOff>
    </xdr:from>
    <xdr:to>
      <xdr:col>14</xdr:col>
      <xdr:colOff>581025</xdr:colOff>
      <xdr:row>30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C4DB82-B116-4088-BA64-096E9483A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95250</xdr:rowOff>
    </xdr:from>
    <xdr:to>
      <xdr:col>7</xdr:col>
      <xdr:colOff>304800</xdr:colOff>
      <xdr:row>15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8CE6E4F-80CE-4D1B-AEB5-6BBFC1B5B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335280</xdr:colOff>
      <xdr:row>0</xdr:row>
      <xdr:rowOff>34290</xdr:rowOff>
    </xdr:from>
    <xdr:to>
      <xdr:col>15</xdr:col>
      <xdr:colOff>30480</xdr:colOff>
      <xdr:row>15</xdr:row>
      <xdr:rowOff>62865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CFDE8C9-DB82-4203-BD86-DA714476C8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4B2EB1-09F5-492D-8819-039892EC2C77}" name="Table2" displayName="Table2" ref="A2:F23" totalsRowShown="0" headerRowDxfId="38" dataDxfId="37" tableBorderDxfId="36">
  <autoFilter ref="A2:F23" xr:uid="{744B2EB1-09F5-492D-8819-039892EC2C77}"/>
  <tableColumns count="6">
    <tableColumn id="1" xr3:uid="{3A2BD0CF-632F-4727-955D-AAA6983FC5D3}" name="Stock" dataDxfId="35"/>
    <tableColumn id="7" xr3:uid="{30C3476B-0CEE-4ACE-B08D-84EB62045365}" name="B/S" dataDxfId="34"/>
    <tableColumn id="2" xr3:uid="{AE5C94A6-8BFE-4CF4-9A8E-44C29738A3B7}" name="date" dataDxfId="33"/>
    <tableColumn id="4" xr3:uid="{08CBD191-1677-457B-98BE-871C033B85C9}" name="QTY" dataDxfId="32"/>
    <tableColumn id="5" xr3:uid="{6CCECBEC-6436-4647-B0C3-C99B2C627497}" name="P" dataDxfId="31"/>
    <tableColumn id="6" xr3:uid="{F613C96D-AE65-4094-B054-F5FA2EFEFD37}" name="TOT" dataDxfId="30">
      <calculatedColumnFormula>E3*D3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1F8BF1-E895-42B8-A489-866669686B02}" name="Table4" displayName="Table4" ref="A1:D12" totalsRowShown="0" headerRowDxfId="21" dataDxfId="28" headerRowBorderDxfId="29" tableBorderDxfId="27" totalsRowBorderDxfId="26">
  <autoFilter ref="A1:D12" xr:uid="{FB1F8BF1-E895-42B8-A489-866669686B02}"/>
  <sortState xmlns:xlrd2="http://schemas.microsoft.com/office/spreadsheetml/2017/richdata2" ref="A2:D12">
    <sortCondition ref="A1:A12"/>
  </sortState>
  <tableColumns count="4">
    <tableColumn id="1" xr3:uid="{D497C1FB-39D8-4869-BB44-C8F5C53ED4CB}" name="industry" dataDxfId="25"/>
    <tableColumn id="2" xr3:uid="{A113DB35-39DE-4AC0-B295-2E247DBAC38A}" name="sector" dataDxfId="24"/>
    <tableColumn id="3" xr3:uid="{29150EDD-0794-4FC1-B674-E231CFF32EDD}" name="stock" dataDxfId="23"/>
    <tableColumn id="4" xr3:uid="{3BEC333C-1058-4FD4-AFE1-C9B3FA4E191F}" name="weight" dataDxfId="2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8AB7-FAAD-42CA-A4EC-5879D474C8C8}">
  <dimension ref="A1:K60"/>
  <sheetViews>
    <sheetView topLeftCell="A35" zoomScale="94" zoomScaleNormal="100" workbookViewId="0">
      <selection activeCell="F59" sqref="F59"/>
    </sheetView>
  </sheetViews>
  <sheetFormatPr defaultRowHeight="14.4" x14ac:dyDescent="0.3"/>
  <cols>
    <col min="1" max="1" width="2.21875" style="60" customWidth="1"/>
    <col min="2" max="2" width="15" style="60" customWidth="1"/>
    <col min="3" max="3" width="30.33203125" style="60" customWidth="1"/>
    <col min="4" max="4" width="27.33203125" style="60" customWidth="1"/>
    <col min="5" max="5" width="9.6640625" style="60" customWidth="1"/>
    <col min="6" max="6" width="21.6640625" style="60" customWidth="1"/>
    <col min="7" max="7" width="15.6640625" style="60" customWidth="1"/>
    <col min="8" max="8" width="14.77734375" style="60" customWidth="1"/>
    <col min="9" max="9" width="16.88671875" style="60" customWidth="1"/>
    <col min="10" max="10" width="27.21875" style="60" customWidth="1"/>
    <col min="11" max="11" width="23.33203125" style="60" customWidth="1"/>
    <col min="12" max="12" width="28" style="60" customWidth="1"/>
    <col min="13" max="13" width="19.88671875" style="60" customWidth="1"/>
    <col min="14" max="14" width="1.109375" style="60" customWidth="1"/>
    <col min="15" max="16384" width="8.88671875" style="60"/>
  </cols>
  <sheetData>
    <row r="1" spans="1:11" x14ac:dyDescent="0.3">
      <c r="A1" s="93">
        <v>45289</v>
      </c>
      <c r="B1" s="94"/>
      <c r="C1" s="62"/>
      <c r="D1" s="62"/>
      <c r="E1" s="62"/>
      <c r="F1" s="62"/>
      <c r="G1" s="62"/>
      <c r="H1" s="62"/>
      <c r="I1" s="62"/>
      <c r="J1" s="62"/>
      <c r="K1" s="62"/>
    </row>
    <row r="2" spans="1:11" x14ac:dyDescent="0.3">
      <c r="A2" s="94"/>
      <c r="B2" s="94"/>
      <c r="C2" s="62"/>
      <c r="D2" s="62"/>
      <c r="E2" s="62"/>
      <c r="F2" s="62"/>
      <c r="G2" s="62"/>
      <c r="H2" s="62"/>
      <c r="I2" s="62"/>
      <c r="J2" s="62"/>
      <c r="K2" s="62"/>
    </row>
    <row r="3" spans="1:11" x14ac:dyDescent="0.3">
      <c r="A3" s="94"/>
      <c r="B3" s="94"/>
      <c r="C3" s="62"/>
      <c r="D3" s="62"/>
      <c r="E3" s="62"/>
      <c r="F3" s="62"/>
      <c r="G3" s="62"/>
      <c r="H3" s="62"/>
      <c r="I3" s="62"/>
      <c r="J3" s="62"/>
      <c r="K3" s="62"/>
    </row>
    <row r="4" spans="1:11" ht="15.6" x14ac:dyDescent="0.3">
      <c r="A4" s="62"/>
      <c r="B4" s="72"/>
      <c r="C4" s="76" t="s">
        <v>51</v>
      </c>
      <c r="D4" s="76" t="s">
        <v>28</v>
      </c>
      <c r="E4" s="76" t="s">
        <v>59</v>
      </c>
      <c r="F4" s="76" t="s">
        <v>56</v>
      </c>
      <c r="G4" s="76" t="s">
        <v>52</v>
      </c>
      <c r="H4" s="76" t="s">
        <v>53</v>
      </c>
      <c r="I4" s="76" t="s">
        <v>54</v>
      </c>
      <c r="J4" s="76" t="s">
        <v>73</v>
      </c>
      <c r="K4" s="76" t="s">
        <v>58</v>
      </c>
    </row>
    <row r="5" spans="1:11" ht="15.6" x14ac:dyDescent="0.3">
      <c r="B5" s="74"/>
      <c r="C5" s="69" t="str" cm="1">
        <f t="array" ref="C5:C14">_xlfn.UNIQUE(_xlfn._xlws.FILTER(transactions!A2:A23,SUMIF(transactions!A2:A23,transactions!A2:A23,transactions!D2:D23)&gt;0))</f>
        <v xml:space="preserve">ATTIJARI BANK </v>
      </c>
      <c r="D5" s="75" t="s">
        <v>33</v>
      </c>
      <c r="E5" s="69">
        <v>45</v>
      </c>
      <c r="F5" s="69">
        <v>1</v>
      </c>
      <c r="G5" s="69">
        <f>E5*F5</f>
        <v>45</v>
      </c>
      <c r="H5" s="70">
        <f t="shared" ref="H5:H14" si="0">G5/(SUM($G$5:$G$14))</f>
        <v>0.27162431339409671</v>
      </c>
      <c r="I5" s="71">
        <v>2.23255733630304</v>
      </c>
      <c r="J5" s="84">
        <f>calculations!B36</f>
        <v>2.0355193549428992E-2</v>
      </c>
      <c r="K5" s="86">
        <f t="shared" ref="K5:K14" si="1">J5*H5</f>
        <v>5.5289654718675965E-3</v>
      </c>
    </row>
    <row r="6" spans="1:11" ht="15.6" x14ac:dyDescent="0.3">
      <c r="B6" s="74"/>
      <c r="C6" s="69" t="str">
        <v xml:space="preserve">ECYCL </v>
      </c>
      <c r="D6" s="75" t="s">
        <v>36</v>
      </c>
      <c r="E6" s="69">
        <v>15.37</v>
      </c>
      <c r="F6" s="69">
        <v>1</v>
      </c>
      <c r="G6" s="69">
        <f t="shared" ref="G6" si="2">E6*F6</f>
        <v>15.37</v>
      </c>
      <c r="H6" s="70">
        <f t="shared" si="0"/>
        <v>9.2774793263717029E-2</v>
      </c>
      <c r="I6" s="71">
        <v>0.87654919228822048</v>
      </c>
      <c r="J6" s="84">
        <f>calculations!D36</f>
        <v>-2.7553525527241659E-3</v>
      </c>
      <c r="K6" s="86">
        <f t="shared" si="1"/>
        <v>-2.5562726344763949E-4</v>
      </c>
    </row>
    <row r="7" spans="1:11" ht="15.6" x14ac:dyDescent="0.3">
      <c r="B7" s="74"/>
      <c r="C7" s="69" t="str">
        <v xml:space="preserve">SAH </v>
      </c>
      <c r="D7" s="75" t="s">
        <v>36</v>
      </c>
      <c r="E7" s="69">
        <v>7.95</v>
      </c>
      <c r="F7" s="69">
        <v>1</v>
      </c>
      <c r="G7" s="69">
        <f t="shared" ref="G7:G14" si="3">E7*F7</f>
        <v>7.95</v>
      </c>
      <c r="H7" s="70">
        <f t="shared" si="0"/>
        <v>4.798696203295709E-2</v>
      </c>
      <c r="I7" s="71">
        <v>-0.79744623185851249</v>
      </c>
      <c r="J7" s="84">
        <f>calculations!F36</f>
        <v>-1.3148129763339277E-2</v>
      </c>
      <c r="K7" s="86">
        <f t="shared" si="1"/>
        <v>-6.3093880375775496E-4</v>
      </c>
    </row>
    <row r="8" spans="1:11" ht="15.6" x14ac:dyDescent="0.3">
      <c r="B8" s="74"/>
      <c r="C8" s="69" t="str">
        <v xml:space="preserve">OTH </v>
      </c>
      <c r="D8" s="75" t="s">
        <v>40</v>
      </c>
      <c r="E8" s="69">
        <v>8.5</v>
      </c>
      <c r="F8" s="69">
        <v>1</v>
      </c>
      <c r="G8" s="69">
        <f t="shared" si="3"/>
        <v>8.5</v>
      </c>
      <c r="H8" s="70">
        <f t="shared" si="0"/>
        <v>5.1306814752218266E-2</v>
      </c>
      <c r="I8" s="71">
        <v>2.5130228208298444</v>
      </c>
      <c r="J8" s="84">
        <f>calculations!E36</f>
        <v>2.4234081572409322E-2</v>
      </c>
      <c r="K8" s="86">
        <f t="shared" si="1"/>
        <v>1.2433735339257514E-3</v>
      </c>
    </row>
    <row r="9" spans="1:11" ht="15.6" x14ac:dyDescent="0.3">
      <c r="B9" s="74"/>
      <c r="C9" s="69" t="str">
        <v xml:space="preserve">DH </v>
      </c>
      <c r="D9" s="75" t="s">
        <v>55</v>
      </c>
      <c r="E9" s="69">
        <v>11.4</v>
      </c>
      <c r="F9" s="69">
        <v>1</v>
      </c>
      <c r="G9" s="69">
        <f t="shared" si="3"/>
        <v>11.4</v>
      </c>
      <c r="H9" s="70">
        <f t="shared" si="0"/>
        <v>6.8811492726504497E-2</v>
      </c>
      <c r="I9" s="71">
        <v>-0.19592136965008466</v>
      </c>
      <c r="J9" s="84">
        <f>DATA!Q41</f>
        <v>-3.0000000000000152E-2</v>
      </c>
      <c r="K9" s="86">
        <f t="shared" si="1"/>
        <v>-2.0643447817951452E-3</v>
      </c>
    </row>
    <row r="10" spans="1:11" ht="15.6" x14ac:dyDescent="0.3">
      <c r="B10" s="74"/>
      <c r="C10" s="69" t="str">
        <v xml:space="preserve">SFBT </v>
      </c>
      <c r="D10" s="75" t="s">
        <v>55</v>
      </c>
      <c r="E10" s="69">
        <v>12</v>
      </c>
      <c r="F10" s="69">
        <v>2</v>
      </c>
      <c r="G10" s="69">
        <f t="shared" si="3"/>
        <v>24</v>
      </c>
      <c r="H10" s="70">
        <f t="shared" si="0"/>
        <v>0.14486630047685159</v>
      </c>
      <c r="I10" s="71">
        <v>5.205839663253224</v>
      </c>
      <c r="J10" s="84">
        <f>calculations!G36</f>
        <v>-3.0371500902351047E-3</v>
      </c>
      <c r="K10" s="86">
        <f t="shared" si="1"/>
        <v>-4.3998069756529559E-4</v>
      </c>
    </row>
    <row r="11" spans="1:11" ht="15.6" x14ac:dyDescent="0.3">
      <c r="B11" s="74"/>
      <c r="C11" s="69" t="str">
        <v xml:space="preserve">POULINA </v>
      </c>
      <c r="D11" s="75" t="s">
        <v>55</v>
      </c>
      <c r="E11" s="69">
        <v>7.65</v>
      </c>
      <c r="F11" s="69">
        <v>2</v>
      </c>
      <c r="G11" s="69">
        <f t="shared" si="3"/>
        <v>15.3</v>
      </c>
      <c r="H11" s="70">
        <f t="shared" si="0"/>
        <v>9.2352266553992896E-2</v>
      </c>
      <c r="I11" s="71">
        <v>2.9708199035462566</v>
      </c>
      <c r="J11" s="84">
        <f>calculations!J36</f>
        <v>7.5836713281137672E-3</v>
      </c>
      <c r="K11" s="86">
        <f t="shared" si="1"/>
        <v>7.0036923595183593E-4</v>
      </c>
    </row>
    <row r="12" spans="1:11" ht="15.6" x14ac:dyDescent="0.3">
      <c r="B12" s="74"/>
      <c r="C12" s="69" t="str">
        <v xml:space="preserve">SMART </v>
      </c>
      <c r="D12" s="75" t="s">
        <v>38</v>
      </c>
      <c r="E12" s="69">
        <v>16.600000000000001</v>
      </c>
      <c r="F12" s="69">
        <v>1</v>
      </c>
      <c r="G12" s="69">
        <f t="shared" si="3"/>
        <v>16.600000000000001</v>
      </c>
      <c r="H12" s="70">
        <f t="shared" si="0"/>
        <v>0.10019919116315569</v>
      </c>
      <c r="I12" s="71">
        <v>1.0950391147515885</v>
      </c>
      <c r="J12" s="84">
        <f>calculations!H36</f>
        <v>-7.1079057467353605E-3</v>
      </c>
      <c r="K12" s="86">
        <f t="shared" si="1"/>
        <v>-7.1220640668682924E-4</v>
      </c>
    </row>
    <row r="13" spans="1:11" ht="15.6" x14ac:dyDescent="0.3">
      <c r="B13" s="74"/>
      <c r="C13" s="69" t="str">
        <v xml:space="preserve">TELNET </v>
      </c>
      <c r="D13" s="75" t="s">
        <v>31</v>
      </c>
      <c r="E13" s="69">
        <v>7.05</v>
      </c>
      <c r="F13" s="69">
        <v>2</v>
      </c>
      <c r="G13" s="69">
        <f t="shared" si="3"/>
        <v>14.1</v>
      </c>
      <c r="H13" s="70">
        <f t="shared" si="0"/>
        <v>8.5108951530150301E-2</v>
      </c>
      <c r="I13" s="71">
        <v>-1.0161410371516859</v>
      </c>
      <c r="J13" s="84">
        <f>calculations!I36</f>
        <v>1.0944021660137445E-2</v>
      </c>
      <c r="K13" s="86">
        <f t="shared" si="1"/>
        <v>9.314342090175528E-4</v>
      </c>
    </row>
    <row r="14" spans="1:11" ht="15.6" x14ac:dyDescent="0.3">
      <c r="B14" s="74"/>
      <c r="C14" s="69" t="str">
        <v>UMED</v>
      </c>
      <c r="D14" s="75" t="s">
        <v>71</v>
      </c>
      <c r="E14" s="75">
        <v>7.45</v>
      </c>
      <c r="F14" s="75">
        <v>1</v>
      </c>
      <c r="G14" s="75">
        <f t="shared" si="3"/>
        <v>7.45</v>
      </c>
      <c r="H14" s="70">
        <f t="shared" si="0"/>
        <v>4.4968914106356013E-2</v>
      </c>
      <c r="I14" s="71">
        <v>0.89823623529697005</v>
      </c>
      <c r="J14" s="84">
        <f>calculations!M36</f>
        <v>5.7813428401663654E-3</v>
      </c>
      <c r="K14" s="86">
        <f t="shared" si="1"/>
        <v>2.5998070959883763E-4</v>
      </c>
    </row>
    <row r="15" spans="1:11" x14ac:dyDescent="0.3">
      <c r="C15" s="100"/>
      <c r="D15" s="100"/>
      <c r="E15" s="100"/>
      <c r="F15" s="100"/>
      <c r="G15" s="100"/>
      <c r="H15" s="100"/>
      <c r="K15" s="87"/>
    </row>
    <row r="16" spans="1:11" x14ac:dyDescent="0.3">
      <c r="C16" s="100"/>
      <c r="D16" s="100"/>
      <c r="E16" s="100"/>
      <c r="F16" s="100"/>
      <c r="G16" s="100"/>
      <c r="H16" s="100"/>
    </row>
    <row r="27" spans="6:7" ht="18" customHeight="1" x14ac:dyDescent="0.3"/>
    <row r="28" spans="6:7" ht="1.8" customHeight="1" x14ac:dyDescent="0.3"/>
    <row r="29" spans="6:7" ht="13.8" customHeight="1" x14ac:dyDescent="0.3"/>
    <row r="30" spans="6:7" ht="24.6" customHeight="1" x14ac:dyDescent="0.3">
      <c r="F30" s="88" t="s">
        <v>74</v>
      </c>
      <c r="G30" s="89">
        <v>1.0969903591154725E-2</v>
      </c>
    </row>
    <row r="31" spans="6:7" ht="24.6" customHeight="1" x14ac:dyDescent="0.3">
      <c r="F31" s="88" t="s">
        <v>75</v>
      </c>
      <c r="G31" s="90">
        <v>4.6561110718008371E-3</v>
      </c>
    </row>
    <row r="32" spans="6:7" ht="26.4" customHeight="1" x14ac:dyDescent="0.3">
      <c r="F32" s="88" t="s">
        <v>76</v>
      </c>
      <c r="G32" s="89">
        <v>-14.825697957876811</v>
      </c>
    </row>
    <row r="33" spans="2:11" x14ac:dyDescent="0.3">
      <c r="F33" s="95"/>
      <c r="G33" s="95"/>
    </row>
    <row r="34" spans="2:11" x14ac:dyDescent="0.3">
      <c r="F34" s="96"/>
      <c r="G34" s="96"/>
    </row>
    <row r="35" spans="2:11" x14ac:dyDescent="0.3">
      <c r="F35" s="96"/>
      <c r="G35" s="96"/>
    </row>
    <row r="36" spans="2:11" x14ac:dyDescent="0.3">
      <c r="F36" s="96"/>
      <c r="G36" s="96"/>
    </row>
    <row r="37" spans="2:11" x14ac:dyDescent="0.3">
      <c r="F37" s="96"/>
      <c r="G37" s="96"/>
    </row>
    <row r="38" spans="2:11" x14ac:dyDescent="0.3">
      <c r="F38" s="96"/>
      <c r="G38" s="96"/>
    </row>
    <row r="39" spans="2:11" x14ac:dyDescent="0.3">
      <c r="F39" s="96"/>
      <c r="G39" s="96"/>
    </row>
    <row r="40" spans="2:11" x14ac:dyDescent="0.3">
      <c r="F40" s="96"/>
      <c r="G40" s="96"/>
    </row>
    <row r="41" spans="2:11" x14ac:dyDescent="0.3">
      <c r="F41" s="61"/>
      <c r="G41" s="61"/>
    </row>
    <row r="42" spans="2:11" x14ac:dyDescent="0.3">
      <c r="B42" s="91" t="s">
        <v>60</v>
      </c>
      <c r="C42" s="92"/>
      <c r="D42" s="83">
        <v>0.03</v>
      </c>
      <c r="J42" s="63" t="s">
        <v>23</v>
      </c>
      <c r="K42" s="64" t="s">
        <v>24</v>
      </c>
    </row>
    <row r="43" spans="2:11" ht="18.600000000000001" customHeight="1" x14ac:dyDescent="0.3">
      <c r="B43" s="91" t="s">
        <v>61</v>
      </c>
      <c r="C43" s="92"/>
      <c r="D43" s="63">
        <f>calculations!B39</f>
        <v>2.899904372368409E-2</v>
      </c>
      <c r="J43" s="73">
        <v>45271</v>
      </c>
      <c r="K43" s="67">
        <v>-7.9999999999998295E-2</v>
      </c>
    </row>
    <row r="44" spans="2:11" ht="18.600000000000001" customHeight="1" x14ac:dyDescent="0.3">
      <c r="B44" s="91" t="s">
        <v>65</v>
      </c>
      <c r="C44" s="92"/>
      <c r="D44" s="63">
        <f>calculations!B40</f>
        <v>-0.65623186027003433</v>
      </c>
      <c r="J44" s="73">
        <v>45272</v>
      </c>
      <c r="K44" s="67">
        <v>0.26000000000000334</v>
      </c>
    </row>
    <row r="45" spans="2:11" ht="15.6" x14ac:dyDescent="0.3">
      <c r="B45" s="65" t="s">
        <v>23</v>
      </c>
      <c r="C45" s="65" t="s">
        <v>68</v>
      </c>
      <c r="D45" s="65" t="s">
        <v>67</v>
      </c>
      <c r="J45" s="73">
        <v>45273</v>
      </c>
      <c r="K45" s="67">
        <v>0.13000000000000433</v>
      </c>
    </row>
    <row r="46" spans="2:11" ht="15.6" x14ac:dyDescent="0.3">
      <c r="B46" s="66">
        <v>45271</v>
      </c>
      <c r="C46" s="67">
        <v>233.9</v>
      </c>
      <c r="D46" s="68">
        <v>-3.4028171832405363E-3</v>
      </c>
      <c r="J46" s="73">
        <v>45274</v>
      </c>
      <c r="K46" s="67">
        <v>0.39999999999999858</v>
      </c>
    </row>
    <row r="47" spans="2:11" ht="15.6" x14ac:dyDescent="0.3">
      <c r="B47" s="66">
        <v>45272</v>
      </c>
      <c r="C47" s="67">
        <v>233.9</v>
      </c>
      <c r="D47" s="68">
        <v>-2.269833312329772E-3</v>
      </c>
      <c r="J47" s="73">
        <v>45275</v>
      </c>
      <c r="K47" s="67">
        <v>0.74000000000000465</v>
      </c>
    </row>
    <row r="48" spans="2:11" ht="15.6" x14ac:dyDescent="0.3">
      <c r="B48" s="66">
        <v>45273</v>
      </c>
      <c r="C48" s="67">
        <v>231.39700000000002</v>
      </c>
      <c r="D48" s="68">
        <v>-4.3843762724985469E-3</v>
      </c>
      <c r="J48" s="73">
        <v>45278</v>
      </c>
      <c r="K48" s="67">
        <v>0.51000000000000334</v>
      </c>
    </row>
    <row r="49" spans="2:11" ht="15.6" x14ac:dyDescent="0.3">
      <c r="B49" s="66">
        <v>45274</v>
      </c>
      <c r="C49" s="67">
        <v>231.39700000000002</v>
      </c>
      <c r="D49" s="68">
        <v>-3.5090415418977949E-3</v>
      </c>
      <c r="J49" s="73">
        <v>45279</v>
      </c>
      <c r="K49" s="67">
        <v>-1.9999999999995133E-2</v>
      </c>
    </row>
    <row r="50" spans="2:11" ht="15.6" x14ac:dyDescent="0.3">
      <c r="B50" s="66">
        <v>45275</v>
      </c>
      <c r="C50" s="67">
        <v>230.18400000000003</v>
      </c>
      <c r="D50" s="68">
        <v>-3.7980896692733079E-3</v>
      </c>
      <c r="J50" s="73">
        <v>45280</v>
      </c>
      <c r="K50" s="67">
        <v>-9.9999999999993427E-2</v>
      </c>
    </row>
    <row r="51" spans="2:11" ht="15.6" x14ac:dyDescent="0.3">
      <c r="B51" s="66">
        <v>45278</v>
      </c>
      <c r="C51" s="67">
        <v>225.32700000000003</v>
      </c>
      <c r="D51" s="68">
        <v>-6.2884633275442914E-3</v>
      </c>
      <c r="J51" s="73">
        <v>45281</v>
      </c>
      <c r="K51" s="67">
        <v>-0.79999999999999893</v>
      </c>
    </row>
    <row r="52" spans="2:11" ht="15.6" x14ac:dyDescent="0.3">
      <c r="B52" s="66">
        <v>45279</v>
      </c>
      <c r="C52" s="67">
        <v>224.10900000000004</v>
      </c>
      <c r="D52" s="68">
        <v>-6.1781329671071195E-3</v>
      </c>
      <c r="J52" s="73">
        <v>45282</v>
      </c>
      <c r="K52" s="67">
        <v>0.84000000000000696</v>
      </c>
    </row>
    <row r="53" spans="2:11" ht="15.6" x14ac:dyDescent="0.3">
      <c r="B53" s="66">
        <v>45280</v>
      </c>
      <c r="C53" s="67">
        <v>224.10900000000004</v>
      </c>
      <c r="D53" s="68">
        <v>-5.493562980727229E-3</v>
      </c>
      <c r="J53" s="73">
        <v>45285</v>
      </c>
      <c r="K53" s="67">
        <v>0.22500000000000409</v>
      </c>
    </row>
    <row r="54" spans="2:11" ht="15.6" x14ac:dyDescent="0.3">
      <c r="B54" s="66">
        <v>45281</v>
      </c>
      <c r="C54" s="67">
        <v>221.69100000000003</v>
      </c>
      <c r="D54" s="68">
        <v>-6.0244192783417416E-3</v>
      </c>
      <c r="J54" s="73">
        <v>45286</v>
      </c>
      <c r="K54" s="67">
        <v>0.9450000000000065</v>
      </c>
    </row>
    <row r="55" spans="2:11" ht="15.6" x14ac:dyDescent="0.3">
      <c r="B55" s="66">
        <v>45282</v>
      </c>
      <c r="C55" s="67">
        <v>221.69100000000003</v>
      </c>
      <c r="D55" s="68">
        <v>-5.4782478310269056E-3</v>
      </c>
      <c r="J55" s="73">
        <v>45287</v>
      </c>
      <c r="K55" s="67">
        <f>DATA!AB38</f>
        <v>2.0650000000000057</v>
      </c>
    </row>
    <row r="56" spans="2:11" ht="15.6" x14ac:dyDescent="0.3">
      <c r="B56" s="66">
        <v>45285</v>
      </c>
      <c r="C56" s="67">
        <v>220.48600000000002</v>
      </c>
      <c r="D56" s="68">
        <v>-5.474685044251193E-3</v>
      </c>
      <c r="J56" s="73">
        <v>45288</v>
      </c>
      <c r="K56" s="67">
        <f>DATA!AB39</f>
        <v>4.2950000000000061</v>
      </c>
    </row>
    <row r="57" spans="2:11" ht="15.6" x14ac:dyDescent="0.3">
      <c r="B57" s="66">
        <v>45286</v>
      </c>
      <c r="C57" s="67">
        <v>216.84100000000001</v>
      </c>
      <c r="D57" s="68">
        <v>-6.3296174519035242E-3</v>
      </c>
      <c r="J57" s="73">
        <v>45289</v>
      </c>
      <c r="K57" s="67">
        <f>DATA!AB40</f>
        <v>5.4050000000000038</v>
      </c>
    </row>
    <row r="58" spans="2:11" ht="15.6" x14ac:dyDescent="0.3">
      <c r="B58" s="66">
        <v>45287</v>
      </c>
      <c r="C58" s="67">
        <v>215.56100000000001</v>
      </c>
      <c r="D58" s="82">
        <v>-6.2991467587637517E-3</v>
      </c>
    </row>
    <row r="59" spans="2:11" ht="15.6" x14ac:dyDescent="0.3">
      <c r="B59" s="66">
        <v>45288</v>
      </c>
      <c r="C59" s="67">
        <v>217.791</v>
      </c>
      <c r="D59" s="68">
        <v>-5.1981112266344942E-3</v>
      </c>
    </row>
    <row r="60" spans="2:11" ht="15.6" x14ac:dyDescent="0.3">
      <c r="B60" s="66">
        <v>45289</v>
      </c>
      <c r="C60" s="67">
        <f>costs!B17</f>
        <v>218.90100000000001</v>
      </c>
      <c r="D60" s="68">
        <f>costs!C17</f>
        <v>-4.5577903948597065E-3</v>
      </c>
    </row>
  </sheetData>
  <mergeCells count="5">
    <mergeCell ref="B43:C43"/>
    <mergeCell ref="B44:C44"/>
    <mergeCell ref="A1:B3"/>
    <mergeCell ref="F33:G40"/>
    <mergeCell ref="B42:C42"/>
  </mergeCells>
  <conditionalFormatting sqref="I5:I14">
    <cfRule type="cellIs" dxfId="20" priority="19" operator="lessThan">
      <formula>0</formula>
    </cfRule>
    <cfRule type="cellIs" priority="20" operator="lessThan">
      <formula>0</formula>
    </cfRule>
    <cfRule type="cellIs" dxfId="19" priority="21" operator="greaterThan">
      <formula>0</formula>
    </cfRule>
  </conditionalFormatting>
  <conditionalFormatting sqref="K43:K57">
    <cfRule type="cellIs" dxfId="18" priority="6" operator="greaterThan">
      <formula>0</formula>
    </cfRule>
    <cfRule type="cellIs" dxfId="17" priority="7" operator="greaterThan">
      <formula>0</formula>
    </cfRule>
    <cfRule type="cellIs" dxfId="16" priority="8" operator="lessThan">
      <formula>0</formula>
    </cfRule>
  </conditionalFormatting>
  <conditionalFormatting sqref="J5:K15">
    <cfRule type="cellIs" dxfId="15" priority="1" operator="lessThan">
      <formula>0</formula>
    </cfRule>
    <cfRule type="cellIs" dxfId="14" priority="2" operator="greaterThan">
      <formula>0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1574FB2-75F7-40F5-B6DE-3F13C24B0C7C}">
          <x14:colorSeries rgb="FF00B05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DATA!B4:B19</xm:f>
              <xm:sqref>B5</xm:sqref>
            </x14:sparkline>
          </x14:sparklines>
        </x14:sparklineGroup>
        <x14:sparklineGroup displayEmptyCellsAs="gap" xr2:uid="{D1CF20CD-46A6-473A-9C4D-2C8A2A792EBA}">
          <x14:colorSeries rgb="FFFFC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DATA!D4:D19</xm:f>
              <xm:sqref>B6</xm:sqref>
            </x14:sparkline>
          </x14:sparklines>
        </x14:sparklineGroup>
        <x14:sparklineGroup displayEmptyCellsAs="gap" xr2:uid="{E84A9703-BCAA-4BD7-B908-864553A5AF56}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DATA!F4:F19</xm:f>
              <xm:sqref>B7</xm:sqref>
            </x14:sparkline>
          </x14:sparklines>
        </x14:sparklineGroup>
        <x14:sparklineGroup displayEmptyCellsAs="gap" xr2:uid="{7613803A-7228-4B2D-A037-77E49F0E18AC}">
          <x14:colorSeries rgb="FF00B05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DATA!E4:E19</xm:f>
              <xm:sqref>B8</xm:sqref>
            </x14:sparkline>
          </x14:sparklines>
        </x14:sparklineGroup>
        <x14:sparklineGroup displayEmptyCellsAs="gap" xr2:uid="{752DBE9D-215C-4D55-BE22-A5DBA1567C52}">
          <x14:colorSeries rgb="FFFFC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DATA!C4:C19</xm:f>
              <xm:sqref>B9</xm:sqref>
            </x14:sparkline>
          </x14:sparklines>
        </x14:sparklineGroup>
        <x14:sparklineGroup displayEmptyCellsAs="gap" xr2:uid="{4615B7F8-D313-4F65-8CED-E594F9C1F959}">
          <x14:colorSeries rgb="FFFFC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DATA!G4:G19</xm:f>
              <xm:sqref>B10</xm:sqref>
            </x14:sparkline>
          </x14:sparklines>
        </x14:sparklineGroup>
        <x14:sparklineGroup displayEmptyCellsAs="gap" xr2:uid="{1F540060-D173-47E1-B045-79EB117E398E}">
          <x14:colorSeries rgb="FF00B05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DATA!J4:J19</xm:f>
              <xm:sqref>B11</xm:sqref>
            </x14:sparkline>
          </x14:sparklines>
        </x14:sparklineGroup>
        <x14:sparklineGroup displayEmptyCellsAs="gap" xr2:uid="{748DC5B2-F818-4767-BF60-9FC2EB77FF35}">
          <x14:colorSeries theme="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DATA!H4:H19</xm:f>
              <xm:sqref>B12</xm:sqref>
            </x14:sparkline>
          </x14:sparklines>
        </x14:sparklineGroup>
        <x14:sparklineGroup displayEmptyCellsAs="gap" xr2:uid="{B1AD62C3-9FA8-43D9-BE95-03759B4857C2}">
          <x14:colorSeries rgb="FF00B05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DATA!I4:I19</xm:f>
              <xm:sqref>B13</xm:sqref>
            </x14:sparkline>
          </x14:sparklines>
        </x14:sparklineGroup>
        <x14:sparklineGroup displayEmptyCellsAs="gap" xr2:uid="{83936F27-EDB5-485B-870A-1AF5F6718FF1}">
          <x14:colorSeries rgb="FF00B05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DATA!M4:M19</xm:f>
              <xm:sqref>B14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4715-2F96-4378-8435-82FE07BB1ECF}">
  <dimension ref="A2:H23"/>
  <sheetViews>
    <sheetView topLeftCell="A6" workbookViewId="0">
      <selection activeCell="H21" sqref="H21"/>
    </sheetView>
  </sheetViews>
  <sheetFormatPr defaultRowHeight="14.4" x14ac:dyDescent="0.3"/>
  <cols>
    <col min="1" max="2" width="26.77734375" customWidth="1"/>
    <col min="3" max="3" width="15.21875" customWidth="1"/>
    <col min="4" max="4" width="14.109375" customWidth="1"/>
  </cols>
  <sheetData>
    <row r="2" spans="1:8" ht="18" x14ac:dyDescent="0.3">
      <c r="A2" s="5" t="s">
        <v>42</v>
      </c>
      <c r="B2" s="5" t="s">
        <v>41</v>
      </c>
      <c r="C2" s="5" t="s">
        <v>23</v>
      </c>
      <c r="D2" s="5" t="s">
        <v>10</v>
      </c>
      <c r="E2" s="5" t="s">
        <v>11</v>
      </c>
      <c r="F2" s="5" t="s">
        <v>12</v>
      </c>
    </row>
    <row r="3" spans="1:8" x14ac:dyDescent="0.3">
      <c r="A3" s="14" t="s">
        <v>0</v>
      </c>
      <c r="B3" s="15" t="s">
        <v>49</v>
      </c>
      <c r="C3" s="30">
        <v>45271</v>
      </c>
      <c r="D3" s="14">
        <v>1</v>
      </c>
      <c r="E3" s="14">
        <v>43.98</v>
      </c>
      <c r="F3" s="14">
        <f>E3*D3</f>
        <v>43.98</v>
      </c>
    </row>
    <row r="4" spans="1:8" x14ac:dyDescent="0.3">
      <c r="A4" s="14" t="s">
        <v>1</v>
      </c>
      <c r="B4" s="15" t="s">
        <v>49</v>
      </c>
      <c r="C4" s="30">
        <v>45271</v>
      </c>
      <c r="D4" s="14">
        <v>1</v>
      </c>
      <c r="E4" s="14">
        <v>15.6</v>
      </c>
      <c r="F4" s="14">
        <f t="shared" ref="F4:F21" si="0">E4*D4</f>
        <v>15.6</v>
      </c>
    </row>
    <row r="5" spans="1:8" x14ac:dyDescent="0.3">
      <c r="A5" s="14" t="s">
        <v>2</v>
      </c>
      <c r="B5" s="15" t="s">
        <v>49</v>
      </c>
      <c r="C5" s="30">
        <v>45271</v>
      </c>
      <c r="D5" s="14">
        <v>0</v>
      </c>
      <c r="E5" s="14">
        <v>4.9000000000000004</v>
      </c>
      <c r="F5" s="14">
        <f t="shared" si="0"/>
        <v>0</v>
      </c>
    </row>
    <row r="6" spans="1:8" x14ac:dyDescent="0.3">
      <c r="A6" s="14" t="s">
        <v>3</v>
      </c>
      <c r="B6" s="15" t="s">
        <v>49</v>
      </c>
      <c r="C6" s="30">
        <v>45271</v>
      </c>
      <c r="D6" s="14">
        <v>1</v>
      </c>
      <c r="E6" s="14">
        <v>8.18</v>
      </c>
      <c r="F6" s="14">
        <f t="shared" si="0"/>
        <v>8.18</v>
      </c>
    </row>
    <row r="7" spans="1:8" x14ac:dyDescent="0.3">
      <c r="A7" s="14" t="s">
        <v>4</v>
      </c>
      <c r="B7" s="15" t="s">
        <v>49</v>
      </c>
      <c r="C7" s="30">
        <v>45271</v>
      </c>
      <c r="D7" s="14">
        <v>1</v>
      </c>
      <c r="E7" s="14">
        <v>8.3000000000000007</v>
      </c>
      <c r="F7" s="14">
        <f t="shared" si="0"/>
        <v>8.3000000000000007</v>
      </c>
    </row>
    <row r="8" spans="1:8" x14ac:dyDescent="0.3">
      <c r="A8" s="31" t="s">
        <v>1</v>
      </c>
      <c r="B8" s="15" t="s">
        <v>49</v>
      </c>
      <c r="C8" s="30">
        <v>45273</v>
      </c>
      <c r="D8" s="32">
        <v>1</v>
      </c>
      <c r="E8" s="14">
        <v>15.1</v>
      </c>
      <c r="F8" s="14">
        <f t="shared" si="0"/>
        <v>15.1</v>
      </c>
    </row>
    <row r="9" spans="1:8" x14ac:dyDescent="0.3">
      <c r="A9" s="31" t="s">
        <v>5</v>
      </c>
      <c r="B9" s="15" t="s">
        <v>49</v>
      </c>
      <c r="C9" s="30">
        <v>45243</v>
      </c>
      <c r="D9" s="32">
        <v>1</v>
      </c>
      <c r="E9" s="14">
        <v>11.5</v>
      </c>
      <c r="F9" s="14">
        <f t="shared" si="0"/>
        <v>11.5</v>
      </c>
    </row>
    <row r="10" spans="1:8" x14ac:dyDescent="0.3">
      <c r="A10" s="14" t="s">
        <v>6</v>
      </c>
      <c r="B10" s="15" t="s">
        <v>49</v>
      </c>
      <c r="C10" s="30">
        <v>45275</v>
      </c>
      <c r="D10" s="14">
        <v>1</v>
      </c>
      <c r="E10" s="14">
        <v>12.29</v>
      </c>
      <c r="F10" s="14">
        <f t="shared" si="0"/>
        <v>12.29</v>
      </c>
    </row>
    <row r="11" spans="1:8" x14ac:dyDescent="0.3">
      <c r="A11" s="14" t="s">
        <v>7</v>
      </c>
      <c r="B11" s="15" t="s">
        <v>49</v>
      </c>
      <c r="C11" s="13">
        <v>45278</v>
      </c>
      <c r="D11" s="14">
        <v>2</v>
      </c>
      <c r="E11" s="14">
        <v>7.56</v>
      </c>
      <c r="F11" s="14">
        <f t="shared" si="0"/>
        <v>15.12</v>
      </c>
      <c r="H11" t="s">
        <v>48</v>
      </c>
    </row>
    <row r="12" spans="1:8" x14ac:dyDescent="0.3">
      <c r="A12" s="14" t="s">
        <v>2</v>
      </c>
      <c r="B12" s="15" t="s">
        <v>50</v>
      </c>
      <c r="C12" s="13">
        <v>45278</v>
      </c>
      <c r="D12" s="14">
        <v>0</v>
      </c>
      <c r="E12" s="14">
        <v>4.8600000000000003</v>
      </c>
      <c r="F12" s="14">
        <f t="shared" si="0"/>
        <v>0</v>
      </c>
    </row>
    <row r="13" spans="1:8" x14ac:dyDescent="0.3">
      <c r="A13" s="14" t="s">
        <v>8</v>
      </c>
      <c r="B13" s="15" t="s">
        <v>49</v>
      </c>
      <c r="C13" s="13">
        <v>45278</v>
      </c>
      <c r="D13" s="14">
        <v>1</v>
      </c>
      <c r="E13" s="14">
        <v>16.649999999999999</v>
      </c>
      <c r="F13" s="14">
        <f t="shared" si="0"/>
        <v>16.649999999999999</v>
      </c>
    </row>
    <row r="14" spans="1:8" x14ac:dyDescent="0.3">
      <c r="A14" s="14" t="s">
        <v>9</v>
      </c>
      <c r="B14" s="15" t="s">
        <v>49</v>
      </c>
      <c r="C14" s="13">
        <v>45278</v>
      </c>
      <c r="D14" s="14">
        <v>2</v>
      </c>
      <c r="E14" s="14">
        <v>7.12</v>
      </c>
      <c r="F14" s="14">
        <f t="shared" si="0"/>
        <v>14.24</v>
      </c>
    </row>
    <row r="15" spans="1:8" x14ac:dyDescent="0.3">
      <c r="A15" s="14" t="s">
        <v>1</v>
      </c>
      <c r="B15" s="15" t="s">
        <v>50</v>
      </c>
      <c r="C15" s="15">
        <v>45279</v>
      </c>
      <c r="D15" s="14">
        <v>1</v>
      </c>
      <c r="E15" s="14">
        <v>14.7</v>
      </c>
      <c r="F15" s="14">
        <f t="shared" si="0"/>
        <v>14.7</v>
      </c>
    </row>
    <row r="16" spans="1:8" x14ac:dyDescent="0.3">
      <c r="A16" s="14" t="s">
        <v>6</v>
      </c>
      <c r="B16" s="15" t="s">
        <v>49</v>
      </c>
      <c r="C16" s="13">
        <v>45281</v>
      </c>
      <c r="D16" s="14">
        <v>1</v>
      </c>
      <c r="E16" s="14">
        <v>12.1</v>
      </c>
      <c r="F16" s="14">
        <f t="shared" si="0"/>
        <v>12.1</v>
      </c>
    </row>
    <row r="17" spans="1:6" x14ac:dyDescent="0.3">
      <c r="A17" s="14" t="s">
        <v>3</v>
      </c>
      <c r="B17" s="15" t="s">
        <v>49</v>
      </c>
      <c r="C17" s="13">
        <v>45281</v>
      </c>
      <c r="D17" s="14">
        <v>1</v>
      </c>
      <c r="E17" s="14">
        <v>7.95</v>
      </c>
      <c r="F17" s="14">
        <f t="shared" si="0"/>
        <v>7.95</v>
      </c>
    </row>
    <row r="18" spans="1:6" x14ac:dyDescent="0.3">
      <c r="A18" s="14" t="s">
        <v>3</v>
      </c>
      <c r="B18" s="15" t="s">
        <v>50</v>
      </c>
      <c r="C18" s="13">
        <v>45285</v>
      </c>
      <c r="D18" s="14">
        <v>1</v>
      </c>
      <c r="E18" s="14">
        <v>6.7949999999999999</v>
      </c>
      <c r="F18" s="14">
        <f t="shared" si="0"/>
        <v>6.7949999999999999</v>
      </c>
    </row>
    <row r="19" spans="1:6" x14ac:dyDescent="0.3">
      <c r="A19" s="14" t="s">
        <v>47</v>
      </c>
      <c r="B19" s="15" t="s">
        <v>49</v>
      </c>
      <c r="C19" s="15">
        <v>45286</v>
      </c>
      <c r="D19" s="14">
        <v>0</v>
      </c>
      <c r="E19" s="14">
        <v>12</v>
      </c>
      <c r="F19" s="14">
        <f t="shared" si="0"/>
        <v>0</v>
      </c>
    </row>
    <row r="20" spans="1:6" x14ac:dyDescent="0.3">
      <c r="A20" s="14" t="s">
        <v>9</v>
      </c>
      <c r="B20" s="15" t="s">
        <v>49</v>
      </c>
      <c r="C20" s="15">
        <v>45286</v>
      </c>
      <c r="D20" s="14">
        <v>2</v>
      </c>
      <c r="E20" s="14">
        <v>6.8</v>
      </c>
      <c r="F20" s="14">
        <f t="shared" si="0"/>
        <v>13.6</v>
      </c>
    </row>
    <row r="21" spans="1:6" x14ac:dyDescent="0.3">
      <c r="A21" s="14" t="s">
        <v>9</v>
      </c>
      <c r="B21" s="34" t="s">
        <v>50</v>
      </c>
      <c r="C21" s="34">
        <v>45286</v>
      </c>
      <c r="D21" s="33">
        <v>2</v>
      </c>
      <c r="E21" s="33">
        <v>6.8</v>
      </c>
      <c r="F21" s="33">
        <f t="shared" si="0"/>
        <v>13.6</v>
      </c>
    </row>
    <row r="22" spans="1:6" x14ac:dyDescent="0.3">
      <c r="A22" s="14" t="s">
        <v>47</v>
      </c>
      <c r="B22" s="15" t="s">
        <v>50</v>
      </c>
      <c r="C22" s="34">
        <v>45287</v>
      </c>
      <c r="D22" s="14">
        <v>0</v>
      </c>
      <c r="E22" s="14">
        <v>12.08</v>
      </c>
      <c r="F22" s="14">
        <f t="shared" ref="F22:F23" si="1">E22*D22</f>
        <v>0</v>
      </c>
    </row>
    <row r="23" spans="1:6" x14ac:dyDescent="0.3">
      <c r="A23" s="33" t="s">
        <v>69</v>
      </c>
      <c r="B23" s="34" t="s">
        <v>49</v>
      </c>
      <c r="C23" s="34">
        <v>45287</v>
      </c>
      <c r="D23" s="33">
        <v>1</v>
      </c>
      <c r="E23" s="33">
        <v>7.45</v>
      </c>
      <c r="F23" s="33">
        <f t="shared" si="1"/>
        <v>7.45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59"/>
  <sheetViews>
    <sheetView topLeftCell="M19" zoomScale="94" zoomScaleNormal="55" workbookViewId="0">
      <selection activeCell="R38" sqref="R38"/>
    </sheetView>
  </sheetViews>
  <sheetFormatPr defaultRowHeight="14.4" x14ac:dyDescent="0.3"/>
  <cols>
    <col min="1" max="1" width="14.6640625" customWidth="1"/>
    <col min="2" max="2" width="13.5546875" customWidth="1"/>
    <col min="3" max="3" width="14" customWidth="1"/>
    <col min="4" max="4" width="7.77734375" customWidth="1"/>
    <col min="8" max="8" width="14.21875" customWidth="1"/>
    <col min="10" max="10" width="10.6640625" bestFit="1" customWidth="1"/>
    <col min="11" max="11" width="17.5546875" customWidth="1"/>
    <col min="12" max="12" width="13" customWidth="1"/>
    <col min="13" max="13" width="17.44140625" customWidth="1"/>
    <col min="14" max="14" width="19.33203125" customWidth="1"/>
    <col min="15" max="15" width="17.109375" customWidth="1"/>
    <col min="16" max="16" width="15.109375" customWidth="1"/>
    <col min="21" max="21" width="12.33203125" customWidth="1"/>
    <col min="22" max="22" width="12.44140625" customWidth="1"/>
    <col min="23" max="23" width="18.33203125" customWidth="1"/>
    <col min="24" max="24" width="13" customWidth="1"/>
    <col min="25" max="26" width="21.77734375" customWidth="1"/>
    <col min="27" max="27" width="23.44140625" customWidth="1"/>
    <col min="28" max="28" width="14.5546875" customWidth="1"/>
  </cols>
  <sheetData>
    <row r="2" spans="1:14" ht="18" x14ac:dyDescent="0.35">
      <c r="A2" s="98" t="s">
        <v>77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1:14" ht="15.6" x14ac:dyDescent="0.3">
      <c r="A3" s="18" t="s">
        <v>23</v>
      </c>
      <c r="B3" s="18" t="s">
        <v>13</v>
      </c>
      <c r="C3" s="18" t="s">
        <v>14</v>
      </c>
      <c r="D3" s="18" t="s">
        <v>15</v>
      </c>
      <c r="E3" s="18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8" t="s">
        <v>22</v>
      </c>
      <c r="L3" s="20" t="s">
        <v>45</v>
      </c>
      <c r="M3" s="20" t="s">
        <v>70</v>
      </c>
      <c r="N3" s="20" t="s">
        <v>57</v>
      </c>
    </row>
    <row r="4" spans="1:14" x14ac:dyDescent="0.3">
      <c r="A4" s="36">
        <v>45268</v>
      </c>
      <c r="B4" s="37">
        <v>43.7</v>
      </c>
      <c r="C4" s="37">
        <v>11.5</v>
      </c>
      <c r="D4" s="37">
        <v>15.46</v>
      </c>
      <c r="E4" s="37">
        <v>8.43</v>
      </c>
      <c r="F4" s="37">
        <v>8.1999999999999993</v>
      </c>
      <c r="G4" s="37">
        <v>12.18</v>
      </c>
      <c r="H4" s="37">
        <v>16.75</v>
      </c>
      <c r="I4" s="37">
        <v>6.35</v>
      </c>
      <c r="J4" s="37">
        <v>7.55</v>
      </c>
      <c r="K4" s="37">
        <v>4.8899999999999997</v>
      </c>
      <c r="L4" s="37">
        <v>12.19</v>
      </c>
      <c r="M4" s="37">
        <v>7.02</v>
      </c>
      <c r="N4" s="35">
        <v>8610.61</v>
      </c>
    </row>
    <row r="5" spans="1:14" x14ac:dyDescent="0.3">
      <c r="A5" s="6">
        <v>45271</v>
      </c>
      <c r="B5" s="35">
        <v>43.9</v>
      </c>
      <c r="C5" s="35">
        <v>11.5</v>
      </c>
      <c r="D5" s="35">
        <v>15.6</v>
      </c>
      <c r="E5" s="35">
        <v>8.3000000000000007</v>
      </c>
      <c r="F5" s="37">
        <v>8.18</v>
      </c>
      <c r="G5" s="35">
        <v>12.18</v>
      </c>
      <c r="H5" s="35">
        <v>16.75</v>
      </c>
      <c r="I5" s="35">
        <v>6.5</v>
      </c>
      <c r="J5" s="35">
        <v>7.54</v>
      </c>
      <c r="K5" s="35">
        <v>4.9000000000000004</v>
      </c>
      <c r="L5" s="35">
        <v>12.05</v>
      </c>
      <c r="M5" s="37">
        <v>7.02</v>
      </c>
      <c r="N5" s="35">
        <v>8603.86</v>
      </c>
    </row>
    <row r="6" spans="1:14" x14ac:dyDescent="0.3">
      <c r="A6" s="6">
        <v>45272</v>
      </c>
      <c r="B6" s="8">
        <v>44.49</v>
      </c>
      <c r="C6" s="8">
        <v>11.5</v>
      </c>
      <c r="D6" s="8">
        <v>15.34</v>
      </c>
      <c r="E6" s="8">
        <v>8.3699999999999992</v>
      </c>
      <c r="F6" s="37">
        <v>8.17</v>
      </c>
      <c r="G6" s="8">
        <v>12.36</v>
      </c>
      <c r="H6" s="8">
        <v>16.75</v>
      </c>
      <c r="I6" s="8">
        <v>6.5</v>
      </c>
      <c r="J6" s="8">
        <v>7.54</v>
      </c>
      <c r="K6" s="8">
        <v>4.8499999999999996</v>
      </c>
      <c r="L6" s="8">
        <v>12.19</v>
      </c>
      <c r="M6" s="37">
        <v>7.19</v>
      </c>
      <c r="N6" s="8">
        <v>8620.0300000000007</v>
      </c>
    </row>
    <row r="7" spans="1:14" x14ac:dyDescent="0.3">
      <c r="A7" s="6">
        <v>45273</v>
      </c>
      <c r="B7" s="8">
        <v>44.45</v>
      </c>
      <c r="C7" s="8">
        <v>11.5</v>
      </c>
      <c r="D7" s="8">
        <v>15.2</v>
      </c>
      <c r="E7" s="8">
        <v>8.35</v>
      </c>
      <c r="F7" s="37">
        <v>8.15</v>
      </c>
      <c r="G7" s="8">
        <v>12.36</v>
      </c>
      <c r="H7" s="8">
        <v>16.75</v>
      </c>
      <c r="I7" s="8">
        <v>6.78</v>
      </c>
      <c r="J7" s="8">
        <v>7.53</v>
      </c>
      <c r="K7" s="8">
        <v>4.84</v>
      </c>
      <c r="L7" s="8">
        <v>12.1</v>
      </c>
      <c r="M7" s="37">
        <v>7.17</v>
      </c>
      <c r="N7" s="8">
        <v>8619.15</v>
      </c>
    </row>
    <row r="8" spans="1:14" x14ac:dyDescent="0.3">
      <c r="A8" s="6">
        <v>45274</v>
      </c>
      <c r="B8" s="8">
        <v>44.8</v>
      </c>
      <c r="C8" s="8">
        <v>11.5</v>
      </c>
      <c r="D8" s="8">
        <v>15.2</v>
      </c>
      <c r="E8" s="8">
        <v>8.36</v>
      </c>
      <c r="F8" s="37">
        <v>8.0500000000000007</v>
      </c>
      <c r="G8" s="8">
        <v>12.5</v>
      </c>
      <c r="H8" s="8">
        <v>16.739999999999998</v>
      </c>
      <c r="I8" s="8">
        <v>6.81</v>
      </c>
      <c r="J8" s="8">
        <v>7.64</v>
      </c>
      <c r="K8" s="8">
        <v>4.8499999999999996</v>
      </c>
      <c r="L8" s="8">
        <v>12.1</v>
      </c>
      <c r="M8" s="37">
        <v>7.2</v>
      </c>
      <c r="N8" s="8">
        <v>8649.1200000000008</v>
      </c>
    </row>
    <row r="9" spans="1:14" x14ac:dyDescent="0.3">
      <c r="A9" s="6">
        <v>45275</v>
      </c>
      <c r="B9" s="8">
        <v>44.99</v>
      </c>
      <c r="C9" s="8">
        <v>11.5</v>
      </c>
      <c r="D9" s="8">
        <v>15.2</v>
      </c>
      <c r="E9" s="8">
        <v>8.4700000000000006</v>
      </c>
      <c r="F9" s="37">
        <v>8</v>
      </c>
      <c r="G9" s="8">
        <v>12.37</v>
      </c>
      <c r="H9" s="8">
        <v>16.649999999999999</v>
      </c>
      <c r="I9" s="8">
        <v>6.93</v>
      </c>
      <c r="J9" s="8">
        <v>7.68</v>
      </c>
      <c r="K9" s="8">
        <v>4.8600000000000003</v>
      </c>
      <c r="L9" s="8">
        <v>12.05</v>
      </c>
      <c r="M9" s="37">
        <v>7.12</v>
      </c>
      <c r="N9" s="8">
        <v>8646.34</v>
      </c>
    </row>
    <row r="10" spans="1:14" x14ac:dyDescent="0.3">
      <c r="A10" s="6">
        <v>45278</v>
      </c>
      <c r="B10" s="8">
        <v>45</v>
      </c>
      <c r="C10" s="8">
        <v>11.5</v>
      </c>
      <c r="D10" s="8">
        <v>15.19</v>
      </c>
      <c r="E10" s="8">
        <v>8.48</v>
      </c>
      <c r="F10" s="37">
        <v>8</v>
      </c>
      <c r="G10" s="8">
        <v>12.1</v>
      </c>
      <c r="H10" s="8">
        <v>16.649999999999999</v>
      </c>
      <c r="I10" s="8">
        <v>7</v>
      </c>
      <c r="J10" s="8">
        <v>7.66</v>
      </c>
      <c r="K10" s="8">
        <v>4.8600000000000003</v>
      </c>
      <c r="L10" s="8">
        <v>12.19</v>
      </c>
      <c r="M10" s="37">
        <v>7.22</v>
      </c>
      <c r="N10" s="8">
        <v>8620.18</v>
      </c>
    </row>
    <row r="11" spans="1:14" x14ac:dyDescent="0.3">
      <c r="A11" s="6">
        <v>45279</v>
      </c>
      <c r="B11" s="8">
        <v>44.7</v>
      </c>
      <c r="C11" s="8">
        <v>11.45</v>
      </c>
      <c r="D11" s="8">
        <v>15.09</v>
      </c>
      <c r="E11" s="8">
        <v>8.5</v>
      </c>
      <c r="F11" s="37">
        <v>7.97</v>
      </c>
      <c r="G11" s="8">
        <v>12.2</v>
      </c>
      <c r="H11" s="8">
        <v>16.399999999999999</v>
      </c>
      <c r="I11" s="8">
        <v>7</v>
      </c>
      <c r="J11" s="8">
        <v>7.64</v>
      </c>
      <c r="K11" s="8">
        <v>4.8600000000000003</v>
      </c>
      <c r="L11" s="8">
        <v>12.07</v>
      </c>
      <c r="M11" s="37">
        <v>7.2</v>
      </c>
      <c r="N11" s="8">
        <v>8620.14</v>
      </c>
    </row>
    <row r="12" spans="1:14" x14ac:dyDescent="0.3">
      <c r="A12" s="6">
        <v>45280</v>
      </c>
      <c r="B12" s="8">
        <v>44.5</v>
      </c>
      <c r="C12" s="8">
        <v>11.5</v>
      </c>
      <c r="D12" s="8">
        <v>15</v>
      </c>
      <c r="E12" s="8">
        <v>8.5500000000000007</v>
      </c>
      <c r="F12" s="37">
        <v>7.97</v>
      </c>
      <c r="G12" s="8">
        <v>12.38</v>
      </c>
      <c r="H12" s="8">
        <v>16.45</v>
      </c>
      <c r="I12" s="8">
        <v>6.94</v>
      </c>
      <c r="J12" s="8">
        <v>7.64</v>
      </c>
      <c r="K12" s="8">
        <v>4.8600000000000003</v>
      </c>
      <c r="L12" s="8">
        <v>12.07</v>
      </c>
      <c r="M12" s="37">
        <v>7.2</v>
      </c>
      <c r="N12" s="8">
        <v>8619.85</v>
      </c>
    </row>
    <row r="13" spans="1:14" x14ac:dyDescent="0.3">
      <c r="A13" s="6">
        <v>45281</v>
      </c>
      <c r="B13" s="8">
        <v>44.3</v>
      </c>
      <c r="C13" s="8">
        <v>11.45</v>
      </c>
      <c r="D13" s="8">
        <v>15</v>
      </c>
      <c r="E13" s="8">
        <v>8.41</v>
      </c>
      <c r="F13" s="37">
        <v>7.95</v>
      </c>
      <c r="G13" s="8">
        <v>12.1</v>
      </c>
      <c r="H13" s="8">
        <v>16.36</v>
      </c>
      <c r="I13" s="8">
        <v>7.09</v>
      </c>
      <c r="J13" s="8">
        <v>7.53</v>
      </c>
      <c r="K13" s="8">
        <v>4.8600000000000003</v>
      </c>
      <c r="L13" s="8">
        <v>12.07</v>
      </c>
      <c r="M13" s="37">
        <v>7.23</v>
      </c>
      <c r="N13" s="8">
        <v>8592.41</v>
      </c>
    </row>
    <row r="14" spans="1:14" x14ac:dyDescent="0.3">
      <c r="A14" s="6">
        <v>45282</v>
      </c>
      <c r="B14" s="8">
        <v>44.96</v>
      </c>
      <c r="C14" s="8">
        <v>11.3</v>
      </c>
      <c r="D14" s="8">
        <v>15.58</v>
      </c>
      <c r="E14" s="8">
        <v>8.52</v>
      </c>
      <c r="F14" s="37">
        <v>7.95</v>
      </c>
      <c r="G14" s="8">
        <v>12.1</v>
      </c>
      <c r="H14" s="8">
        <v>16.600000000000001</v>
      </c>
      <c r="I14" s="8">
        <v>7.1</v>
      </c>
      <c r="J14" s="8">
        <v>7.62</v>
      </c>
      <c r="K14" s="8">
        <v>4.8899999999999997</v>
      </c>
      <c r="L14" s="8">
        <v>12.09</v>
      </c>
      <c r="M14" s="37">
        <v>7.33</v>
      </c>
      <c r="N14" s="8">
        <v>8609.1299999999992</v>
      </c>
    </row>
    <row r="15" spans="1:14" x14ac:dyDescent="0.3">
      <c r="A15" s="6">
        <v>45285</v>
      </c>
      <c r="B15" s="8">
        <v>44.94</v>
      </c>
      <c r="C15" s="8">
        <v>11.33</v>
      </c>
      <c r="D15" s="8">
        <v>15.5</v>
      </c>
      <c r="E15" s="8">
        <v>8.5</v>
      </c>
      <c r="F15" s="37">
        <v>7.95</v>
      </c>
      <c r="G15" s="8">
        <v>12</v>
      </c>
      <c r="H15" s="8">
        <v>16.600000000000001</v>
      </c>
      <c r="I15" s="8">
        <v>6.85</v>
      </c>
      <c r="J15" s="8">
        <v>7.65</v>
      </c>
      <c r="K15" s="8">
        <v>4.8600000000000003</v>
      </c>
      <c r="L15" s="8">
        <v>12.08</v>
      </c>
      <c r="M15" s="37">
        <v>7.4</v>
      </c>
      <c r="N15" s="8">
        <v>8600.3799999999992</v>
      </c>
    </row>
    <row r="16" spans="1:14" x14ac:dyDescent="0.3">
      <c r="A16" s="6">
        <v>45286</v>
      </c>
      <c r="B16" s="8">
        <v>45</v>
      </c>
      <c r="C16" s="8">
        <v>11.4</v>
      </c>
      <c r="D16" s="8">
        <v>15.37</v>
      </c>
      <c r="E16" s="8">
        <v>8.5</v>
      </c>
      <c r="F16" s="37">
        <v>7.95</v>
      </c>
      <c r="G16" s="8">
        <v>12</v>
      </c>
      <c r="H16" s="8">
        <v>16.600000000000001</v>
      </c>
      <c r="I16" s="8">
        <v>7.05</v>
      </c>
      <c r="J16" s="8">
        <v>7.65</v>
      </c>
      <c r="K16" s="8">
        <v>4.8600000000000003</v>
      </c>
      <c r="L16" s="8">
        <v>11.9</v>
      </c>
      <c r="M16" s="37">
        <v>7.48</v>
      </c>
      <c r="N16" s="8">
        <v>8609.33</v>
      </c>
    </row>
    <row r="17" spans="1:28" x14ac:dyDescent="0.3">
      <c r="A17" s="6">
        <v>45287</v>
      </c>
      <c r="B17" s="8">
        <v>45.88</v>
      </c>
      <c r="C17" s="8">
        <v>11.45</v>
      </c>
      <c r="D17" s="8">
        <v>15.25</v>
      </c>
      <c r="E17" s="8">
        <v>8.56</v>
      </c>
      <c r="F17" s="8">
        <v>8.0299999999999994</v>
      </c>
      <c r="G17" s="8">
        <v>12.05</v>
      </c>
      <c r="H17" s="8">
        <v>16.579999999999998</v>
      </c>
      <c r="I17" s="8">
        <v>7.1</v>
      </c>
      <c r="J17" s="8">
        <v>7.63</v>
      </c>
      <c r="K17" s="8">
        <v>5</v>
      </c>
      <c r="L17" s="8">
        <v>12.08</v>
      </c>
      <c r="M17" s="37">
        <v>7.48</v>
      </c>
      <c r="N17" s="8">
        <v>8651</v>
      </c>
    </row>
    <row r="18" spans="1:28" x14ac:dyDescent="0.3">
      <c r="A18" s="6">
        <v>45288</v>
      </c>
      <c r="B18" s="8">
        <v>46</v>
      </c>
      <c r="C18" s="8">
        <v>11.65</v>
      </c>
      <c r="D18" s="8">
        <v>15.68</v>
      </c>
      <c r="E18" s="8">
        <v>8.82</v>
      </c>
      <c r="F18" s="8">
        <v>8</v>
      </c>
      <c r="G18" s="8">
        <v>12.35</v>
      </c>
      <c r="H18" s="8">
        <v>16.55</v>
      </c>
      <c r="I18" s="8">
        <v>7.45</v>
      </c>
      <c r="J18" s="8">
        <v>7.61</v>
      </c>
      <c r="K18" s="8">
        <v>5</v>
      </c>
      <c r="L18" s="8">
        <v>12.18</v>
      </c>
      <c r="M18" s="37">
        <v>7.5</v>
      </c>
      <c r="N18" s="8"/>
    </row>
    <row r="19" spans="1:28" x14ac:dyDescent="0.3">
      <c r="A19" s="6">
        <v>45289</v>
      </c>
      <c r="B19" s="8">
        <v>45.6</v>
      </c>
      <c r="C19" s="8">
        <v>11.7</v>
      </c>
      <c r="D19" s="8">
        <v>15.98</v>
      </c>
      <c r="E19" s="8">
        <v>8.9499999999999993</v>
      </c>
      <c r="F19" s="8">
        <v>8</v>
      </c>
      <c r="G19" s="8">
        <v>12.49</v>
      </c>
      <c r="H19" s="8">
        <v>16.54</v>
      </c>
      <c r="I19" s="8">
        <v>7.89</v>
      </c>
      <c r="J19" s="8">
        <v>7.55</v>
      </c>
      <c r="K19" s="8">
        <v>5</v>
      </c>
      <c r="L19" s="8"/>
      <c r="M19" s="37">
        <v>7.5</v>
      </c>
      <c r="N19" s="8"/>
    </row>
    <row r="20" spans="1:28" x14ac:dyDescent="0.3">
      <c r="B20" s="1"/>
    </row>
    <row r="21" spans="1:28" x14ac:dyDescent="0.3">
      <c r="B21" s="1"/>
    </row>
    <row r="22" spans="1:28" x14ac:dyDescent="0.3">
      <c r="B22" s="1"/>
      <c r="N22" s="2"/>
    </row>
    <row r="23" spans="1:28" ht="18" x14ac:dyDescent="0.35">
      <c r="A23" s="97" t="s">
        <v>44</v>
      </c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O23" s="97" t="s">
        <v>25</v>
      </c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</row>
    <row r="24" spans="1:28" ht="15.6" x14ac:dyDescent="0.3">
      <c r="A24" s="16" t="s">
        <v>43</v>
      </c>
      <c r="B24" s="16">
        <v>1</v>
      </c>
      <c r="C24" s="16">
        <v>1</v>
      </c>
      <c r="D24" s="16">
        <v>1</v>
      </c>
      <c r="E24" s="16">
        <v>1</v>
      </c>
      <c r="F24" s="16">
        <v>1</v>
      </c>
      <c r="G24" s="16">
        <v>2</v>
      </c>
      <c r="H24" s="16">
        <v>2</v>
      </c>
      <c r="I24" s="16">
        <v>2</v>
      </c>
      <c r="J24" s="16">
        <v>2</v>
      </c>
      <c r="K24" s="16">
        <v>1</v>
      </c>
      <c r="L24" s="16">
        <v>1</v>
      </c>
      <c r="M24" s="77">
        <v>1</v>
      </c>
      <c r="O24" s="16" t="s">
        <v>43</v>
      </c>
      <c r="P24" s="16">
        <v>1</v>
      </c>
      <c r="Q24" s="16">
        <v>1</v>
      </c>
      <c r="R24" s="16">
        <v>1</v>
      </c>
      <c r="S24" s="16">
        <v>1</v>
      </c>
      <c r="T24" s="16">
        <v>1</v>
      </c>
      <c r="U24" s="16">
        <v>2</v>
      </c>
      <c r="V24" s="16">
        <v>2</v>
      </c>
      <c r="W24" s="16">
        <v>2</v>
      </c>
      <c r="X24" s="16">
        <v>2</v>
      </c>
      <c r="Y24" s="16">
        <v>0</v>
      </c>
      <c r="Z24" s="16">
        <v>0</v>
      </c>
      <c r="AA24" s="16">
        <v>1</v>
      </c>
    </row>
    <row r="25" spans="1:28" ht="15.6" x14ac:dyDescent="0.3">
      <c r="A25" s="17" t="s">
        <v>23</v>
      </c>
      <c r="B25" s="17" t="s">
        <v>13</v>
      </c>
      <c r="C25" s="17" t="s">
        <v>14</v>
      </c>
      <c r="D25" s="17" t="s">
        <v>15</v>
      </c>
      <c r="E25" s="17" t="s">
        <v>16</v>
      </c>
      <c r="F25" s="17" t="s">
        <v>17</v>
      </c>
      <c r="G25" s="17" t="s">
        <v>18</v>
      </c>
      <c r="H25" s="17" t="s">
        <v>19</v>
      </c>
      <c r="I25" s="17" t="s">
        <v>20</v>
      </c>
      <c r="J25" s="17" t="s">
        <v>21</v>
      </c>
      <c r="K25" s="17" t="s">
        <v>22</v>
      </c>
      <c r="L25" s="24" t="s">
        <v>45</v>
      </c>
      <c r="M25" s="24" t="s">
        <v>70</v>
      </c>
      <c r="O25" s="22" t="s">
        <v>23</v>
      </c>
      <c r="P25" s="7" t="s">
        <v>13</v>
      </c>
      <c r="Q25" s="7" t="s">
        <v>14</v>
      </c>
      <c r="R25" s="7" t="s">
        <v>15</v>
      </c>
      <c r="S25" s="7" t="s">
        <v>16</v>
      </c>
      <c r="T25" s="7" t="s">
        <v>17</v>
      </c>
      <c r="U25" s="7" t="s">
        <v>18</v>
      </c>
      <c r="V25" s="7" t="s">
        <v>19</v>
      </c>
      <c r="W25" s="7" t="s">
        <v>20</v>
      </c>
      <c r="X25" s="7" t="s">
        <v>21</v>
      </c>
      <c r="Y25" s="7" t="s">
        <v>22</v>
      </c>
      <c r="Z25" s="24" t="s">
        <v>45</v>
      </c>
      <c r="AA25" s="24" t="s">
        <v>70</v>
      </c>
      <c r="AB25" s="19" t="s">
        <v>62</v>
      </c>
    </row>
    <row r="26" spans="1:28" ht="15.6" x14ac:dyDescent="0.3">
      <c r="A26" s="10">
        <v>45271</v>
      </c>
      <c r="B26" s="11">
        <v>43.98</v>
      </c>
      <c r="C26" s="11">
        <v>0</v>
      </c>
      <c r="D26" s="11">
        <v>15.6</v>
      </c>
      <c r="E26" s="11">
        <v>8.3000000000000007</v>
      </c>
      <c r="F26" s="11">
        <v>8.18</v>
      </c>
      <c r="G26" s="11">
        <v>0</v>
      </c>
      <c r="H26" s="11">
        <v>0</v>
      </c>
      <c r="I26" s="11">
        <v>0</v>
      </c>
      <c r="J26" s="11">
        <v>0</v>
      </c>
      <c r="K26" s="11">
        <v>4.9000000000000004</v>
      </c>
      <c r="L26" s="11">
        <v>0</v>
      </c>
      <c r="M26" s="11">
        <v>0</v>
      </c>
      <c r="O26" s="78">
        <v>45271</v>
      </c>
      <c r="P26" s="25">
        <f>B5-B26</f>
        <v>-7.9999999999998295E-2</v>
      </c>
      <c r="Q26" s="25" t="str">
        <f>""</f>
        <v/>
      </c>
      <c r="R26" s="25">
        <f t="shared" ref="R26:Y26" si="0">D5-D26</f>
        <v>0</v>
      </c>
      <c r="S26" s="25">
        <f t="shared" si="0"/>
        <v>0</v>
      </c>
      <c r="T26" s="25">
        <f t="shared" si="0"/>
        <v>0</v>
      </c>
      <c r="U26" s="25" t="str">
        <f>""</f>
        <v/>
      </c>
      <c r="V26" s="25" t="str">
        <f>""</f>
        <v/>
      </c>
      <c r="W26" s="25" t="str">
        <f>""</f>
        <v/>
      </c>
      <c r="X26" s="25" t="str">
        <f>""</f>
        <v/>
      </c>
      <c r="Y26" s="25">
        <f t="shared" si="0"/>
        <v>0</v>
      </c>
      <c r="Z26" s="25"/>
      <c r="AA26" s="25"/>
      <c r="AB26" s="27">
        <f>SUM(P26:Z26)</f>
        <v>-7.9999999999998295E-2</v>
      </c>
    </row>
    <row r="27" spans="1:28" ht="15.6" x14ac:dyDescent="0.3">
      <c r="A27" s="12">
        <v>45272</v>
      </c>
      <c r="B27" s="11">
        <v>43.98</v>
      </c>
      <c r="C27" s="11">
        <v>0</v>
      </c>
      <c r="D27" s="11">
        <v>15.6</v>
      </c>
      <c r="E27" s="11">
        <v>8.3000000000000007</v>
      </c>
      <c r="F27" s="11">
        <v>8.18</v>
      </c>
      <c r="G27" s="11">
        <v>0</v>
      </c>
      <c r="H27" s="11">
        <v>0</v>
      </c>
      <c r="I27" s="11">
        <v>0</v>
      </c>
      <c r="J27" s="11">
        <v>0</v>
      </c>
      <c r="K27" s="11">
        <v>4.9000000000000004</v>
      </c>
      <c r="L27" s="11">
        <v>0</v>
      </c>
      <c r="M27" s="11">
        <v>0</v>
      </c>
      <c r="O27" s="78">
        <v>45272</v>
      </c>
      <c r="P27" s="25">
        <f t="shared" ref="P27:P40" si="1">B6-B27</f>
        <v>0.51000000000000512</v>
      </c>
      <c r="Q27" s="25" t="str">
        <f>""</f>
        <v/>
      </c>
      <c r="R27" s="26">
        <f>D6-D27</f>
        <v>-0.25999999999999979</v>
      </c>
      <c r="S27" s="26">
        <f>E6-E27</f>
        <v>6.9999999999998508E-2</v>
      </c>
      <c r="T27" s="26">
        <f>F6-F27</f>
        <v>-9.9999999999997868E-3</v>
      </c>
      <c r="U27" s="25" t="str">
        <f>""</f>
        <v/>
      </c>
      <c r="V27" s="25" t="str">
        <f>""</f>
        <v/>
      </c>
      <c r="W27" s="25" t="str">
        <f>""</f>
        <v/>
      </c>
      <c r="X27" s="25" t="str">
        <f>""</f>
        <v/>
      </c>
      <c r="Y27" s="26">
        <f>K6-K27</f>
        <v>-5.0000000000000711E-2</v>
      </c>
      <c r="Z27" s="26" t="str">
        <f>""</f>
        <v/>
      </c>
      <c r="AA27" s="26" t="str">
        <f>""</f>
        <v/>
      </c>
      <c r="AB27" s="27">
        <f t="shared" ref="AB27:AB36" si="2">SUM(P27:Z27)</f>
        <v>0.26000000000000334</v>
      </c>
    </row>
    <row r="28" spans="1:28" ht="15.6" x14ac:dyDescent="0.3">
      <c r="A28" s="10">
        <v>45273</v>
      </c>
      <c r="B28" s="11">
        <v>43.98</v>
      </c>
      <c r="C28" s="11">
        <v>11.5</v>
      </c>
      <c r="D28" s="11">
        <f>15.6+15.1</f>
        <v>30.7</v>
      </c>
      <c r="E28" s="11">
        <v>8.3000000000000007</v>
      </c>
      <c r="F28" s="11">
        <v>8.18</v>
      </c>
      <c r="G28" s="11">
        <v>0</v>
      </c>
      <c r="H28" s="11">
        <v>0</v>
      </c>
      <c r="I28" s="11">
        <v>0</v>
      </c>
      <c r="J28" s="11">
        <v>0</v>
      </c>
      <c r="K28" s="11">
        <v>4.9000000000000004</v>
      </c>
      <c r="L28" s="11">
        <v>0</v>
      </c>
      <c r="M28" s="11">
        <v>0</v>
      </c>
      <c r="O28" s="78">
        <v>45273</v>
      </c>
      <c r="P28" s="25">
        <f t="shared" si="1"/>
        <v>0.47000000000000597</v>
      </c>
      <c r="Q28" s="25" t="str">
        <f>""</f>
        <v/>
      </c>
      <c r="R28" s="26">
        <f>(2*D7)-(D28)</f>
        <v>-0.30000000000000071</v>
      </c>
      <c r="S28" s="26">
        <f t="shared" ref="S28:T33" si="3">E7-E28</f>
        <v>4.9999999999998934E-2</v>
      </c>
      <c r="T28" s="26">
        <f t="shared" si="3"/>
        <v>-2.9999999999999361E-2</v>
      </c>
      <c r="U28" s="25" t="str">
        <f>""</f>
        <v/>
      </c>
      <c r="V28" s="25" t="str">
        <f>""</f>
        <v/>
      </c>
      <c r="W28" s="25" t="str">
        <f>""</f>
        <v/>
      </c>
      <c r="X28" s="25" t="str">
        <f>""</f>
        <v/>
      </c>
      <c r="Y28" s="26">
        <f>K7-K28</f>
        <v>-6.0000000000000497E-2</v>
      </c>
      <c r="Z28" s="26" t="str">
        <f>""</f>
        <v/>
      </c>
      <c r="AA28" s="26" t="str">
        <f>""</f>
        <v/>
      </c>
      <c r="AB28" s="27">
        <f t="shared" si="2"/>
        <v>0.13000000000000433</v>
      </c>
    </row>
    <row r="29" spans="1:28" ht="15.6" x14ac:dyDescent="0.3">
      <c r="A29" s="12">
        <v>45274</v>
      </c>
      <c r="B29" s="11">
        <v>43.98</v>
      </c>
      <c r="C29" s="11">
        <v>11.5</v>
      </c>
      <c r="D29" s="11">
        <v>30.7</v>
      </c>
      <c r="E29" s="11">
        <v>8.3000000000000007</v>
      </c>
      <c r="F29" s="11">
        <v>8.18</v>
      </c>
      <c r="G29" s="11">
        <v>0</v>
      </c>
      <c r="H29" s="11">
        <v>0</v>
      </c>
      <c r="I29" s="11">
        <v>0</v>
      </c>
      <c r="J29" s="11">
        <v>0</v>
      </c>
      <c r="K29" s="11">
        <v>4.9000000000000004</v>
      </c>
      <c r="L29" s="11">
        <v>0</v>
      </c>
      <c r="M29" s="11">
        <v>0</v>
      </c>
      <c r="O29" s="78">
        <v>45274</v>
      </c>
      <c r="P29" s="25">
        <f t="shared" si="1"/>
        <v>0.82000000000000028</v>
      </c>
      <c r="Q29" s="25" t="str">
        <f>""</f>
        <v/>
      </c>
      <c r="R29" s="26">
        <f t="shared" ref="R29:R31" si="4">(2*D8)-(D29)</f>
        <v>-0.30000000000000071</v>
      </c>
      <c r="S29" s="26">
        <f t="shared" si="3"/>
        <v>5.9999999999998721E-2</v>
      </c>
      <c r="T29" s="26">
        <f t="shared" si="3"/>
        <v>-0.12999999999999901</v>
      </c>
      <c r="U29" s="25" t="str">
        <f>""</f>
        <v/>
      </c>
      <c r="V29" s="25" t="str">
        <f>""</f>
        <v/>
      </c>
      <c r="W29" s="25" t="str">
        <f>""</f>
        <v/>
      </c>
      <c r="X29" s="25" t="str">
        <f>""</f>
        <v/>
      </c>
      <c r="Y29" s="26">
        <f>K8-K29</f>
        <v>-5.0000000000000711E-2</v>
      </c>
      <c r="Z29" s="26" t="str">
        <f>""</f>
        <v/>
      </c>
      <c r="AA29" s="26" t="str">
        <f>""</f>
        <v/>
      </c>
      <c r="AB29" s="27">
        <f t="shared" si="2"/>
        <v>0.39999999999999858</v>
      </c>
    </row>
    <row r="30" spans="1:28" ht="15.6" x14ac:dyDescent="0.3">
      <c r="A30" s="10">
        <v>45275</v>
      </c>
      <c r="B30" s="11">
        <v>43.98</v>
      </c>
      <c r="C30" s="11">
        <v>11.5</v>
      </c>
      <c r="D30" s="11">
        <v>30.7</v>
      </c>
      <c r="E30" s="11">
        <v>8.3000000000000007</v>
      </c>
      <c r="F30" s="11">
        <v>8.18</v>
      </c>
      <c r="G30" s="11">
        <v>12.29</v>
      </c>
      <c r="H30" s="11">
        <v>0</v>
      </c>
      <c r="I30" s="11">
        <v>0</v>
      </c>
      <c r="J30" s="11">
        <v>0</v>
      </c>
      <c r="K30" s="11">
        <v>4.9000000000000004</v>
      </c>
      <c r="L30" s="11">
        <v>0</v>
      </c>
      <c r="M30" s="11">
        <v>0</v>
      </c>
      <c r="O30" s="78">
        <v>45275</v>
      </c>
      <c r="P30" s="25">
        <f t="shared" si="1"/>
        <v>1.0100000000000051</v>
      </c>
      <c r="Q30" s="25" t="str">
        <f>""</f>
        <v/>
      </c>
      <c r="R30" s="26">
        <f t="shared" si="4"/>
        <v>-0.30000000000000071</v>
      </c>
      <c r="S30" s="26">
        <f t="shared" si="3"/>
        <v>0.16999999999999993</v>
      </c>
      <c r="T30" s="26">
        <f t="shared" si="3"/>
        <v>-0.17999999999999972</v>
      </c>
      <c r="U30" s="26">
        <f>G9-G30</f>
        <v>8.0000000000000071E-2</v>
      </c>
      <c r="V30" s="25" t="str">
        <f>""</f>
        <v/>
      </c>
      <c r="W30" s="25" t="str">
        <f>""</f>
        <v/>
      </c>
      <c r="X30" s="25" t="str">
        <f>""</f>
        <v/>
      </c>
      <c r="Y30" s="26">
        <f>K9-K30</f>
        <v>-4.0000000000000036E-2</v>
      </c>
      <c r="Z30" s="26" t="str">
        <f>""</f>
        <v/>
      </c>
      <c r="AA30" s="26" t="str">
        <f>""</f>
        <v/>
      </c>
      <c r="AB30" s="27">
        <f t="shared" si="2"/>
        <v>0.74000000000000465</v>
      </c>
    </row>
    <row r="31" spans="1:28" ht="15.6" x14ac:dyDescent="0.3">
      <c r="A31" s="12">
        <v>45278</v>
      </c>
      <c r="B31" s="11">
        <v>43.98</v>
      </c>
      <c r="C31" s="11">
        <v>11.5</v>
      </c>
      <c r="D31" s="11">
        <v>30.7</v>
      </c>
      <c r="E31" s="11">
        <v>8.3000000000000007</v>
      </c>
      <c r="F31" s="11">
        <v>8.18</v>
      </c>
      <c r="G31" s="11">
        <v>12.29</v>
      </c>
      <c r="H31" s="11">
        <v>16.649999999999999</v>
      </c>
      <c r="I31" s="11">
        <v>14.24</v>
      </c>
      <c r="J31" s="11">
        <v>15.12</v>
      </c>
      <c r="K31" s="11">
        <v>0</v>
      </c>
      <c r="L31" s="11">
        <v>0</v>
      </c>
      <c r="M31" s="11">
        <v>0</v>
      </c>
      <c r="O31" s="78">
        <v>45278</v>
      </c>
      <c r="P31" s="25">
        <f t="shared" si="1"/>
        <v>1.0200000000000031</v>
      </c>
      <c r="Q31" s="25" t="str">
        <f>""</f>
        <v/>
      </c>
      <c r="R31" s="26">
        <f t="shared" si="4"/>
        <v>-0.32000000000000028</v>
      </c>
      <c r="S31" s="26">
        <f t="shared" si="3"/>
        <v>0.17999999999999972</v>
      </c>
      <c r="T31" s="26">
        <f t="shared" si="3"/>
        <v>-0.17999999999999972</v>
      </c>
      <c r="U31" s="26">
        <f>G10-G31</f>
        <v>-0.1899999999999995</v>
      </c>
      <c r="V31" s="25" t="str">
        <f>""</f>
        <v/>
      </c>
      <c r="W31" s="25" t="str">
        <f>""</f>
        <v/>
      </c>
      <c r="X31" s="25" t="str">
        <f>""</f>
        <v/>
      </c>
      <c r="Y31" s="26"/>
      <c r="Z31" s="26" t="str">
        <f>""</f>
        <v/>
      </c>
      <c r="AA31" s="26" t="str">
        <f>""</f>
        <v/>
      </c>
      <c r="AB31" s="27">
        <f t="shared" si="2"/>
        <v>0.51000000000000334</v>
      </c>
    </row>
    <row r="32" spans="1:28" ht="15.6" x14ac:dyDescent="0.3">
      <c r="A32" s="10">
        <v>45279</v>
      </c>
      <c r="B32" s="11">
        <v>43.98</v>
      </c>
      <c r="C32" s="11">
        <v>11.5</v>
      </c>
      <c r="D32" s="11">
        <v>15.35</v>
      </c>
      <c r="E32" s="11">
        <v>8.3000000000000007</v>
      </c>
      <c r="F32" s="11">
        <v>8.18</v>
      </c>
      <c r="G32" s="11">
        <v>12.29</v>
      </c>
      <c r="H32" s="11">
        <v>16.649999999999999</v>
      </c>
      <c r="I32" s="11">
        <v>14.24</v>
      </c>
      <c r="J32" s="11">
        <v>15.12</v>
      </c>
      <c r="K32" s="11">
        <v>0</v>
      </c>
      <c r="L32" s="11">
        <v>0</v>
      </c>
      <c r="M32" s="11">
        <v>0</v>
      </c>
      <c r="O32" s="78">
        <v>45279</v>
      </c>
      <c r="P32" s="25">
        <f t="shared" si="1"/>
        <v>0.72000000000000597</v>
      </c>
      <c r="Q32" s="26">
        <f t="shared" ref="Q32:Q40" si="5">C11-C32</f>
        <v>-5.0000000000000711E-2</v>
      </c>
      <c r="R32" s="26">
        <f t="shared" ref="R32:R40" si="6">D11-D32</f>
        <v>-0.25999999999999979</v>
      </c>
      <c r="S32" s="26">
        <f t="shared" si="3"/>
        <v>0.19999999999999929</v>
      </c>
      <c r="T32" s="26">
        <f t="shared" si="3"/>
        <v>-0.20999999999999996</v>
      </c>
      <c r="U32" s="26">
        <f>G11-G32</f>
        <v>-8.9999999999999858E-2</v>
      </c>
      <c r="V32" s="26">
        <f t="shared" ref="V32:V40" si="7">H11-H32</f>
        <v>-0.25</v>
      </c>
      <c r="W32" s="26">
        <f t="shared" ref="W32:X35" si="8">(2*I11)-I31</f>
        <v>-0.24000000000000021</v>
      </c>
      <c r="X32" s="26">
        <f t="shared" si="8"/>
        <v>0.16000000000000014</v>
      </c>
      <c r="Y32" s="26"/>
      <c r="Z32" s="26" t="str">
        <f>""</f>
        <v/>
      </c>
      <c r="AA32" s="26" t="str">
        <f>""</f>
        <v/>
      </c>
      <c r="AB32" s="27">
        <f t="shared" si="2"/>
        <v>-1.9999999999995133E-2</v>
      </c>
    </row>
    <row r="33" spans="1:28" ht="15.6" x14ac:dyDescent="0.3">
      <c r="A33" s="12">
        <v>45280</v>
      </c>
      <c r="B33" s="11">
        <v>43.98</v>
      </c>
      <c r="C33" s="11">
        <v>11.5</v>
      </c>
      <c r="D33" s="11">
        <v>15.35</v>
      </c>
      <c r="E33" s="11">
        <v>8.3000000000000007</v>
      </c>
      <c r="F33" s="11">
        <v>8.18</v>
      </c>
      <c r="G33" s="11">
        <v>12.29</v>
      </c>
      <c r="H33" s="11">
        <v>16.649999999999999</v>
      </c>
      <c r="I33" s="11">
        <v>14.24</v>
      </c>
      <c r="J33" s="11">
        <v>15.12</v>
      </c>
      <c r="K33" s="11">
        <v>0</v>
      </c>
      <c r="L33" s="11">
        <v>0</v>
      </c>
      <c r="M33" s="11">
        <v>0</v>
      </c>
      <c r="O33" s="78">
        <v>45280</v>
      </c>
      <c r="P33" s="25">
        <f t="shared" si="1"/>
        <v>0.52000000000000313</v>
      </c>
      <c r="Q33" s="26">
        <f t="shared" si="5"/>
        <v>0</v>
      </c>
      <c r="R33" s="26">
        <f t="shared" si="6"/>
        <v>-0.34999999999999964</v>
      </c>
      <c r="S33" s="26">
        <f t="shared" si="3"/>
        <v>0.25</v>
      </c>
      <c r="T33" s="26">
        <f t="shared" si="3"/>
        <v>-0.20999999999999996</v>
      </c>
      <c r="U33" s="26">
        <f>G12-G33</f>
        <v>9.0000000000001634E-2</v>
      </c>
      <c r="V33" s="26">
        <f t="shared" si="7"/>
        <v>-0.19999999999999929</v>
      </c>
      <c r="W33" s="26">
        <f t="shared" si="8"/>
        <v>-0.35999999999999943</v>
      </c>
      <c r="X33" s="26">
        <f t="shared" si="8"/>
        <v>0.16000000000000014</v>
      </c>
      <c r="Y33" s="26"/>
      <c r="Z33" s="26" t="str">
        <f>""</f>
        <v/>
      </c>
      <c r="AA33" s="26" t="str">
        <f>""</f>
        <v/>
      </c>
      <c r="AB33" s="27">
        <f t="shared" si="2"/>
        <v>-9.9999999999993427E-2</v>
      </c>
    </row>
    <row r="34" spans="1:28" ht="15.6" x14ac:dyDescent="0.3">
      <c r="A34" s="10">
        <v>45281</v>
      </c>
      <c r="B34" s="11">
        <v>43.98</v>
      </c>
      <c r="C34" s="11">
        <v>11.5</v>
      </c>
      <c r="D34" s="11">
        <v>15.35</v>
      </c>
      <c r="E34" s="11">
        <v>8.3000000000000007</v>
      </c>
      <c r="F34" s="11">
        <f>8.18+7.95</f>
        <v>16.13</v>
      </c>
      <c r="G34" s="11">
        <f>12.29+12.1</f>
        <v>24.39</v>
      </c>
      <c r="H34" s="11">
        <v>16.649999999999999</v>
      </c>
      <c r="I34" s="11">
        <v>14.24</v>
      </c>
      <c r="J34" s="11">
        <v>15.12</v>
      </c>
      <c r="K34" s="11">
        <v>0</v>
      </c>
      <c r="L34" s="11">
        <v>0</v>
      </c>
      <c r="M34" s="11">
        <v>0</v>
      </c>
      <c r="O34" s="78">
        <v>45281</v>
      </c>
      <c r="P34" s="25">
        <f t="shared" si="1"/>
        <v>0.32000000000000028</v>
      </c>
      <c r="Q34" s="26">
        <f t="shared" si="5"/>
        <v>-5.0000000000000711E-2</v>
      </c>
      <c r="R34" s="26">
        <f t="shared" si="6"/>
        <v>-0.34999999999999964</v>
      </c>
      <c r="S34" s="26">
        <f t="shared" ref="S34:S40" si="9">E13-E34</f>
        <v>0.10999999999999943</v>
      </c>
      <c r="T34" s="26">
        <f>2*F13-F34</f>
        <v>-0.22999999999999865</v>
      </c>
      <c r="U34" s="26">
        <f>(G13*2)-(G34)</f>
        <v>-0.19000000000000128</v>
      </c>
      <c r="V34" s="26">
        <f t="shared" si="7"/>
        <v>-0.28999999999999915</v>
      </c>
      <c r="W34" s="26">
        <f t="shared" si="8"/>
        <v>-6.0000000000000497E-2</v>
      </c>
      <c r="X34" s="26">
        <f t="shared" si="8"/>
        <v>-5.9999999999998721E-2</v>
      </c>
      <c r="Y34" s="26"/>
      <c r="Z34" s="26" t="str">
        <f>""</f>
        <v/>
      </c>
      <c r="AA34" s="26" t="str">
        <f>""</f>
        <v/>
      </c>
      <c r="AB34" s="27">
        <f t="shared" si="2"/>
        <v>-0.79999999999999893</v>
      </c>
    </row>
    <row r="35" spans="1:28" ht="15.6" x14ac:dyDescent="0.3">
      <c r="A35" s="12">
        <v>45282</v>
      </c>
      <c r="B35" s="11">
        <v>43.98</v>
      </c>
      <c r="C35" s="11">
        <v>11.5</v>
      </c>
      <c r="D35" s="11">
        <v>15.35</v>
      </c>
      <c r="E35" s="11">
        <v>8.3000000000000007</v>
      </c>
      <c r="F35" s="11">
        <v>16.13</v>
      </c>
      <c r="G35" s="11">
        <f t="shared" ref="G35:G40" si="10">12.29+12.1</f>
        <v>24.39</v>
      </c>
      <c r="H35" s="11">
        <v>16.649999999999999</v>
      </c>
      <c r="I35" s="11">
        <v>14.24</v>
      </c>
      <c r="J35" s="11">
        <v>15.12</v>
      </c>
      <c r="K35" s="11">
        <v>0</v>
      </c>
      <c r="L35" s="11">
        <v>0</v>
      </c>
      <c r="M35" s="11">
        <v>0</v>
      </c>
      <c r="O35" s="78">
        <v>45282</v>
      </c>
      <c r="P35" s="25">
        <f t="shared" si="1"/>
        <v>0.98000000000000398</v>
      </c>
      <c r="Q35" s="26">
        <f t="shared" si="5"/>
        <v>-0.19999999999999929</v>
      </c>
      <c r="R35" s="26">
        <f t="shared" si="6"/>
        <v>0.23000000000000043</v>
      </c>
      <c r="S35" s="26">
        <f t="shared" si="9"/>
        <v>0.21999999999999886</v>
      </c>
      <c r="T35" s="26">
        <f>2*F14-F35</f>
        <v>-0.22999999999999865</v>
      </c>
      <c r="U35" s="26">
        <f>(G14*2)-(G35)</f>
        <v>-0.19000000000000128</v>
      </c>
      <c r="V35" s="26">
        <f t="shared" si="7"/>
        <v>-4.9999999999997158E-2</v>
      </c>
      <c r="W35" s="26">
        <f t="shared" si="8"/>
        <v>-4.0000000000000924E-2</v>
      </c>
      <c r="X35" s="26">
        <f t="shared" si="8"/>
        <v>0.12000000000000099</v>
      </c>
      <c r="Y35" s="26"/>
      <c r="Z35" s="26" t="str">
        <f>""</f>
        <v/>
      </c>
      <c r="AA35" s="26" t="str">
        <f>""</f>
        <v/>
      </c>
      <c r="AB35" s="27">
        <f t="shared" si="2"/>
        <v>0.84000000000000696</v>
      </c>
    </row>
    <row r="36" spans="1:28" ht="15.6" x14ac:dyDescent="0.3">
      <c r="A36" s="10">
        <v>45285</v>
      </c>
      <c r="B36" s="11">
        <v>43.98</v>
      </c>
      <c r="C36" s="11">
        <v>11.5</v>
      </c>
      <c r="D36" s="11">
        <v>15.35</v>
      </c>
      <c r="E36" s="11">
        <v>8.3000000000000007</v>
      </c>
      <c r="F36" s="11">
        <v>8.0649999999999995</v>
      </c>
      <c r="G36" s="11">
        <f t="shared" si="10"/>
        <v>24.39</v>
      </c>
      <c r="H36" s="11">
        <v>16.649999999999999</v>
      </c>
      <c r="I36" s="11">
        <v>14.24</v>
      </c>
      <c r="J36" s="11">
        <v>15.12</v>
      </c>
      <c r="K36" s="11">
        <v>0</v>
      </c>
      <c r="L36" s="11">
        <v>0</v>
      </c>
      <c r="M36" s="11">
        <v>0</v>
      </c>
      <c r="O36" s="78">
        <v>45285</v>
      </c>
      <c r="P36" s="25">
        <f t="shared" si="1"/>
        <v>0.96000000000000085</v>
      </c>
      <c r="Q36" s="26">
        <f t="shared" si="5"/>
        <v>-0.16999999999999993</v>
      </c>
      <c r="R36" s="26">
        <f t="shared" si="6"/>
        <v>0.15000000000000036</v>
      </c>
      <c r="S36" s="26">
        <f t="shared" si="9"/>
        <v>0.19999999999999929</v>
      </c>
      <c r="T36" s="26">
        <f>F15-F36</f>
        <v>-0.11499999999999932</v>
      </c>
      <c r="U36" s="26">
        <f>(G15*2)-(G36)</f>
        <v>-0.39000000000000057</v>
      </c>
      <c r="V36" s="26">
        <f t="shared" si="7"/>
        <v>-4.9999999999997158E-2</v>
      </c>
      <c r="W36" s="26">
        <f t="shared" ref="W36:X40" si="11">I15*2-I36</f>
        <v>-0.54000000000000092</v>
      </c>
      <c r="X36" s="26">
        <f t="shared" si="11"/>
        <v>0.18000000000000149</v>
      </c>
      <c r="Y36" s="26"/>
      <c r="Z36" s="26" t="str">
        <f>""</f>
        <v/>
      </c>
      <c r="AA36" s="26" t="str">
        <f>""</f>
        <v/>
      </c>
      <c r="AB36" s="27">
        <f t="shared" si="2"/>
        <v>0.22500000000000409</v>
      </c>
    </row>
    <row r="37" spans="1:28" ht="15.6" x14ac:dyDescent="0.3">
      <c r="A37" s="10">
        <v>45286</v>
      </c>
      <c r="B37" s="11">
        <v>43.98</v>
      </c>
      <c r="C37" s="11">
        <v>11.5</v>
      </c>
      <c r="D37" s="11">
        <v>15.35</v>
      </c>
      <c r="E37" s="11">
        <v>8.3000000000000007</v>
      </c>
      <c r="F37" s="11">
        <v>8.0649999999999995</v>
      </c>
      <c r="G37" s="11">
        <f t="shared" si="10"/>
        <v>24.39</v>
      </c>
      <c r="H37" s="11">
        <v>16.649999999999999</v>
      </c>
      <c r="I37" s="11">
        <f>6.96*2</f>
        <v>13.92</v>
      </c>
      <c r="J37" s="11">
        <v>15.12</v>
      </c>
      <c r="K37" s="11">
        <v>0</v>
      </c>
      <c r="L37" s="11">
        <v>12</v>
      </c>
      <c r="M37" s="11">
        <v>0</v>
      </c>
      <c r="O37" s="78">
        <v>45286</v>
      </c>
      <c r="P37" s="25">
        <f t="shared" si="1"/>
        <v>1.0200000000000031</v>
      </c>
      <c r="Q37" s="26">
        <f t="shared" si="5"/>
        <v>-9.9999999999999645E-2</v>
      </c>
      <c r="R37" s="26">
        <f t="shared" si="6"/>
        <v>1.9999999999999574E-2</v>
      </c>
      <c r="S37" s="26">
        <f t="shared" si="9"/>
        <v>0.19999999999999929</v>
      </c>
      <c r="T37" s="26">
        <f>F16-F37</f>
        <v>-0.11499999999999932</v>
      </c>
      <c r="U37" s="26">
        <f>(G16*2)-(G37)</f>
        <v>-0.39000000000000057</v>
      </c>
      <c r="V37" s="26">
        <f t="shared" si="7"/>
        <v>-4.9999999999997158E-2</v>
      </c>
      <c r="W37" s="26">
        <f t="shared" si="11"/>
        <v>0.17999999999999972</v>
      </c>
      <c r="X37" s="26">
        <f t="shared" si="11"/>
        <v>0.18000000000000149</v>
      </c>
      <c r="Y37" s="26"/>
      <c r="Z37" s="26">
        <f>L16-L37</f>
        <v>-9.9999999999999645E-2</v>
      </c>
      <c r="AA37" s="26" t="str">
        <f>""</f>
        <v/>
      </c>
      <c r="AB37" s="27">
        <f>SUM(P37:AA37)</f>
        <v>0.84500000000000686</v>
      </c>
    </row>
    <row r="38" spans="1:28" ht="15.6" x14ac:dyDescent="0.3">
      <c r="A38" s="10">
        <v>45287</v>
      </c>
      <c r="B38" s="11">
        <v>43.98</v>
      </c>
      <c r="C38" s="11">
        <v>11.5</v>
      </c>
      <c r="D38" s="11">
        <v>15.35</v>
      </c>
      <c r="E38" s="11">
        <v>8.3000000000000007</v>
      </c>
      <c r="F38" s="11">
        <v>8.0649999999999995</v>
      </c>
      <c r="G38" s="11">
        <f t="shared" si="10"/>
        <v>24.39</v>
      </c>
      <c r="H38" s="11">
        <v>16.649999999999999</v>
      </c>
      <c r="I38" s="11">
        <f t="shared" ref="I38:I40" si="12">6.96*2</f>
        <v>13.92</v>
      </c>
      <c r="J38" s="11">
        <v>15.12</v>
      </c>
      <c r="K38" s="11">
        <v>0</v>
      </c>
      <c r="L38" s="11">
        <v>0</v>
      </c>
      <c r="M38" s="11">
        <v>7.45</v>
      </c>
      <c r="O38" s="78">
        <v>45287</v>
      </c>
      <c r="P38" s="25">
        <f t="shared" si="1"/>
        <v>1.9000000000000057</v>
      </c>
      <c r="Q38" s="26">
        <f t="shared" si="5"/>
        <v>-5.0000000000000711E-2</v>
      </c>
      <c r="R38" s="26">
        <f t="shared" si="6"/>
        <v>-9.9999999999999645E-2</v>
      </c>
      <c r="S38" s="26">
        <f t="shared" si="9"/>
        <v>0.25999999999999979</v>
      </c>
      <c r="T38" s="26">
        <f>F17-F38</f>
        <v>-3.5000000000000142E-2</v>
      </c>
      <c r="U38" s="26">
        <f>G17*2-G38</f>
        <v>-0.28999999999999915</v>
      </c>
      <c r="V38" s="26">
        <f t="shared" si="7"/>
        <v>-7.0000000000000284E-2</v>
      </c>
      <c r="W38" s="26">
        <f t="shared" si="11"/>
        <v>0.27999999999999936</v>
      </c>
      <c r="X38" s="26">
        <f t="shared" si="11"/>
        <v>0.14000000000000057</v>
      </c>
      <c r="Y38" s="26"/>
      <c r="Z38" s="26" t="str">
        <f>""</f>
        <v/>
      </c>
      <c r="AA38" s="26">
        <f>M17-M38</f>
        <v>3.0000000000000249E-2</v>
      </c>
      <c r="AB38" s="27">
        <f>SUM(P38:AA38)</f>
        <v>2.0650000000000057</v>
      </c>
    </row>
    <row r="39" spans="1:28" ht="15.6" x14ac:dyDescent="0.3">
      <c r="A39" s="10">
        <v>45288</v>
      </c>
      <c r="B39" s="11">
        <v>43.98</v>
      </c>
      <c r="C39" s="11">
        <v>11.5</v>
      </c>
      <c r="D39" s="11">
        <v>15.35</v>
      </c>
      <c r="E39" s="11">
        <v>8.3000000000000007</v>
      </c>
      <c r="F39" s="11">
        <v>8.0649999999999995</v>
      </c>
      <c r="G39" s="11">
        <f t="shared" si="10"/>
        <v>24.39</v>
      </c>
      <c r="H39" s="11">
        <v>16.649999999999999</v>
      </c>
      <c r="I39" s="11">
        <f t="shared" si="12"/>
        <v>13.92</v>
      </c>
      <c r="J39" s="11">
        <v>15.12</v>
      </c>
      <c r="K39" s="11">
        <v>0</v>
      </c>
      <c r="L39" s="11">
        <v>0</v>
      </c>
      <c r="M39" s="11">
        <v>7.45</v>
      </c>
      <c r="O39" s="78">
        <v>45288</v>
      </c>
      <c r="P39" s="25">
        <f t="shared" si="1"/>
        <v>2.0200000000000031</v>
      </c>
      <c r="Q39" s="26">
        <f t="shared" si="5"/>
        <v>0.15000000000000036</v>
      </c>
      <c r="R39" s="26">
        <f t="shared" si="6"/>
        <v>0.33000000000000007</v>
      </c>
      <c r="S39" s="26">
        <f t="shared" si="9"/>
        <v>0.51999999999999957</v>
      </c>
      <c r="T39" s="26">
        <f>F18-F39</f>
        <v>-6.4999999999999503E-2</v>
      </c>
      <c r="U39" s="26">
        <f>G18*2-G39</f>
        <v>0.30999999999999872</v>
      </c>
      <c r="V39" s="26">
        <f t="shared" si="7"/>
        <v>-9.9999999999997868E-2</v>
      </c>
      <c r="W39" s="26">
        <f t="shared" si="11"/>
        <v>0.98000000000000043</v>
      </c>
      <c r="X39" s="26">
        <f>J18*2-J39</f>
        <v>0.10000000000000142</v>
      </c>
      <c r="Y39" s="26"/>
      <c r="Z39" s="26" t="str">
        <f>""</f>
        <v/>
      </c>
      <c r="AA39" s="26">
        <f t="shared" ref="AA39:AA40" si="13">M18-M39</f>
        <v>4.9999999999999822E-2</v>
      </c>
      <c r="AB39" s="27">
        <f t="shared" ref="AB39:AB40" si="14">SUM(P39:AA39)</f>
        <v>4.2950000000000061</v>
      </c>
    </row>
    <row r="40" spans="1:28" ht="15.6" x14ac:dyDescent="0.3">
      <c r="A40" s="10">
        <v>45289</v>
      </c>
      <c r="B40" s="11">
        <v>43.98</v>
      </c>
      <c r="C40" s="11">
        <v>11.5</v>
      </c>
      <c r="D40" s="11">
        <v>15.35</v>
      </c>
      <c r="E40" s="11">
        <v>8.3000000000000007</v>
      </c>
      <c r="F40" s="11">
        <v>8.0649999999999995</v>
      </c>
      <c r="G40" s="11">
        <f t="shared" si="10"/>
        <v>24.39</v>
      </c>
      <c r="H40" s="11">
        <v>16.649999999999999</v>
      </c>
      <c r="I40" s="11">
        <f t="shared" si="12"/>
        <v>13.92</v>
      </c>
      <c r="J40" s="11">
        <v>15.12</v>
      </c>
      <c r="K40" s="11">
        <v>0</v>
      </c>
      <c r="L40" s="11">
        <v>0</v>
      </c>
      <c r="M40" s="11">
        <v>7.45</v>
      </c>
      <c r="O40" s="78">
        <v>45289</v>
      </c>
      <c r="P40" s="25">
        <f t="shared" si="1"/>
        <v>1.6200000000000045</v>
      </c>
      <c r="Q40" s="26">
        <f t="shared" si="5"/>
        <v>0.19999999999999929</v>
      </c>
      <c r="R40" s="26">
        <f t="shared" si="6"/>
        <v>0.63000000000000078</v>
      </c>
      <c r="S40" s="26">
        <f t="shared" si="9"/>
        <v>0.64999999999999858</v>
      </c>
      <c r="T40" s="26">
        <f>F19-F40</f>
        <v>-6.4999999999999503E-2</v>
      </c>
      <c r="U40" s="26">
        <f>G19*2-G40</f>
        <v>0.58999999999999986</v>
      </c>
      <c r="V40" s="26">
        <f t="shared" si="7"/>
        <v>-0.10999999999999943</v>
      </c>
      <c r="W40" s="26">
        <f t="shared" si="11"/>
        <v>1.8599999999999994</v>
      </c>
      <c r="X40" s="26">
        <f t="shared" si="11"/>
        <v>-1.9999999999999574E-2</v>
      </c>
      <c r="Y40" s="26"/>
      <c r="Z40" s="26" t="str">
        <f>""</f>
        <v/>
      </c>
      <c r="AA40" s="26">
        <f t="shared" si="13"/>
        <v>4.9999999999999822E-2</v>
      </c>
      <c r="AB40" s="27">
        <f t="shared" si="14"/>
        <v>5.4050000000000038</v>
      </c>
    </row>
    <row r="41" spans="1:28" x14ac:dyDescent="0.3">
      <c r="O41" s="9" t="s">
        <v>26</v>
      </c>
      <c r="P41" s="21">
        <f t="shared" ref="P41:V41" si="15">AVERAGE(P26:P40)</f>
        <v>0.92066666666667019</v>
      </c>
      <c r="Q41" s="21">
        <f t="shared" si="15"/>
        <v>-3.0000000000000152E-2</v>
      </c>
      <c r="R41" s="21">
        <f t="shared" si="15"/>
        <v>-7.8666666666666649E-2</v>
      </c>
      <c r="S41" s="21">
        <f t="shared" si="15"/>
        <v>0.20933333333333265</v>
      </c>
      <c r="T41" s="21">
        <f t="shared" si="15"/>
        <v>-0.12033333333333283</v>
      </c>
      <c r="U41" s="21">
        <f t="shared" si="15"/>
        <v>-6.0000000000000171E-2</v>
      </c>
      <c r="V41" s="21">
        <f t="shared" si="15"/>
        <v>-0.12999999999999862</v>
      </c>
      <c r="W41" s="21">
        <f>AVERAGE(W32:W40)</f>
        <v>0.22888888888888856</v>
      </c>
      <c r="X41" s="21">
        <f>AVERAGE(X26:X40)</f>
        <v>0.10666666666666755</v>
      </c>
      <c r="Y41" s="21">
        <f t="shared" ref="Y41:Z41" si="16">AVERAGE(Y26:Y38)</f>
        <v>-4.0000000000000389E-2</v>
      </c>
      <c r="Z41" s="21">
        <f t="shared" si="16"/>
        <v>-9.9999999999999645E-2</v>
      </c>
      <c r="AA41" s="21">
        <f>AVERAGE(AA26:AA40)</f>
        <v>4.33333333333333E-2</v>
      </c>
    </row>
    <row r="43" spans="1:28" ht="18" x14ac:dyDescent="0.35">
      <c r="A43" s="97" t="s">
        <v>53</v>
      </c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U43" s="28"/>
    </row>
    <row r="44" spans="1:28" ht="15.6" x14ac:dyDescent="0.3">
      <c r="A44" s="17" t="s">
        <v>23</v>
      </c>
      <c r="B44" s="17" t="s">
        <v>13</v>
      </c>
      <c r="C44" s="17" t="s">
        <v>14</v>
      </c>
      <c r="D44" s="17" t="s">
        <v>15</v>
      </c>
      <c r="E44" s="17" t="s">
        <v>16</v>
      </c>
      <c r="F44" s="17" t="s">
        <v>17</v>
      </c>
      <c r="G44" s="17" t="s">
        <v>18</v>
      </c>
      <c r="H44" s="17" t="s">
        <v>19</v>
      </c>
      <c r="I44" s="17" t="s">
        <v>20</v>
      </c>
      <c r="J44" s="17" t="s">
        <v>21</v>
      </c>
      <c r="K44" s="17" t="s">
        <v>22</v>
      </c>
      <c r="L44" s="24" t="s">
        <v>45</v>
      </c>
      <c r="M44" s="17" t="s">
        <v>70</v>
      </c>
    </row>
    <row r="45" spans="1:28" x14ac:dyDescent="0.3">
      <c r="A45" s="10">
        <v>45271</v>
      </c>
      <c r="B45" s="79">
        <f>B26/SUM($B$26:$M$26)</f>
        <v>0.54323122529644263</v>
      </c>
      <c r="C45" s="79">
        <f t="shared" ref="C45:M45" si="17">C26/SUM($B$26:$M$26)</f>
        <v>0</v>
      </c>
      <c r="D45" s="79">
        <f t="shared" si="17"/>
        <v>0.19268774703557309</v>
      </c>
      <c r="E45" s="79">
        <f t="shared" si="17"/>
        <v>0.10251976284584981</v>
      </c>
      <c r="F45" s="79">
        <f t="shared" si="17"/>
        <v>0.10103754940711461</v>
      </c>
      <c r="G45" s="79">
        <f t="shared" si="17"/>
        <v>0</v>
      </c>
      <c r="H45" s="79">
        <f t="shared" si="17"/>
        <v>0</v>
      </c>
      <c r="I45" s="79">
        <f t="shared" si="17"/>
        <v>0</v>
      </c>
      <c r="J45" s="79">
        <f t="shared" si="17"/>
        <v>0</v>
      </c>
      <c r="K45" s="79">
        <f t="shared" si="17"/>
        <v>6.052371541501976E-2</v>
      </c>
      <c r="L45" s="79">
        <f t="shared" si="17"/>
        <v>0</v>
      </c>
      <c r="M45" s="79">
        <f t="shared" si="17"/>
        <v>0</v>
      </c>
    </row>
    <row r="46" spans="1:28" x14ac:dyDescent="0.3">
      <c r="A46" s="12">
        <v>45272</v>
      </c>
      <c r="B46" s="79">
        <f>B27/SUM($B$27:$M$27)</f>
        <v>0.54323122529644263</v>
      </c>
      <c r="C46" s="79">
        <f t="shared" ref="C46:M46" si="18">C27/SUM($B$27:$M$27)</f>
        <v>0</v>
      </c>
      <c r="D46" s="79">
        <f t="shared" si="18"/>
        <v>0.19268774703557309</v>
      </c>
      <c r="E46" s="79">
        <f t="shared" si="18"/>
        <v>0.10251976284584981</v>
      </c>
      <c r="F46" s="79">
        <f t="shared" si="18"/>
        <v>0.10103754940711461</v>
      </c>
      <c r="G46" s="79">
        <f t="shared" si="18"/>
        <v>0</v>
      </c>
      <c r="H46" s="79">
        <f t="shared" si="18"/>
        <v>0</v>
      </c>
      <c r="I46" s="79">
        <f t="shared" si="18"/>
        <v>0</v>
      </c>
      <c r="J46" s="79">
        <f t="shared" si="18"/>
        <v>0</v>
      </c>
      <c r="K46" s="79">
        <f t="shared" si="18"/>
        <v>6.052371541501976E-2</v>
      </c>
      <c r="L46" s="79">
        <f t="shared" si="18"/>
        <v>0</v>
      </c>
      <c r="M46" s="79">
        <f t="shared" si="18"/>
        <v>0</v>
      </c>
    </row>
    <row r="47" spans="1:28" x14ac:dyDescent="0.3">
      <c r="A47" s="10">
        <v>45273</v>
      </c>
      <c r="B47" s="79">
        <f>B28/SUM($B$28:$M$28)</f>
        <v>0.40888806247675713</v>
      </c>
      <c r="C47" s="79">
        <f t="shared" ref="C47:M47" si="19">C28/SUM($B$28:$M$28)</f>
        <v>0.10691706954258089</v>
      </c>
      <c r="D47" s="79">
        <f t="shared" si="19"/>
        <v>0.28542208999628116</v>
      </c>
      <c r="E47" s="79">
        <f t="shared" si="19"/>
        <v>7.716623280029751E-2</v>
      </c>
      <c r="F47" s="79">
        <f t="shared" si="19"/>
        <v>7.605057642246188E-2</v>
      </c>
      <c r="G47" s="79">
        <f t="shared" si="19"/>
        <v>0</v>
      </c>
      <c r="H47" s="79">
        <f t="shared" si="19"/>
        <v>0</v>
      </c>
      <c r="I47" s="79">
        <f t="shared" si="19"/>
        <v>0</v>
      </c>
      <c r="J47" s="79">
        <f t="shared" si="19"/>
        <v>0</v>
      </c>
      <c r="K47" s="79">
        <f t="shared" si="19"/>
        <v>4.5555968761621421E-2</v>
      </c>
      <c r="L47" s="79">
        <f t="shared" si="19"/>
        <v>0</v>
      </c>
      <c r="M47" s="79">
        <f t="shared" si="19"/>
        <v>0</v>
      </c>
    </row>
    <row r="48" spans="1:28" x14ac:dyDescent="0.3">
      <c r="A48" s="12">
        <v>45274</v>
      </c>
      <c r="B48" s="79">
        <f>B29/SUM($B$29:$M$29)</f>
        <v>0.40888806247675713</v>
      </c>
      <c r="C48" s="79">
        <f t="shared" ref="C48:M48" si="20">C29/SUM($B$29:$M$29)</f>
        <v>0.10691706954258089</v>
      </c>
      <c r="D48" s="79">
        <f t="shared" si="20"/>
        <v>0.28542208999628116</v>
      </c>
      <c r="E48" s="79">
        <f t="shared" si="20"/>
        <v>7.716623280029751E-2</v>
      </c>
      <c r="F48" s="79">
        <f t="shared" si="20"/>
        <v>7.605057642246188E-2</v>
      </c>
      <c r="G48" s="79">
        <f t="shared" si="20"/>
        <v>0</v>
      </c>
      <c r="H48" s="79">
        <f t="shared" si="20"/>
        <v>0</v>
      </c>
      <c r="I48" s="79">
        <f t="shared" si="20"/>
        <v>0</v>
      </c>
      <c r="J48" s="79">
        <f t="shared" si="20"/>
        <v>0</v>
      </c>
      <c r="K48" s="79">
        <f t="shared" si="20"/>
        <v>4.5555968761621421E-2</v>
      </c>
      <c r="L48" s="79">
        <f t="shared" si="20"/>
        <v>0</v>
      </c>
      <c r="M48" s="79">
        <f t="shared" si="20"/>
        <v>0</v>
      </c>
    </row>
    <row r="49" spans="1:13" x14ac:dyDescent="0.3">
      <c r="A49" s="10">
        <v>45275</v>
      </c>
      <c r="B49" s="79">
        <f>B30/SUM($B$30:$M$30)</f>
        <v>0.36695869837296619</v>
      </c>
      <c r="C49" s="79">
        <f t="shared" ref="C49:M49" si="21">C30/SUM($B$30:$M$30)</f>
        <v>9.5953274926992072E-2</v>
      </c>
      <c r="D49" s="79">
        <f t="shared" si="21"/>
        <v>0.25615352523988322</v>
      </c>
      <c r="E49" s="79">
        <f t="shared" si="21"/>
        <v>6.9253233208176904E-2</v>
      </c>
      <c r="F49" s="79">
        <f t="shared" si="21"/>
        <v>6.8251981643721316E-2</v>
      </c>
      <c r="G49" s="79">
        <f t="shared" si="21"/>
        <v>0.10254484772632456</v>
      </c>
      <c r="H49" s="79">
        <f t="shared" si="21"/>
        <v>0</v>
      </c>
      <c r="I49" s="79">
        <f t="shared" si="21"/>
        <v>0</v>
      </c>
      <c r="J49" s="79">
        <f t="shared" si="21"/>
        <v>0</v>
      </c>
      <c r="K49" s="79">
        <f t="shared" si="21"/>
        <v>4.0884438881935756E-2</v>
      </c>
      <c r="L49" s="79">
        <f t="shared" si="21"/>
        <v>0</v>
      </c>
      <c r="M49" s="79">
        <f t="shared" si="21"/>
        <v>0</v>
      </c>
    </row>
    <row r="50" spans="1:13" x14ac:dyDescent="0.3">
      <c r="A50" s="12">
        <v>45278</v>
      </c>
      <c r="B50" s="79">
        <f>B31/SUM($B$31:$M$31)</f>
        <v>0.27323558648111329</v>
      </c>
      <c r="C50" s="79">
        <f t="shared" ref="C50:M50" si="22">C31/SUM($B$31:$M$31)</f>
        <v>7.1446322067594437E-2</v>
      </c>
      <c r="D50" s="79">
        <f t="shared" si="22"/>
        <v>0.19073061630218688</v>
      </c>
      <c r="E50" s="79">
        <f t="shared" si="22"/>
        <v>5.1565606361829025E-2</v>
      </c>
      <c r="F50" s="79">
        <f t="shared" si="22"/>
        <v>5.082007952286282E-2</v>
      </c>
      <c r="G50" s="79">
        <f t="shared" si="22"/>
        <v>7.6354373757455254E-2</v>
      </c>
      <c r="H50" s="79">
        <f t="shared" si="22"/>
        <v>0.10344184890656062</v>
      </c>
      <c r="I50" s="79">
        <f t="shared" si="22"/>
        <v>8.8469184890656055E-2</v>
      </c>
      <c r="J50" s="79">
        <f t="shared" si="22"/>
        <v>9.3936381709741543E-2</v>
      </c>
      <c r="K50" s="79">
        <f t="shared" si="22"/>
        <v>0</v>
      </c>
      <c r="L50" s="79">
        <f t="shared" si="22"/>
        <v>0</v>
      </c>
      <c r="M50" s="79">
        <f t="shared" si="22"/>
        <v>0</v>
      </c>
    </row>
    <row r="51" spans="1:13" x14ac:dyDescent="0.3">
      <c r="A51" s="10">
        <v>45279</v>
      </c>
      <c r="B51" s="79">
        <f>B32/SUM($B$32:$M$32)</f>
        <v>0.30203969507588757</v>
      </c>
      <c r="C51" s="79">
        <f t="shared" ref="C51:M51" si="23">C32/SUM($B$32:$M$32)</f>
        <v>7.8978092163999716E-2</v>
      </c>
      <c r="D51" s="79">
        <f t="shared" si="23"/>
        <v>0.10541858388846918</v>
      </c>
      <c r="E51" s="79">
        <f t="shared" si="23"/>
        <v>5.7001579561843277E-2</v>
      </c>
      <c r="F51" s="79">
        <f t="shared" si="23"/>
        <v>5.6177460339262408E-2</v>
      </c>
      <c r="G51" s="79">
        <f t="shared" si="23"/>
        <v>8.4403543712657084E-2</v>
      </c>
      <c r="H51" s="79">
        <f t="shared" si="23"/>
        <v>0.11434654213309524</v>
      </c>
      <c r="I51" s="79">
        <f t="shared" si="23"/>
        <v>9.779548107959618E-2</v>
      </c>
      <c r="J51" s="79">
        <f t="shared" si="23"/>
        <v>0.10383902204518919</v>
      </c>
      <c r="K51" s="79">
        <f t="shared" si="23"/>
        <v>0</v>
      </c>
      <c r="L51" s="79">
        <f t="shared" si="23"/>
        <v>0</v>
      </c>
      <c r="M51" s="79">
        <f t="shared" si="23"/>
        <v>0</v>
      </c>
    </row>
    <row r="52" spans="1:13" x14ac:dyDescent="0.3">
      <c r="A52" s="12">
        <v>45280</v>
      </c>
      <c r="B52" s="79">
        <f>B33/SUM($B$33:$M$33)</f>
        <v>0.30203969507588757</v>
      </c>
      <c r="C52" s="79">
        <f t="shared" ref="C52:M52" si="24">C33/SUM($B$33:$M$33)</f>
        <v>7.8978092163999716E-2</v>
      </c>
      <c r="D52" s="79">
        <f t="shared" si="24"/>
        <v>0.10541858388846918</v>
      </c>
      <c r="E52" s="79">
        <f t="shared" si="24"/>
        <v>5.7001579561843277E-2</v>
      </c>
      <c r="F52" s="79">
        <f t="shared" si="24"/>
        <v>5.6177460339262408E-2</v>
      </c>
      <c r="G52" s="79">
        <f t="shared" si="24"/>
        <v>8.4403543712657084E-2</v>
      </c>
      <c r="H52" s="79">
        <f t="shared" si="24"/>
        <v>0.11434654213309524</v>
      </c>
      <c r="I52" s="79">
        <f t="shared" si="24"/>
        <v>9.779548107959618E-2</v>
      </c>
      <c r="J52" s="79">
        <f t="shared" si="24"/>
        <v>0.10383902204518919</v>
      </c>
      <c r="K52" s="79">
        <f t="shared" si="24"/>
        <v>0</v>
      </c>
      <c r="L52" s="79">
        <f t="shared" si="24"/>
        <v>0</v>
      </c>
      <c r="M52" s="79">
        <f t="shared" si="24"/>
        <v>0</v>
      </c>
    </row>
    <row r="53" spans="1:13" x14ac:dyDescent="0.3">
      <c r="A53" s="10">
        <v>45281</v>
      </c>
      <c r="B53" s="79">
        <f>B34/SUM($B$34:$M$34)</f>
        <v>0.26548352046360013</v>
      </c>
      <c r="C53" s="79">
        <f t="shared" ref="C53:M53" si="25">C34/SUM($B$34:$M$34)</f>
        <v>6.9419292526862256E-2</v>
      </c>
      <c r="D53" s="79">
        <f t="shared" si="25"/>
        <v>9.2659664372811784E-2</v>
      </c>
      <c r="E53" s="79">
        <f t="shared" si="25"/>
        <v>5.0102619823735366E-2</v>
      </c>
      <c r="F53" s="79">
        <f t="shared" si="25"/>
        <v>9.7368103344198959E-2</v>
      </c>
      <c r="G53" s="79">
        <f t="shared" si="25"/>
        <v>0.14722926475914525</v>
      </c>
      <c r="H53" s="79">
        <f t="shared" si="25"/>
        <v>0.10050706265845707</v>
      </c>
      <c r="I53" s="79">
        <f t="shared" si="25"/>
        <v>8.5959193528914651E-2</v>
      </c>
      <c r="J53" s="79">
        <f t="shared" si="25"/>
        <v>9.127127852227454E-2</v>
      </c>
      <c r="K53" s="79">
        <f t="shared" si="25"/>
        <v>0</v>
      </c>
      <c r="L53" s="79">
        <f t="shared" si="25"/>
        <v>0</v>
      </c>
      <c r="M53" s="79">
        <f t="shared" si="25"/>
        <v>0</v>
      </c>
    </row>
    <row r="54" spans="1:13" x14ac:dyDescent="0.3">
      <c r="A54" s="12">
        <v>45282</v>
      </c>
      <c r="B54" s="79">
        <f>B35/SUM($B$35:$M$35)</f>
        <v>0.26548352046360013</v>
      </c>
      <c r="C54" s="79">
        <f t="shared" ref="C54:M54" si="26">C35/SUM($B$35:$M$35)</f>
        <v>6.9419292526862256E-2</v>
      </c>
      <c r="D54" s="79">
        <f t="shared" si="26"/>
        <v>9.2659664372811784E-2</v>
      </c>
      <c r="E54" s="79">
        <f t="shared" si="26"/>
        <v>5.0102619823735366E-2</v>
      </c>
      <c r="F54" s="79">
        <f t="shared" si="26"/>
        <v>9.7368103344198959E-2</v>
      </c>
      <c r="G54" s="79">
        <f t="shared" si="26"/>
        <v>0.14722926475914525</v>
      </c>
      <c r="H54" s="79">
        <f t="shared" si="26"/>
        <v>0.10050706265845707</v>
      </c>
      <c r="I54" s="79">
        <f t="shared" si="26"/>
        <v>8.5959193528914651E-2</v>
      </c>
      <c r="J54" s="79">
        <f t="shared" si="26"/>
        <v>9.127127852227454E-2</v>
      </c>
      <c r="K54" s="79">
        <f t="shared" si="26"/>
        <v>0</v>
      </c>
      <c r="L54" s="79">
        <f t="shared" si="26"/>
        <v>0</v>
      </c>
      <c r="M54" s="79">
        <f t="shared" si="26"/>
        <v>0</v>
      </c>
    </row>
    <row r="55" spans="1:13" x14ac:dyDescent="0.3">
      <c r="A55" s="10">
        <v>45285</v>
      </c>
      <c r="B55" s="79">
        <f>B36/SUM($B$36:$M$36)</f>
        <v>0.27906976744186046</v>
      </c>
      <c r="C55" s="79">
        <f t="shared" ref="C55:L55" si="27">C36/SUM($B$36:$L$36)</f>
        <v>7.2971858244233634E-2</v>
      </c>
      <c r="D55" s="79">
        <f t="shared" si="27"/>
        <v>9.7401567308607509E-2</v>
      </c>
      <c r="E55" s="79">
        <f t="shared" si="27"/>
        <v>5.2666645515403412E-2</v>
      </c>
      <c r="F55" s="79">
        <f t="shared" si="27"/>
        <v>5.1175481455629931E-2</v>
      </c>
      <c r="G55" s="79">
        <f t="shared" si="27"/>
        <v>0.15476379326755291</v>
      </c>
      <c r="H55" s="79">
        <f t="shared" si="27"/>
        <v>0.10565055997969477</v>
      </c>
      <c r="I55" s="79">
        <f t="shared" si="27"/>
        <v>9.0358196643294517E-2</v>
      </c>
      <c r="J55" s="79">
        <f t="shared" si="27"/>
        <v>9.5942130143722826E-2</v>
      </c>
      <c r="K55" s="79">
        <f t="shared" si="27"/>
        <v>0</v>
      </c>
      <c r="L55" s="79">
        <f t="shared" si="27"/>
        <v>0</v>
      </c>
      <c r="M55" s="79">
        <f t="shared" ref="M55:M56" si="28">M36/SUM($B$26:$L$26)</f>
        <v>0</v>
      </c>
    </row>
    <row r="56" spans="1:13" x14ac:dyDescent="0.3">
      <c r="A56" s="10">
        <v>45286</v>
      </c>
      <c r="B56" s="79">
        <f>B37/SUM($B$37:$M$37)</f>
        <v>0.25981391227292866</v>
      </c>
      <c r="C56" s="79">
        <f t="shared" ref="C56:L56" si="29">C37/SUM($B$37:$L$37)</f>
        <v>6.793678924826467E-2</v>
      </c>
      <c r="D56" s="79">
        <f t="shared" si="29"/>
        <v>9.0680844779205447E-2</v>
      </c>
      <c r="E56" s="79">
        <f t="shared" si="29"/>
        <v>4.9032639196573635E-2</v>
      </c>
      <c r="F56" s="79">
        <f t="shared" si="29"/>
        <v>4.7644365677152564E-2</v>
      </c>
      <c r="G56" s="79">
        <f t="shared" si="29"/>
        <v>0.14408506867523263</v>
      </c>
      <c r="H56" s="79">
        <f t="shared" si="29"/>
        <v>9.8360655737704916E-2</v>
      </c>
      <c r="I56" s="79">
        <f t="shared" si="29"/>
        <v>8.2233052724856009E-2</v>
      </c>
      <c r="J56" s="79">
        <f t="shared" si="29"/>
        <v>8.9322108994240146E-2</v>
      </c>
      <c r="K56" s="79">
        <f t="shared" si="29"/>
        <v>0</v>
      </c>
      <c r="L56" s="79">
        <f t="shared" si="29"/>
        <v>7.0890562693841391E-2</v>
      </c>
      <c r="M56" s="79">
        <f t="shared" si="28"/>
        <v>0</v>
      </c>
    </row>
    <row r="57" spans="1:13" x14ac:dyDescent="0.3">
      <c r="A57" s="10">
        <v>45287</v>
      </c>
      <c r="B57" s="79">
        <f>B38/SUM($B$38:$M$38)</f>
        <v>0.26699043860980426</v>
      </c>
      <c r="C57" s="79">
        <f t="shared" ref="C57:M57" si="30">C38/SUM($B$38:$M$38)</f>
        <v>6.9813325239034774E-2</v>
      </c>
      <c r="D57" s="79">
        <f t="shared" si="30"/>
        <v>9.3185612384276847E-2</v>
      </c>
      <c r="E57" s="79">
        <f t="shared" si="30"/>
        <v>5.038700865078162E-2</v>
      </c>
      <c r="F57" s="79">
        <f t="shared" si="30"/>
        <v>4.896038852633177E-2</v>
      </c>
      <c r="G57" s="79">
        <f t="shared" si="30"/>
        <v>0.14806495674609202</v>
      </c>
      <c r="H57" s="79">
        <f t="shared" si="30"/>
        <v>0.10107755349825467</v>
      </c>
      <c r="I57" s="79">
        <f t="shared" si="30"/>
        <v>8.450447715890122E-2</v>
      </c>
      <c r="J57" s="79">
        <f t="shared" si="30"/>
        <v>9.1789345879496151E-2</v>
      </c>
      <c r="K57" s="79">
        <f t="shared" si="30"/>
        <v>0</v>
      </c>
      <c r="L57" s="79">
        <f t="shared" si="30"/>
        <v>0</v>
      </c>
      <c r="M57" s="79">
        <f t="shared" si="30"/>
        <v>4.5226893307026873E-2</v>
      </c>
    </row>
    <row r="58" spans="1:13" x14ac:dyDescent="0.3">
      <c r="A58" s="10">
        <v>45288</v>
      </c>
      <c r="B58" s="79">
        <f>B39/SUM($B$39:$M$39)</f>
        <v>0.26699043860980426</v>
      </c>
      <c r="C58" s="79">
        <f t="shared" ref="C58:M58" si="31">C39/SUM($B$39:$M$39)</f>
        <v>6.9813325239034774E-2</v>
      </c>
      <c r="D58" s="79">
        <f t="shared" si="31"/>
        <v>9.3185612384276847E-2</v>
      </c>
      <c r="E58" s="79">
        <f t="shared" si="31"/>
        <v>5.038700865078162E-2</v>
      </c>
      <c r="F58" s="79">
        <f t="shared" si="31"/>
        <v>4.896038852633177E-2</v>
      </c>
      <c r="G58" s="79">
        <f t="shared" si="31"/>
        <v>0.14806495674609202</v>
      </c>
      <c r="H58" s="79">
        <f t="shared" si="31"/>
        <v>0.10107755349825467</v>
      </c>
      <c r="I58" s="79">
        <f t="shared" si="31"/>
        <v>8.450447715890122E-2</v>
      </c>
      <c r="J58" s="79">
        <f t="shared" si="31"/>
        <v>9.1789345879496151E-2</v>
      </c>
      <c r="K58" s="79">
        <f t="shared" si="31"/>
        <v>0</v>
      </c>
      <c r="L58" s="79">
        <f t="shared" si="31"/>
        <v>0</v>
      </c>
      <c r="M58" s="79">
        <f t="shared" si="31"/>
        <v>4.5226893307026873E-2</v>
      </c>
    </row>
    <row r="59" spans="1:13" x14ac:dyDescent="0.3">
      <c r="A59" s="10">
        <v>45289</v>
      </c>
      <c r="B59" s="79">
        <f>B40/SUM($B$40:$M$40)</f>
        <v>0.26699043860980426</v>
      </c>
      <c r="C59" s="79">
        <f t="shared" ref="C59:M59" si="32">C40/SUM($B$40:$M$40)</f>
        <v>6.9813325239034774E-2</v>
      </c>
      <c r="D59" s="79">
        <f t="shared" si="32"/>
        <v>9.3185612384276847E-2</v>
      </c>
      <c r="E59" s="79">
        <f t="shared" si="32"/>
        <v>5.038700865078162E-2</v>
      </c>
      <c r="F59" s="79">
        <f t="shared" si="32"/>
        <v>4.896038852633177E-2</v>
      </c>
      <c r="G59" s="79">
        <f t="shared" si="32"/>
        <v>0.14806495674609202</v>
      </c>
      <c r="H59" s="79">
        <f t="shared" si="32"/>
        <v>0.10107755349825467</v>
      </c>
      <c r="I59" s="79">
        <f t="shared" si="32"/>
        <v>8.450447715890122E-2</v>
      </c>
      <c r="J59" s="79">
        <f t="shared" si="32"/>
        <v>9.1789345879496151E-2</v>
      </c>
      <c r="K59" s="79">
        <f t="shared" si="32"/>
        <v>0</v>
      </c>
      <c r="L59" s="79">
        <f t="shared" si="32"/>
        <v>0</v>
      </c>
      <c r="M59" s="79">
        <f t="shared" si="32"/>
        <v>4.5226893307026873E-2</v>
      </c>
    </row>
  </sheetData>
  <mergeCells count="4">
    <mergeCell ref="A23:M23"/>
    <mergeCell ref="A43:M43"/>
    <mergeCell ref="O23:AB23"/>
    <mergeCell ref="A2:N2"/>
  </mergeCells>
  <phoneticPr fontId="8" type="noConversion"/>
  <conditionalFormatting sqref="P26:AB37 AA26:AA40 Y32:Y40 P38:Z40 AB38:AB40">
    <cfRule type="cellIs" dxfId="13" priority="4" operator="lessThan">
      <formula>0</formula>
    </cfRule>
    <cfRule type="cellIs" dxfId="12" priority="5" operator="greaterThan">
      <formula>0</formula>
    </cfRule>
  </conditionalFormatting>
  <conditionalFormatting sqref="P26:AB40">
    <cfRule type="cellIs" dxfId="11" priority="1" operator="lessThan">
      <formula>0</formula>
    </cfRule>
    <cfRule type="cellIs" dxfId="10" priority="2" operator="greaterThan">
      <formula>0</formula>
    </cfRule>
    <cfRule type="cellIs" priority="3" operator="greaterThan">
      <formula>0</formula>
    </cfRule>
  </conditionalFormatting>
  <pageMargins left="0.7" right="0.7" top="0.75" bottom="0.75" header="0.3" footer="0.3"/>
  <ignoredErrors>
    <ignoredError sqref="U36:X38 Y27:Y30 Z37 U40:X40 U39:W39 Q26:Q2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97FB-0956-45B6-A1F9-24AE6BB7DB22}">
  <dimension ref="A1"/>
  <sheetViews>
    <sheetView zoomScale="80" zoomScaleNormal="80" workbookViewId="0">
      <selection activeCell="Y13" sqref="Y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C948-6AD3-4091-B16C-50950EA29B4F}">
  <dimension ref="A1:I27"/>
  <sheetViews>
    <sheetView workbookViewId="0">
      <selection activeCell="E17" sqref="E17"/>
    </sheetView>
  </sheetViews>
  <sheetFormatPr defaultRowHeight="14.4" x14ac:dyDescent="0.3"/>
  <cols>
    <col min="1" max="1" width="21.5546875" customWidth="1"/>
    <col min="2" max="2" width="27.77734375" customWidth="1"/>
    <col min="3" max="3" width="11.5546875" customWidth="1"/>
    <col min="4" max="4" width="10.21875" customWidth="1"/>
    <col min="6" max="6" width="31.44140625" customWidth="1"/>
  </cols>
  <sheetData>
    <row r="1" spans="1:9" ht="28.8" customHeight="1" x14ac:dyDescent="0.3">
      <c r="A1" s="101" t="s">
        <v>27</v>
      </c>
      <c r="B1" s="102" t="s">
        <v>28</v>
      </c>
      <c r="C1" s="102" t="s">
        <v>29</v>
      </c>
      <c r="D1" s="103" t="s">
        <v>30</v>
      </c>
      <c r="F1" s="3"/>
      <c r="G1" s="3"/>
      <c r="H1" s="3"/>
      <c r="I1" s="3"/>
    </row>
    <row r="2" spans="1:9" x14ac:dyDescent="0.3">
      <c r="A2" s="47" t="s">
        <v>34</v>
      </c>
      <c r="B2" s="41" t="s">
        <v>35</v>
      </c>
      <c r="C2" s="41" t="s">
        <v>14</v>
      </c>
      <c r="D2" s="46">
        <v>1</v>
      </c>
    </row>
    <row r="3" spans="1:9" x14ac:dyDescent="0.3">
      <c r="A3" s="47" t="s">
        <v>34</v>
      </c>
      <c r="B3" s="41" t="s">
        <v>35</v>
      </c>
      <c r="C3" s="41" t="s">
        <v>18</v>
      </c>
      <c r="D3" s="46">
        <v>2</v>
      </c>
    </row>
    <row r="4" spans="1:9" x14ac:dyDescent="0.3">
      <c r="A4" s="47" t="s">
        <v>34</v>
      </c>
      <c r="B4" s="41" t="s">
        <v>35</v>
      </c>
      <c r="C4" s="41" t="s">
        <v>21</v>
      </c>
      <c r="D4" s="46">
        <v>2</v>
      </c>
    </row>
    <row r="5" spans="1:9" x14ac:dyDescent="0.3">
      <c r="A5" s="47" t="s">
        <v>37</v>
      </c>
      <c r="B5" s="41" t="s">
        <v>38</v>
      </c>
      <c r="C5" s="41" t="s">
        <v>19</v>
      </c>
      <c r="D5" s="46">
        <v>2</v>
      </c>
    </row>
    <row r="6" spans="1:9" x14ac:dyDescent="0.3">
      <c r="A6" s="47" t="s">
        <v>37</v>
      </c>
      <c r="B6" s="41" t="s">
        <v>38</v>
      </c>
      <c r="C6" s="41" t="s">
        <v>22</v>
      </c>
      <c r="D6" s="46">
        <v>0</v>
      </c>
    </row>
    <row r="7" spans="1:9" x14ac:dyDescent="0.3">
      <c r="A7" s="45" t="s">
        <v>32</v>
      </c>
      <c r="B7" s="41" t="s">
        <v>33</v>
      </c>
      <c r="C7" s="41" t="s">
        <v>13</v>
      </c>
      <c r="D7" s="46">
        <v>1</v>
      </c>
    </row>
    <row r="8" spans="1:9" x14ac:dyDescent="0.3">
      <c r="A8" s="45" t="s">
        <v>71</v>
      </c>
      <c r="B8" s="41" t="s">
        <v>71</v>
      </c>
      <c r="C8" s="41" t="s">
        <v>70</v>
      </c>
      <c r="D8" s="46">
        <v>1</v>
      </c>
    </row>
    <row r="9" spans="1:9" x14ac:dyDescent="0.3">
      <c r="A9" s="45" t="s">
        <v>39</v>
      </c>
      <c r="B9" s="41" t="s">
        <v>40</v>
      </c>
      <c r="C9" s="41" t="s">
        <v>16</v>
      </c>
      <c r="D9" s="46">
        <v>1</v>
      </c>
    </row>
    <row r="10" spans="1:9" x14ac:dyDescent="0.3">
      <c r="A10" s="45" t="s">
        <v>31</v>
      </c>
      <c r="B10" s="41" t="s">
        <v>31</v>
      </c>
      <c r="C10" s="41" t="s">
        <v>20</v>
      </c>
      <c r="D10" s="46">
        <v>2</v>
      </c>
    </row>
    <row r="11" spans="1:9" x14ac:dyDescent="0.3">
      <c r="A11" s="47" t="s">
        <v>34</v>
      </c>
      <c r="B11" s="48" t="s">
        <v>36</v>
      </c>
      <c r="C11" s="48" t="s">
        <v>15</v>
      </c>
      <c r="D11" s="49">
        <v>1</v>
      </c>
    </row>
    <row r="12" spans="1:9" x14ac:dyDescent="0.3">
      <c r="A12" s="47" t="s">
        <v>34</v>
      </c>
      <c r="B12" s="48" t="s">
        <v>36</v>
      </c>
      <c r="C12" s="48" t="s">
        <v>17</v>
      </c>
      <c r="D12" s="49">
        <v>1</v>
      </c>
    </row>
    <row r="14" spans="1:9" x14ac:dyDescent="0.3">
      <c r="A14" s="40" t="s">
        <v>34</v>
      </c>
      <c r="B14" s="41">
        <v>7</v>
      </c>
    </row>
    <row r="15" spans="1:9" x14ac:dyDescent="0.3">
      <c r="A15" s="40" t="s">
        <v>37</v>
      </c>
      <c r="B15" s="41">
        <v>2</v>
      </c>
    </row>
    <row r="16" spans="1:9" x14ac:dyDescent="0.3">
      <c r="A16" s="39" t="s">
        <v>32</v>
      </c>
      <c r="B16" s="41">
        <v>1</v>
      </c>
    </row>
    <row r="17" spans="1:2" x14ac:dyDescent="0.3">
      <c r="A17" s="39" t="s">
        <v>39</v>
      </c>
      <c r="B17" s="41">
        <v>1</v>
      </c>
    </row>
    <row r="18" spans="1:2" x14ac:dyDescent="0.3">
      <c r="A18" s="39" t="s">
        <v>31</v>
      </c>
      <c r="B18" s="41">
        <v>1</v>
      </c>
    </row>
    <row r="19" spans="1:2" x14ac:dyDescent="0.3">
      <c r="A19" s="39" t="s">
        <v>72</v>
      </c>
      <c r="B19" s="41">
        <v>1</v>
      </c>
    </row>
    <row r="21" spans="1:2" x14ac:dyDescent="0.3">
      <c r="A21" s="42" t="s">
        <v>33</v>
      </c>
      <c r="B21" s="41">
        <v>1</v>
      </c>
    </row>
    <row r="22" spans="1:2" x14ac:dyDescent="0.3">
      <c r="A22" s="43" t="s">
        <v>35</v>
      </c>
      <c r="B22" s="41">
        <v>5</v>
      </c>
    </row>
    <row r="23" spans="1:2" x14ac:dyDescent="0.3">
      <c r="A23" s="44" t="s">
        <v>38</v>
      </c>
      <c r="B23" s="41">
        <v>2</v>
      </c>
    </row>
    <row r="24" spans="1:2" x14ac:dyDescent="0.3">
      <c r="A24" s="42" t="s">
        <v>40</v>
      </c>
      <c r="B24" s="41">
        <v>1</v>
      </c>
    </row>
    <row r="25" spans="1:2" x14ac:dyDescent="0.3">
      <c r="A25" s="43" t="s">
        <v>36</v>
      </c>
      <c r="B25" s="41">
        <v>2</v>
      </c>
    </row>
    <row r="26" spans="1:2" x14ac:dyDescent="0.3">
      <c r="A26" s="40" t="s">
        <v>31</v>
      </c>
      <c r="B26" s="41">
        <v>2</v>
      </c>
    </row>
    <row r="27" spans="1:2" x14ac:dyDescent="0.3">
      <c r="A27" s="40" t="s">
        <v>72</v>
      </c>
      <c r="B27" s="4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2BD2-31A7-400C-91D5-D6240E456D5D}">
  <dimension ref="A1:O40"/>
  <sheetViews>
    <sheetView topLeftCell="A18" workbookViewId="0">
      <selection activeCell="K39" sqref="K39"/>
    </sheetView>
  </sheetViews>
  <sheetFormatPr defaultRowHeight="14.4" x14ac:dyDescent="0.3"/>
  <cols>
    <col min="1" max="1" width="24.21875" customWidth="1"/>
    <col min="2" max="2" width="20.21875" bestFit="1" customWidth="1"/>
    <col min="11" max="11" width="12.5546875" customWidth="1"/>
    <col min="12" max="13" width="12.21875" customWidth="1"/>
    <col min="14" max="14" width="11.6640625" customWidth="1"/>
    <col min="15" max="15" width="21.5546875" customWidth="1"/>
  </cols>
  <sheetData>
    <row r="1" spans="1:14" ht="15.6" x14ac:dyDescent="0.3">
      <c r="A1" s="18" t="s">
        <v>23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  <c r="J1" s="18" t="s">
        <v>21</v>
      </c>
      <c r="K1" s="18" t="s">
        <v>22</v>
      </c>
      <c r="L1" s="20" t="s">
        <v>45</v>
      </c>
      <c r="M1" s="20" t="s">
        <v>70</v>
      </c>
      <c r="N1" s="20" t="s">
        <v>57</v>
      </c>
    </row>
    <row r="2" spans="1:14" x14ac:dyDescent="0.3">
      <c r="A2" s="36">
        <v>45270</v>
      </c>
      <c r="B2" s="38" t="str">
        <f>"-"</f>
        <v>-</v>
      </c>
      <c r="C2" s="38" t="str">
        <f t="shared" ref="C2:N2" si="0">"-"</f>
        <v>-</v>
      </c>
      <c r="D2" s="38" t="str">
        <f t="shared" si="0"/>
        <v>-</v>
      </c>
      <c r="E2" s="38" t="str">
        <f t="shared" si="0"/>
        <v>-</v>
      </c>
      <c r="F2" s="38" t="str">
        <f t="shared" si="0"/>
        <v>-</v>
      </c>
      <c r="G2" s="38" t="str">
        <f t="shared" si="0"/>
        <v>-</v>
      </c>
      <c r="H2" s="38" t="str">
        <f t="shared" si="0"/>
        <v>-</v>
      </c>
      <c r="I2" s="38" t="str">
        <f t="shared" si="0"/>
        <v>-</v>
      </c>
      <c r="J2" s="38" t="str">
        <f t="shared" si="0"/>
        <v>-</v>
      </c>
      <c r="K2" s="38" t="str">
        <f t="shared" si="0"/>
        <v>-</v>
      </c>
      <c r="L2" s="38" t="str">
        <f t="shared" si="0"/>
        <v>-</v>
      </c>
      <c r="M2" s="38" t="str">
        <f t="shared" si="0"/>
        <v>-</v>
      </c>
      <c r="N2" s="38" t="str">
        <f t="shared" si="0"/>
        <v>-</v>
      </c>
    </row>
    <row r="3" spans="1:14" x14ac:dyDescent="0.3">
      <c r="A3" s="6">
        <v>45271</v>
      </c>
      <c r="B3" s="38">
        <f>(DATA!B5-DATA!B4)/DATA!B4</f>
        <v>4.5766590389015038E-3</v>
      </c>
      <c r="C3" s="38">
        <f>(DATA!C5-DATA!C4)/DATA!C4</f>
        <v>0</v>
      </c>
      <c r="D3" s="38">
        <f>(DATA!D5-DATA!D4)/DATA!D4</f>
        <v>9.0556274256144102E-3</v>
      </c>
      <c r="E3" s="38">
        <f>(DATA!E5-DATA!E4)/DATA!E4</f>
        <v>-1.5421115065243062E-2</v>
      </c>
      <c r="F3" s="38">
        <f>(DATA!F5-DATA!F4)/DATA!F4</f>
        <v>-2.4390243902438508E-3</v>
      </c>
      <c r="G3" s="38">
        <f>(DATA!G5-DATA!G4)/DATA!G4</f>
        <v>0</v>
      </c>
      <c r="H3" s="38">
        <f>(DATA!H5-DATA!H4)/DATA!H4</f>
        <v>0</v>
      </c>
      <c r="I3" s="38">
        <f>(DATA!I5-DATA!I4)/DATA!I4</f>
        <v>2.3622047244094547E-2</v>
      </c>
      <c r="J3" s="38">
        <f>(DATA!J5-DATA!J4)/DATA!J4</f>
        <v>-1.32450331125825E-3</v>
      </c>
      <c r="K3" s="38">
        <f>(DATA!K5-DATA!K4)/DATA!K4</f>
        <v>2.0449897750512628E-3</v>
      </c>
      <c r="L3" s="38">
        <f>(DATA!L5-DATA!L4)/DATA!L4</f>
        <v>-1.1484823625922789E-2</v>
      </c>
      <c r="M3" s="38">
        <f>(DATA!M5-DATA!M4)/DATA!M4</f>
        <v>0</v>
      </c>
      <c r="N3" s="38">
        <f>(DATA!N5-DATA!N4)/DATA!N4</f>
        <v>-7.8391658662975091E-4</v>
      </c>
    </row>
    <row r="4" spans="1:14" x14ac:dyDescent="0.3">
      <c r="A4" s="6">
        <v>45272</v>
      </c>
      <c r="B4" s="38">
        <f>(DATA!B6-DATA!B5)/DATA!B5</f>
        <v>1.3439635535307595E-2</v>
      </c>
      <c r="C4" s="38">
        <f>(DATA!C6-DATA!C5)/DATA!C5</f>
        <v>0</v>
      </c>
      <c r="D4" s="38">
        <f>(DATA!D6-DATA!D5)/DATA!D5</f>
        <v>-1.6666666666666653E-2</v>
      </c>
      <c r="E4" s="38">
        <f>(DATA!E6-DATA!E5)/DATA!E5</f>
        <v>8.4337349397588558E-3</v>
      </c>
      <c r="F4" s="38">
        <f>(DATA!F6-DATA!F5)/DATA!F5</f>
        <v>-1.2224938875305363E-3</v>
      </c>
      <c r="G4" s="38">
        <f>(DATA!G6-DATA!G5)/DATA!G5</f>
        <v>1.4778325123152686E-2</v>
      </c>
      <c r="H4" s="38">
        <f>(DATA!H6-DATA!H5)/DATA!H5</f>
        <v>0</v>
      </c>
      <c r="I4" s="38">
        <f>(DATA!I6-DATA!I5)/DATA!I5</f>
        <v>0</v>
      </c>
      <c r="J4" s="38">
        <f>(DATA!J6-DATA!J5)/DATA!J5</f>
        <v>0</v>
      </c>
      <c r="K4" s="38">
        <f>(DATA!K6-DATA!K5)/DATA!K5</f>
        <v>-1.0204081632653206E-2</v>
      </c>
      <c r="L4" s="38">
        <f>(DATA!L6-DATA!L5)/DATA!L5</f>
        <v>1.1618257261410688E-2</v>
      </c>
      <c r="M4" s="38">
        <f>(DATA!M6-DATA!M5)/DATA!M5</f>
        <v>2.4216524216524333E-2</v>
      </c>
      <c r="N4" s="38">
        <f>(DATA!N6-DATA!N5)/DATA!N5</f>
        <v>1.8793890184173234E-3</v>
      </c>
    </row>
    <row r="5" spans="1:14" x14ac:dyDescent="0.3">
      <c r="A5" s="6">
        <v>45273</v>
      </c>
      <c r="B5" s="38">
        <f>(DATA!B7-DATA!B6)/DATA!B6</f>
        <v>-8.9907844459427165E-4</v>
      </c>
      <c r="C5" s="38">
        <f>(DATA!C7-DATA!C6)/DATA!C6</f>
        <v>0</v>
      </c>
      <c r="D5" s="38">
        <f>(DATA!D7-DATA!D6)/DATA!D6</f>
        <v>-9.1264667535854351E-3</v>
      </c>
      <c r="E5" s="38">
        <f>(DATA!E7-DATA!E6)/DATA!E6</f>
        <v>-2.3894862604539515E-3</v>
      </c>
      <c r="F5" s="38">
        <f>(DATA!F7-DATA!F6)/DATA!F6</f>
        <v>-2.4479804161566185E-3</v>
      </c>
      <c r="G5" s="38">
        <f>(DATA!G7-DATA!G6)/DATA!G6</f>
        <v>0</v>
      </c>
      <c r="H5" s="38">
        <f>(DATA!H7-DATA!H6)/DATA!H6</f>
        <v>0</v>
      </c>
      <c r="I5" s="38">
        <f>(DATA!I7-DATA!I6)/DATA!I6</f>
        <v>4.3076923076923117E-2</v>
      </c>
      <c r="J5" s="38">
        <f>(DATA!J7-DATA!J6)/DATA!J6</f>
        <v>-1.3262599469495739E-3</v>
      </c>
      <c r="K5" s="38">
        <f>(DATA!K7-DATA!K6)/DATA!K6</f>
        <v>-2.061855670103049E-3</v>
      </c>
      <c r="L5" s="38">
        <f>(DATA!L7-DATA!L6)/DATA!L6</f>
        <v>-7.3831009023789876E-3</v>
      </c>
      <c r="M5" s="38">
        <f>(DATA!M7-DATA!M6)/DATA!M6</f>
        <v>-2.7816411682893547E-3</v>
      </c>
      <c r="N5" s="38">
        <f>(DATA!N7-DATA!N6)/DATA!N6</f>
        <v>-1.0208781175947398E-4</v>
      </c>
    </row>
    <row r="6" spans="1:14" x14ac:dyDescent="0.3">
      <c r="A6" s="6">
        <v>45274</v>
      </c>
      <c r="B6" s="38">
        <f>(DATA!B8-DATA!B7)/DATA!B7</f>
        <v>7.8740157480313676E-3</v>
      </c>
      <c r="C6" s="38">
        <f>(DATA!C8-DATA!C7)/DATA!C7</f>
        <v>0</v>
      </c>
      <c r="D6" s="38">
        <f>(DATA!D8-DATA!D7)/DATA!D7</f>
        <v>0</v>
      </c>
      <c r="E6" s="38">
        <f>(DATA!E8-DATA!E7)/DATA!E7</f>
        <v>1.1976047904191363E-3</v>
      </c>
      <c r="F6" s="38">
        <f>(DATA!F8-DATA!F7)/DATA!F7</f>
        <v>-1.2269938650306704E-2</v>
      </c>
      <c r="G6" s="38">
        <f>(DATA!G8-DATA!G7)/DATA!G7</f>
        <v>1.1326860841423994E-2</v>
      </c>
      <c r="H6" s="38">
        <f>(DATA!H8-DATA!H7)/DATA!H7</f>
        <v>-5.9701492537322768E-4</v>
      </c>
      <c r="I6" s="38">
        <f>(DATA!I8-DATA!I7)/DATA!I7</f>
        <v>4.4247787610618523E-3</v>
      </c>
      <c r="J6" s="38">
        <f>(DATA!J8-DATA!J7)/DATA!J7</f>
        <v>1.4608233731739632E-2</v>
      </c>
      <c r="K6" s="38">
        <f>(DATA!K8-DATA!K7)/DATA!K7</f>
        <v>2.0661157024792947E-3</v>
      </c>
      <c r="L6" s="38">
        <f>(DATA!L8-DATA!L7)/DATA!L7</f>
        <v>0</v>
      </c>
      <c r="M6" s="38">
        <f>(DATA!M8-DATA!M7)/DATA!M7</f>
        <v>4.1841004184100762E-3</v>
      </c>
      <c r="N6" s="38">
        <f>(DATA!N8-DATA!N7)/DATA!N7</f>
        <v>3.4771410173858402E-3</v>
      </c>
    </row>
    <row r="7" spans="1:14" x14ac:dyDescent="0.3">
      <c r="A7" s="6">
        <v>45275</v>
      </c>
      <c r="B7" s="38">
        <f>(DATA!B9-DATA!B8)/DATA!B8</f>
        <v>4.2410714285715367E-3</v>
      </c>
      <c r="C7" s="38">
        <f>(DATA!C9-DATA!C8)/DATA!C8</f>
        <v>0</v>
      </c>
      <c r="D7" s="38">
        <f>(DATA!D9-DATA!D8)/DATA!D8</f>
        <v>0</v>
      </c>
      <c r="E7" s="38">
        <f>(DATA!E9-DATA!E8)/DATA!E8</f>
        <v>1.315789473684225E-2</v>
      </c>
      <c r="F7" s="38">
        <f>(DATA!F9-DATA!F8)/DATA!F8</f>
        <v>-6.2111801242236905E-3</v>
      </c>
      <c r="G7" s="38">
        <f>(DATA!G9-DATA!G8)/DATA!G8</f>
        <v>-1.0400000000000062E-2</v>
      </c>
      <c r="H7" s="38">
        <f>(DATA!H9-DATA!H8)/DATA!H8</f>
        <v>-5.3763440860214971E-3</v>
      </c>
      <c r="I7" s="38">
        <f>(DATA!I9-DATA!I8)/DATA!I8</f>
        <v>1.7621145374449355E-2</v>
      </c>
      <c r="J7" s="38">
        <f>(DATA!J9-DATA!J8)/DATA!J8</f>
        <v>5.2356020942408424E-3</v>
      </c>
      <c r="K7" s="38">
        <f>(DATA!K9-DATA!K8)/DATA!K8</f>
        <v>2.061855670103232E-3</v>
      </c>
      <c r="L7" s="38">
        <f>(DATA!L9-DATA!L8)/DATA!L8</f>
        <v>-4.1322314049585893E-3</v>
      </c>
      <c r="M7" s="38">
        <f>(DATA!M9-DATA!M8)/DATA!M8</f>
        <v>-1.111111111111112E-2</v>
      </c>
      <c r="N7" s="38">
        <f>(DATA!N9-DATA!N8)/DATA!N8</f>
        <v>-3.214199826110234E-4</v>
      </c>
    </row>
    <row r="8" spans="1:14" x14ac:dyDescent="0.3">
      <c r="A8" s="6">
        <v>45278</v>
      </c>
      <c r="B8" s="38">
        <f>(DATA!B10-DATA!B9)/DATA!B9</f>
        <v>2.2227161591460346E-4</v>
      </c>
      <c r="C8" s="38">
        <f>(DATA!C10-DATA!C9)/DATA!C9</f>
        <v>0</v>
      </c>
      <c r="D8" s="38">
        <f>(DATA!D10-DATA!D9)/DATA!D9</f>
        <v>-6.5789473684209126E-4</v>
      </c>
      <c r="E8" s="38">
        <f>(DATA!E10-DATA!E9)/DATA!E9</f>
        <v>1.1806375442738827E-3</v>
      </c>
      <c r="F8" s="38">
        <f>(DATA!F10-DATA!F9)/DATA!F9</f>
        <v>0</v>
      </c>
      <c r="G8" s="38">
        <f>(DATA!G10-DATA!G9)/DATA!G9</f>
        <v>-2.1827000808407403E-2</v>
      </c>
      <c r="H8" s="38">
        <f>(DATA!H10-DATA!H9)/DATA!H9</f>
        <v>0</v>
      </c>
      <c r="I8" s="38">
        <f>(DATA!I10-DATA!I9)/DATA!I9</f>
        <v>1.0101010101010142E-2</v>
      </c>
      <c r="J8" s="38">
        <f>(DATA!J10-DATA!J9)/DATA!J9</f>
        <v>-2.6041666666666114E-3</v>
      </c>
      <c r="K8" s="38">
        <f>(DATA!K10-DATA!K9)/DATA!K9</f>
        <v>0</v>
      </c>
      <c r="L8" s="38">
        <f>(DATA!L10-DATA!L9)/DATA!L9</f>
        <v>1.1618257261410688E-2</v>
      </c>
      <c r="M8" s="38">
        <f>(DATA!M10-DATA!M9)/DATA!M9</f>
        <v>1.4044943820224668E-2</v>
      </c>
      <c r="N8" s="38">
        <f>(DATA!N10-DATA!N9)/DATA!N9</f>
        <v>-3.0255576347911202E-3</v>
      </c>
    </row>
    <row r="9" spans="1:14" x14ac:dyDescent="0.3">
      <c r="A9" s="6">
        <v>45279</v>
      </c>
      <c r="B9" s="38">
        <f>(DATA!B11-DATA!B10)/DATA!B10</f>
        <v>-6.6666666666666038E-3</v>
      </c>
      <c r="C9" s="38">
        <f>(DATA!C11-DATA!C10)/DATA!C10</f>
        <v>-4.3478260869565834E-3</v>
      </c>
      <c r="D9" s="38">
        <f>(DATA!D11-DATA!D10)/DATA!D10</f>
        <v>-6.583278472679371E-3</v>
      </c>
      <c r="E9" s="38">
        <f>(DATA!E11-DATA!E10)/DATA!E10</f>
        <v>2.3584905660376855E-3</v>
      </c>
      <c r="F9" s="38">
        <f>(DATA!F11-DATA!F10)/DATA!F10</f>
        <v>-3.7500000000000311E-3</v>
      </c>
      <c r="G9" s="38">
        <f>(DATA!G11-DATA!G10)/DATA!G10</f>
        <v>8.2644628099173261E-3</v>
      </c>
      <c r="H9" s="38">
        <f>(DATA!H11-DATA!H10)/DATA!H10</f>
        <v>-1.5015015015015017E-2</v>
      </c>
      <c r="I9" s="38">
        <f>(DATA!I11-DATA!I10)/DATA!I10</f>
        <v>0</v>
      </c>
      <c r="J9" s="38">
        <f>(DATA!J11-DATA!J10)/DATA!J10</f>
        <v>-2.6109660574413136E-3</v>
      </c>
      <c r="K9" s="38">
        <f>(DATA!K11-DATA!K10)/DATA!K10</f>
        <v>0</v>
      </c>
      <c r="L9" s="38">
        <f>(DATA!L11-DATA!L10)/DATA!L10</f>
        <v>-9.8441345365052682E-3</v>
      </c>
      <c r="M9" s="38">
        <f>(DATA!M11-DATA!M10)/DATA!M10</f>
        <v>-2.7700831024930158E-3</v>
      </c>
      <c r="N9" s="38">
        <f>(DATA!N11-DATA!N10)/DATA!N10</f>
        <v>-4.6402743331198554E-6</v>
      </c>
    </row>
    <row r="10" spans="1:14" x14ac:dyDescent="0.3">
      <c r="A10" s="6">
        <v>45280</v>
      </c>
      <c r="B10" s="38">
        <f>(DATA!B12-DATA!B11)/DATA!B11</f>
        <v>-4.4742729306488328E-3</v>
      </c>
      <c r="C10" s="38">
        <f>(DATA!C12-DATA!C11)/DATA!C11</f>
        <v>4.366812227074298E-3</v>
      </c>
      <c r="D10" s="38">
        <f>(DATA!D12-DATA!D11)/DATA!D11</f>
        <v>-5.9642147117296125E-3</v>
      </c>
      <c r="E10" s="38">
        <f>(DATA!E12-DATA!E11)/DATA!E11</f>
        <v>5.8823529411765538E-3</v>
      </c>
      <c r="F10" s="38">
        <f>(DATA!F12-DATA!F11)/DATA!F11</f>
        <v>0</v>
      </c>
      <c r="G10" s="38">
        <f>(DATA!G12-DATA!G11)/DATA!G11</f>
        <v>1.4754098360655861E-2</v>
      </c>
      <c r="H10" s="38">
        <f>(DATA!H12-DATA!H11)/DATA!H11</f>
        <v>3.0487804878049215E-3</v>
      </c>
      <c r="I10" s="38">
        <f>(DATA!I12-DATA!I11)/DATA!I11</f>
        <v>-8.5714285714285163E-3</v>
      </c>
      <c r="J10" s="38">
        <f>(DATA!J12-DATA!J11)/DATA!J11</f>
        <v>0</v>
      </c>
      <c r="K10" s="38">
        <f>(DATA!K12-DATA!K11)/DATA!K11</f>
        <v>0</v>
      </c>
      <c r="L10" s="38">
        <f>(DATA!L12-DATA!L11)/DATA!L11</f>
        <v>0</v>
      </c>
      <c r="M10" s="38">
        <f>(DATA!M12-DATA!M11)/DATA!M11</f>
        <v>0</v>
      </c>
      <c r="N10" s="38">
        <f>(DATA!N12-DATA!N11)/DATA!N11</f>
        <v>-3.3642145023056952E-5</v>
      </c>
    </row>
    <row r="11" spans="1:14" x14ac:dyDescent="0.3">
      <c r="A11" s="6">
        <v>45281</v>
      </c>
      <c r="B11" s="38">
        <f>(DATA!B13-DATA!B12)/DATA!B12</f>
        <v>-4.4943820224719738E-3</v>
      </c>
      <c r="C11" s="38">
        <f>(DATA!C13-DATA!C12)/DATA!C12</f>
        <v>-4.3478260869565834E-3</v>
      </c>
      <c r="D11" s="38">
        <f>(DATA!D13-DATA!D12)/DATA!D12</f>
        <v>0</v>
      </c>
      <c r="E11" s="38">
        <f>(DATA!E13-DATA!E12)/DATA!E12</f>
        <v>-1.6374269005848017E-2</v>
      </c>
      <c r="F11" s="38">
        <f>(DATA!F13-DATA!F12)/DATA!F12</f>
        <v>-2.5094102885821297E-3</v>
      </c>
      <c r="G11" s="38">
        <f>(DATA!G13-DATA!G12)/DATA!G12</f>
        <v>-2.2617124394184257E-2</v>
      </c>
      <c r="H11" s="38">
        <f>(DATA!H13-DATA!H12)/DATA!H12</f>
        <v>-5.4711246200607822E-3</v>
      </c>
      <c r="I11" s="38">
        <f>(DATA!I13-DATA!I12)/DATA!I12</f>
        <v>2.1613832853025858E-2</v>
      </c>
      <c r="J11" s="38">
        <f>(DATA!J13-DATA!J12)/DATA!J12</f>
        <v>-1.439790575916223E-2</v>
      </c>
      <c r="K11" s="38">
        <f>(DATA!K13-DATA!K12)/DATA!K12</f>
        <v>0</v>
      </c>
      <c r="L11" s="38">
        <f>(DATA!L13-DATA!L12)/DATA!L12</f>
        <v>0</v>
      </c>
      <c r="M11" s="38">
        <f>(DATA!M13-DATA!M12)/DATA!M12</f>
        <v>4.1666666666667013E-3</v>
      </c>
      <c r="N11" s="38">
        <f>(DATA!N13-DATA!N12)/DATA!N12</f>
        <v>-3.1833500582957369E-3</v>
      </c>
    </row>
    <row r="12" spans="1:14" x14ac:dyDescent="0.3">
      <c r="A12" s="6">
        <v>45282</v>
      </c>
      <c r="B12" s="38">
        <f>(DATA!B14-DATA!B13)/DATA!B13</f>
        <v>1.4898419864559904E-2</v>
      </c>
      <c r="C12" s="38">
        <f>(DATA!C14-DATA!C13)/DATA!C13</f>
        <v>-1.3100436681222584E-2</v>
      </c>
      <c r="D12" s="38">
        <f>(DATA!D14-DATA!D13)/DATA!D13</f>
        <v>3.8666666666666669E-2</v>
      </c>
      <c r="E12" s="38">
        <f>(DATA!E14-DATA!E13)/DATA!E13</f>
        <v>1.3079667063020146E-2</v>
      </c>
      <c r="F12" s="38">
        <f>(DATA!F14-DATA!F13)/DATA!F13</f>
        <v>0</v>
      </c>
      <c r="G12" s="38">
        <f>(DATA!G14-DATA!G13)/DATA!G13</f>
        <v>0</v>
      </c>
      <c r="H12" s="38">
        <f>(DATA!H14-DATA!H13)/DATA!H13</f>
        <v>1.466992665036687E-2</v>
      </c>
      <c r="I12" s="38">
        <f>(DATA!I14-DATA!I13)/DATA!I13</f>
        <v>1.4104372355429884E-3</v>
      </c>
      <c r="J12" s="38">
        <f>(DATA!J14-DATA!J13)/DATA!J13</f>
        <v>1.1952191235059742E-2</v>
      </c>
      <c r="K12" s="38">
        <f>(DATA!K14-DATA!K13)/DATA!K13</f>
        <v>6.1728395061727073E-3</v>
      </c>
      <c r="L12" s="38">
        <f>(DATA!L14-DATA!L13)/DATA!L13</f>
        <v>1.6570008285003788E-3</v>
      </c>
      <c r="M12" s="38">
        <f>(DATA!M14-DATA!M13)/DATA!M13</f>
        <v>1.3831258644536604E-2</v>
      </c>
      <c r="N12" s="38">
        <f>(DATA!N14-DATA!N13)/DATA!N13</f>
        <v>1.9459034194131036E-3</v>
      </c>
    </row>
    <row r="13" spans="1:14" x14ac:dyDescent="0.3">
      <c r="A13" s="6">
        <v>45285</v>
      </c>
      <c r="B13" s="38">
        <f>(DATA!B15-DATA!B14)/DATA!B14</f>
        <v>-4.4483985765131508E-4</v>
      </c>
      <c r="C13" s="38">
        <f>(DATA!C15-DATA!C14)/DATA!C14</f>
        <v>2.6548672566371113E-3</v>
      </c>
      <c r="D13" s="38">
        <f>(DATA!D15-DATA!D14)/DATA!D14</f>
        <v>-5.1347881899871679E-3</v>
      </c>
      <c r="E13" s="38">
        <f>(DATA!E15-DATA!E14)/DATA!E14</f>
        <v>-2.347417840375537E-3</v>
      </c>
      <c r="F13" s="38">
        <f>(DATA!F15-DATA!F14)/DATA!F14</f>
        <v>0</v>
      </c>
      <c r="G13" s="38">
        <f>(DATA!G15-DATA!G14)/DATA!G14</f>
        <v>-8.2644628099173261E-3</v>
      </c>
      <c r="H13" s="38">
        <f>(DATA!H15-DATA!H14)/DATA!H14</f>
        <v>0</v>
      </c>
      <c r="I13" s="38">
        <f>(DATA!I15-DATA!I14)/DATA!I14</f>
        <v>-3.5211267605633804E-2</v>
      </c>
      <c r="J13" s="38">
        <f>(DATA!J15-DATA!J14)/DATA!J14</f>
        <v>3.9370078740157809E-3</v>
      </c>
      <c r="K13" s="38">
        <f>(DATA!K15-DATA!K14)/DATA!K14</f>
        <v>-6.1349693251532443E-3</v>
      </c>
      <c r="L13" s="38">
        <f>(DATA!L15-DATA!L14)/DATA!L14</f>
        <v>-8.2712985938790623E-4</v>
      </c>
      <c r="M13" s="38">
        <f>(DATA!M15-DATA!M14)/DATA!M14</f>
        <v>9.5497953615280053E-3</v>
      </c>
      <c r="N13" s="38">
        <f>(DATA!N15-DATA!N14)/DATA!N14</f>
        <v>-1.0163628612879583E-3</v>
      </c>
    </row>
    <row r="14" spans="1:14" x14ac:dyDescent="0.3">
      <c r="A14" s="6">
        <v>45286</v>
      </c>
      <c r="B14" s="38">
        <f>(DATA!B16-DATA!B15)/DATA!B15</f>
        <v>1.3351134846462456E-3</v>
      </c>
      <c r="C14" s="38">
        <f>(DATA!C16-DATA!C15)/DATA!C15</f>
        <v>6.1782877316858146E-3</v>
      </c>
      <c r="D14" s="38">
        <f>(DATA!D16-DATA!D15)/DATA!D15</f>
        <v>-8.3870967741935983E-3</v>
      </c>
      <c r="E14" s="38">
        <f>(DATA!E16-DATA!E15)/DATA!E15</f>
        <v>0</v>
      </c>
      <c r="F14" s="38">
        <f>(DATA!F16-DATA!F15)/DATA!F15</f>
        <v>0</v>
      </c>
      <c r="G14" s="38">
        <f>(DATA!G16-DATA!G15)/DATA!G15</f>
        <v>0</v>
      </c>
      <c r="H14" s="38">
        <f>(DATA!H16-DATA!H15)/DATA!H15</f>
        <v>0</v>
      </c>
      <c r="I14" s="38">
        <f>(DATA!I16-DATA!I15)/DATA!I15</f>
        <v>2.919708029197083E-2</v>
      </c>
      <c r="J14" s="38">
        <f>(DATA!J16-DATA!J15)/DATA!J15</f>
        <v>0</v>
      </c>
      <c r="K14" s="38">
        <f>(DATA!K16-DATA!K15)/DATA!K15</f>
        <v>0</v>
      </c>
      <c r="L14" s="38">
        <f>(DATA!L16-DATA!L15)/DATA!L15</f>
        <v>-1.4900662251655606E-2</v>
      </c>
      <c r="M14" s="38">
        <f>(DATA!M16-DATA!M15)/DATA!M15</f>
        <v>1.081081081081082E-2</v>
      </c>
      <c r="N14" s="38">
        <f>(DATA!N16-DATA!N15)/DATA!N15</f>
        <v>1.0406516921346184E-3</v>
      </c>
    </row>
    <row r="15" spans="1:14" x14ac:dyDescent="0.3">
      <c r="A15" s="80"/>
      <c r="B15" s="38">
        <f>(DATA!B17-DATA!B16)/DATA!B16</f>
        <v>1.9555555555555611E-2</v>
      </c>
      <c r="C15" s="38">
        <f>(DATA!C17-DATA!C16)/DATA!C16</f>
        <v>4.3859649122806078E-3</v>
      </c>
      <c r="D15" s="38">
        <f>(DATA!D17-DATA!D16)/DATA!D16</f>
        <v>-7.807417046193834E-3</v>
      </c>
      <c r="E15" s="38">
        <f>(DATA!E17-DATA!E16)/DATA!E16</f>
        <v>7.0588235294118231E-3</v>
      </c>
      <c r="F15" s="38">
        <f>(DATA!F17-DATA!F16)/DATA!F16</f>
        <v>1.0062893081760903E-2</v>
      </c>
      <c r="G15" s="38">
        <f>(DATA!G17-DATA!G16)/DATA!G16</f>
        <v>4.1666666666667256E-3</v>
      </c>
      <c r="H15" s="38">
        <f>(DATA!H17-DATA!H16)/DATA!H16</f>
        <v>-1.2048192771086221E-3</v>
      </c>
      <c r="I15" s="38">
        <f>(DATA!I17-DATA!I16)/DATA!I16</f>
        <v>7.0921985815602584E-3</v>
      </c>
      <c r="J15" s="38">
        <f>(DATA!J17-DATA!J16)/DATA!J16</f>
        <v>-2.6143790849673804E-3</v>
      </c>
      <c r="K15" s="38">
        <f>(DATA!K17-DATA!K16)/DATA!K16</f>
        <v>2.8806584362139849E-2</v>
      </c>
      <c r="L15" s="38">
        <f>(DATA!L17-DATA!L16)/DATA!L16</f>
        <v>1.5126050420168043E-2</v>
      </c>
      <c r="M15" s="38">
        <f>(DATA!M17-DATA!M16)/DATA!M16</f>
        <v>0</v>
      </c>
      <c r="N15" s="81"/>
    </row>
    <row r="16" spans="1:14" x14ac:dyDescent="0.3">
      <c r="A16" s="50" t="s">
        <v>54</v>
      </c>
      <c r="B16" s="51">
        <f t="shared" ref="B16:J16" si="1">_xlfn.COVARIANCE.S(B3:B14,$N$3:$N$14)/_xlfn.VAR.S($N$3:$N$14)</f>
        <v>2.23255733630304</v>
      </c>
      <c r="C16" s="51">
        <f t="shared" si="1"/>
        <v>-0.19592136965008466</v>
      </c>
      <c r="D16" s="51">
        <f t="shared" si="1"/>
        <v>0.87654919228822048</v>
      </c>
      <c r="E16" s="51">
        <f t="shared" si="1"/>
        <v>2.5130228208298444</v>
      </c>
      <c r="F16" s="51">
        <f t="shared" si="1"/>
        <v>-0.79744623185851249</v>
      </c>
      <c r="G16" s="51">
        <f t="shared" si="1"/>
        <v>5.205839663253224</v>
      </c>
      <c r="H16" s="51">
        <f t="shared" si="1"/>
        <v>1.0950391147515885</v>
      </c>
      <c r="I16" s="51">
        <f t="shared" si="1"/>
        <v>-1.0161410371516859</v>
      </c>
      <c r="J16" s="51">
        <f t="shared" si="1"/>
        <v>2.9708199035462566</v>
      </c>
      <c r="K16" s="51">
        <f t="shared" ref="K16" si="2">_xlfn.COVARIANCE.S(K3:K14,$N$3:$N$14)/_xlfn.VAR.S($N$3:$N$14)</f>
        <v>9.9515859234206583E-2</v>
      </c>
      <c r="L16" s="51">
        <f>_xlfn.COVARIANCE.S(L3:L14,$N$3:$N$14)/_xlfn.VAR.S($N$3:$N$14)</f>
        <v>-0.33411634526280543</v>
      </c>
      <c r="M16" s="51">
        <f>_xlfn.COVARIANCE.S(M3:M14,$N$3:$N$14)/_xlfn.VAR.S($N$3:$N$14)</f>
        <v>0.89823623529697005</v>
      </c>
    </row>
    <row r="19" spans="1:15" ht="18" x14ac:dyDescent="0.35">
      <c r="A19" s="97" t="s">
        <v>25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</row>
    <row r="20" spans="1:15" ht="15.6" x14ac:dyDescent="0.3">
      <c r="A20" s="22" t="s">
        <v>23</v>
      </c>
      <c r="B20" s="7" t="s">
        <v>13</v>
      </c>
      <c r="C20" s="7" t="s">
        <v>14</v>
      </c>
      <c r="D20" s="7" t="s">
        <v>15</v>
      </c>
      <c r="E20" s="7" t="s">
        <v>16</v>
      </c>
      <c r="F20" s="7" t="s">
        <v>17</v>
      </c>
      <c r="G20" s="7" t="s">
        <v>18</v>
      </c>
      <c r="H20" s="7" t="s">
        <v>19</v>
      </c>
      <c r="I20" s="7" t="s">
        <v>20</v>
      </c>
      <c r="J20" s="7" t="s">
        <v>21</v>
      </c>
      <c r="K20" s="7" t="s">
        <v>22</v>
      </c>
      <c r="L20" s="24" t="s">
        <v>45</v>
      </c>
      <c r="M20" s="24" t="s">
        <v>70</v>
      </c>
      <c r="N20" s="24" t="s">
        <v>62</v>
      </c>
      <c r="O20" s="24" t="s">
        <v>63</v>
      </c>
    </row>
    <row r="21" spans="1:15" ht="15.6" x14ac:dyDescent="0.3">
      <c r="A21" s="23">
        <v>45271</v>
      </c>
      <c r="B21" s="52">
        <f>(DATA!B5-DATA!B26)/DATA!B5</f>
        <v>-1.8223234624145399E-3</v>
      </c>
      <c r="C21" s="52" t="str">
        <f>"-"</f>
        <v>-</v>
      </c>
      <c r="D21" s="52">
        <f>(DATA!D5-DATA!D26)/DATA!D5</f>
        <v>0</v>
      </c>
      <c r="E21" s="52">
        <f>(DATA!E5-DATA!E26)/DATA!E5</f>
        <v>0</v>
      </c>
      <c r="F21" s="52">
        <f>(DATA!F5-DATA!F26)/DATA!F5</f>
        <v>0</v>
      </c>
      <c r="G21" s="52" t="str">
        <f>"-"</f>
        <v>-</v>
      </c>
      <c r="H21" s="52" t="str">
        <f>"-"</f>
        <v>-</v>
      </c>
      <c r="I21" s="52" t="str">
        <f>"-"</f>
        <v>-</v>
      </c>
      <c r="J21" s="52" t="str">
        <f>"-"</f>
        <v>-</v>
      </c>
      <c r="K21" s="52">
        <f>(DATA!K5-DATA!K26)/DATA!K5</f>
        <v>0</v>
      </c>
      <c r="L21" s="52" t="str">
        <f>"-"</f>
        <v>-</v>
      </c>
      <c r="M21" s="52" t="str">
        <f>"-"</f>
        <v>-</v>
      </c>
      <c r="N21" s="52">
        <f>SUMPRODUCT(B21:M21,DATA!B45:M45)</f>
        <v>-9.8994300737390625E-4</v>
      </c>
      <c r="O21" s="52">
        <f>MIN(0,N21-target)^2</f>
        <v>9.6037656760028284E-4</v>
      </c>
    </row>
    <row r="22" spans="1:15" ht="15.6" x14ac:dyDescent="0.3">
      <c r="A22" s="23">
        <v>45272</v>
      </c>
      <c r="B22" s="52">
        <f>(DATA!B6-DATA!B27)/DATA!B6</f>
        <v>1.1463250168577323E-2</v>
      </c>
      <c r="C22" s="52" t="str">
        <f>"-"</f>
        <v>-</v>
      </c>
      <c r="D22" s="52">
        <f>(DATA!D6-DATA!D27)/DATA!D6</f>
        <v>-1.6949152542372867E-2</v>
      </c>
      <c r="E22" s="52">
        <f>(DATA!E6-DATA!E27)/DATA!E6</f>
        <v>8.3632019115888311E-3</v>
      </c>
      <c r="F22" s="52">
        <f>(DATA!F6-DATA!F27)/DATA!F6</f>
        <v>-1.2239902080783092E-3</v>
      </c>
      <c r="G22" s="52" t="str">
        <f t="shared" ref="G22:G24" si="3">"-"</f>
        <v>-</v>
      </c>
      <c r="H22" s="52" t="str">
        <f t="shared" ref="H22:H25" si="4">"-"</f>
        <v>-</v>
      </c>
      <c r="I22" s="52" t="str">
        <f t="shared" ref="I22:I25" si="5">"-"</f>
        <v>-</v>
      </c>
      <c r="J22" s="52" t="str">
        <f t="shared" ref="J22:J25" si="6">"-"</f>
        <v>-</v>
      </c>
      <c r="K22" s="52">
        <f>(DATA!K6-DATA!K27)/DATA!K6</f>
        <v>-1.0309278350515611E-2</v>
      </c>
      <c r="L22" s="52" t="str">
        <f t="shared" ref="L22:M32" si="7">"-"</f>
        <v>-</v>
      </c>
      <c r="M22" s="52" t="str">
        <f t="shared" si="7"/>
        <v>-</v>
      </c>
      <c r="N22" s="52">
        <f>SUMPRODUCT(B22:M22,DATA!B46:M46)</f>
        <v>3.0710700938685054E-3</v>
      </c>
      <c r="O22" s="52">
        <f t="shared" ref="O22:O32" si="8">MIN(0,N22-target)^2</f>
        <v>7.2516726588934318E-4</v>
      </c>
    </row>
    <row r="23" spans="1:15" ht="15.6" x14ac:dyDescent="0.3">
      <c r="A23" s="23">
        <v>45273</v>
      </c>
      <c r="B23" s="52">
        <f>(DATA!B7-DATA!B28)/DATA!B7</f>
        <v>1.0573678290213858E-2</v>
      </c>
      <c r="C23" s="52">
        <f>(DATA!C7-DATA!C28)/DATA!C7</f>
        <v>0</v>
      </c>
      <c r="D23" s="52">
        <f>(DATA!D7-DATA!D28/2)/DATA!D7</f>
        <v>-9.8684210526316027E-3</v>
      </c>
      <c r="E23" s="52">
        <f>(DATA!E7-DATA!E28)/DATA!E7</f>
        <v>5.9880239520956812E-3</v>
      </c>
      <c r="F23" s="52">
        <f>(DATA!F7-DATA!F28)/DATA!F7</f>
        <v>-3.680981595091946E-3</v>
      </c>
      <c r="G23" s="52" t="str">
        <f t="shared" si="3"/>
        <v>-</v>
      </c>
      <c r="H23" s="52" t="str">
        <f t="shared" si="4"/>
        <v>-</v>
      </c>
      <c r="I23" s="52" t="str">
        <f t="shared" si="5"/>
        <v>-</v>
      </c>
      <c r="J23" s="52" t="str">
        <f t="shared" si="6"/>
        <v>-</v>
      </c>
      <c r="K23" s="52">
        <f>(DATA!K7-DATA!K28)/DATA!K7</f>
        <v>-1.2396694214876136E-2</v>
      </c>
      <c r="L23" s="52" t="str">
        <f t="shared" si="7"/>
        <v>-</v>
      </c>
      <c r="M23" s="52" t="str">
        <f t="shared" si="7"/>
        <v>-</v>
      </c>
      <c r="N23" s="52">
        <f>SUMPRODUCT(B23:M23,DATA!B47:M47)</f>
        <v>1.1241745313263687E-3</v>
      </c>
      <c r="O23" s="52">
        <f t="shared" si="8"/>
        <v>8.3381329649730054E-4</v>
      </c>
    </row>
    <row r="24" spans="1:15" ht="15.6" x14ac:dyDescent="0.3">
      <c r="A24" s="23">
        <v>45274</v>
      </c>
      <c r="B24" s="52">
        <f>(DATA!B8-DATA!B29)/DATA!B8</f>
        <v>1.8303571428571436E-2</v>
      </c>
      <c r="C24" s="52">
        <f>(DATA!C8-DATA!C29)/DATA!C8</f>
        <v>0</v>
      </c>
      <c r="D24" s="52">
        <f>(DATA!D8-DATA!D29/2)/DATA!D8</f>
        <v>-9.8684210526316027E-3</v>
      </c>
      <c r="E24" s="52">
        <f>(DATA!E8-DATA!E29)/DATA!E8</f>
        <v>7.177033492822814E-3</v>
      </c>
      <c r="F24" s="52">
        <f>(DATA!F8-DATA!F29)/DATA!F8</f>
        <v>-1.6149068322981242E-2</v>
      </c>
      <c r="G24" s="52" t="str">
        <f t="shared" si="3"/>
        <v>-</v>
      </c>
      <c r="H24" s="52" t="str">
        <f t="shared" si="4"/>
        <v>-</v>
      </c>
      <c r="I24" s="52" t="str">
        <f t="shared" si="5"/>
        <v>-</v>
      </c>
      <c r="J24" s="52" t="str">
        <f t="shared" si="6"/>
        <v>-</v>
      </c>
      <c r="K24" s="52">
        <f>(DATA!K8-DATA!K29)/DATA!K8</f>
        <v>-1.0309278350515611E-2</v>
      </c>
      <c r="L24" s="52" t="str">
        <f t="shared" si="7"/>
        <v>-</v>
      </c>
      <c r="M24" s="52" t="str">
        <f t="shared" si="7"/>
        <v>-</v>
      </c>
      <c r="N24" s="52">
        <f>SUMPRODUCT(B24:M24,DATA!B48:M48)</f>
        <v>3.5234760162113975E-3</v>
      </c>
      <c r="O24" s="52">
        <f t="shared" si="8"/>
        <v>7.0100632226413303E-4</v>
      </c>
    </row>
    <row r="25" spans="1:15" ht="15.6" x14ac:dyDescent="0.3">
      <c r="A25" s="23">
        <v>45275</v>
      </c>
      <c r="B25" s="52">
        <f>(DATA!B9-DATA!B30)/DATA!B9</f>
        <v>2.2449433207379531E-2</v>
      </c>
      <c r="C25" s="52">
        <f>(DATA!C9-DATA!C30)/DATA!C9</f>
        <v>0</v>
      </c>
      <c r="D25" s="52">
        <f>(DATA!D9-DATA!D30/2)/DATA!D9</f>
        <v>-9.8684210526316027E-3</v>
      </c>
      <c r="E25" s="52">
        <f>(DATA!E9-DATA!E30)/DATA!E9</f>
        <v>2.0070838252656424E-2</v>
      </c>
      <c r="F25" s="52">
        <f>(DATA!F9-DATA!F30)/DATA!F9</f>
        <v>-2.2499999999999964E-2</v>
      </c>
      <c r="G25" s="52">
        <f>(DATA!G9-DATA!G30)/DATA!G9</f>
        <v>6.4672594987873946E-3</v>
      </c>
      <c r="H25" s="52" t="str">
        <f t="shared" si="4"/>
        <v>-</v>
      </c>
      <c r="I25" s="52" t="str">
        <f t="shared" si="5"/>
        <v>-</v>
      </c>
      <c r="J25" s="52" t="str">
        <f t="shared" si="6"/>
        <v>-</v>
      </c>
      <c r="K25" s="52">
        <f>(DATA!K9-DATA!K30)/DATA!K9</f>
        <v>-8.2304526748971252E-3</v>
      </c>
      <c r="L25" s="52" t="str">
        <f t="shared" si="7"/>
        <v>-</v>
      </c>
      <c r="M25" s="52" t="str">
        <f t="shared" si="7"/>
        <v>-</v>
      </c>
      <c r="N25" s="52">
        <f>SUMPRODUCT(B25:M25,DATA!B49:M49)</f>
        <v>5.8911715041711412E-3</v>
      </c>
      <c r="O25" s="52">
        <f t="shared" si="8"/>
        <v>5.8123561144128946E-4</v>
      </c>
    </row>
    <row r="26" spans="1:15" ht="15.6" x14ac:dyDescent="0.3">
      <c r="A26" s="23">
        <v>45278</v>
      </c>
      <c r="B26" s="52">
        <f>(DATA!B10-DATA!B31)/DATA!B10</f>
        <v>2.2666666666666738E-2</v>
      </c>
      <c r="C26" s="52">
        <f>(DATA!C10-DATA!C31)/DATA!C10</f>
        <v>0</v>
      </c>
      <c r="D26" s="52">
        <f>(DATA!D10-DATA!D31/2)/DATA!D10</f>
        <v>-1.0533245556287041E-2</v>
      </c>
      <c r="E26" s="52">
        <f>(DATA!E10-DATA!E31)/DATA!E10</f>
        <v>2.1226415094339587E-2</v>
      </c>
      <c r="F26" s="52">
        <f>(DATA!F10-DATA!F31)/DATA!F10</f>
        <v>-2.2499999999999964E-2</v>
      </c>
      <c r="G26" s="52">
        <f>(DATA!G10-DATA!G31)/DATA!G10</f>
        <v>-1.5702479338842935E-2</v>
      </c>
      <c r="H26" s="52">
        <f>(DATA!H10-DATA!H31)/DATA!H10</f>
        <v>0</v>
      </c>
      <c r="I26" s="52">
        <f>(DATA!I10-DATA!I31/2)/DATA!I10</f>
        <v>-1.7142857142857158E-2</v>
      </c>
      <c r="J26" s="52">
        <f>(DATA!J10-DATA!J31/2)/DATA!J10</f>
        <v>1.3054830287206335E-2</v>
      </c>
      <c r="K26" s="52" t="str">
        <f>"-"</f>
        <v>-</v>
      </c>
      <c r="L26" s="52" t="str">
        <f t="shared" si="7"/>
        <v>-</v>
      </c>
      <c r="M26" s="52" t="str">
        <f t="shared" si="7"/>
        <v>-</v>
      </c>
      <c r="N26" s="52">
        <f>SUMPRODUCT(B26:M26,DATA!B50:M50)</f>
        <v>2.6461846661214217E-3</v>
      </c>
      <c r="O26" s="52">
        <f t="shared" si="8"/>
        <v>7.4823121331993076E-4</v>
      </c>
    </row>
    <row r="27" spans="1:15" ht="15.6" x14ac:dyDescent="0.3">
      <c r="A27" s="23">
        <v>45279</v>
      </c>
      <c r="B27" s="52">
        <f>(DATA!B11-DATA!B32)/DATA!B11</f>
        <v>1.6107382550335704E-2</v>
      </c>
      <c r="C27" s="52">
        <f>(DATA!C11-DATA!C32)/DATA!C11</f>
        <v>-4.366812227074298E-3</v>
      </c>
      <c r="D27" s="52">
        <f>(DATA!D11-DATA!D32)/DATA!D11</f>
        <v>-1.7229953611663341E-2</v>
      </c>
      <c r="E27" s="52">
        <f>(DATA!E11-DATA!E32)/DATA!E11</f>
        <v>2.3529411764705799E-2</v>
      </c>
      <c r="F27" s="52">
        <f>(DATA!F11-DATA!F32)/DATA!F11</f>
        <v>-2.634880803011292E-2</v>
      </c>
      <c r="G27" s="52">
        <f>(DATA!G11-DATA!G32)/DATA!G11</f>
        <v>-7.3770491803278578E-3</v>
      </c>
      <c r="H27" s="52">
        <f>(DATA!H11-DATA!H32)/DATA!H11</f>
        <v>-1.5243902439024392E-2</v>
      </c>
      <c r="I27" s="52">
        <f>(DATA!I11-DATA!I32/2)/DATA!I11</f>
        <v>-1.7142857142857158E-2</v>
      </c>
      <c r="J27" s="52">
        <f>(DATA!J11-DATA!J32/2)/DATA!J11</f>
        <v>1.0471204188481685E-2</v>
      </c>
      <c r="K27" s="52" t="str">
        <f t="shared" ref="K27:K32" si="9">"-"</f>
        <v>-</v>
      </c>
      <c r="L27" s="52" t="str">
        <f t="shared" si="7"/>
        <v>-</v>
      </c>
      <c r="M27" s="52" t="str">
        <f t="shared" si="7"/>
        <v>-</v>
      </c>
      <c r="N27" s="52">
        <f>SUMPRODUCT(B27:M27,DATA!B51:M51)</f>
        <v>-3.9007736038950878E-4</v>
      </c>
      <c r="O27" s="52">
        <f t="shared" si="8"/>
        <v>9.2355680197045897E-4</v>
      </c>
    </row>
    <row r="28" spans="1:15" ht="15.6" x14ac:dyDescent="0.3">
      <c r="A28" s="23">
        <v>45280</v>
      </c>
      <c r="B28" s="52">
        <f>(DATA!B12-DATA!B33)/DATA!B12</f>
        <v>1.1685393258427037E-2</v>
      </c>
      <c r="C28" s="52">
        <f>(DATA!C12-DATA!C33)/DATA!C12</f>
        <v>0</v>
      </c>
      <c r="D28" s="52">
        <f>(DATA!D12-DATA!D33)/DATA!D12</f>
        <v>-2.333333333333331E-2</v>
      </c>
      <c r="E28" s="52">
        <f>(DATA!E12-DATA!E33)/DATA!E12</f>
        <v>2.9239766081871343E-2</v>
      </c>
      <c r="F28" s="52">
        <f>(DATA!F12-DATA!F33)/DATA!F12</f>
        <v>-2.634880803011292E-2</v>
      </c>
      <c r="G28" s="52">
        <f>(DATA!G12-DATA!G33)/DATA!G12</f>
        <v>7.2697899838450424E-3</v>
      </c>
      <c r="H28" s="52">
        <f>(DATA!H12-DATA!H33)/DATA!H12</f>
        <v>-1.2158054711246157E-2</v>
      </c>
      <c r="I28" s="52">
        <f>(DATA!I12-DATA!I33/2)/DATA!I12</f>
        <v>-2.5936599423631083E-2</v>
      </c>
      <c r="J28" s="52">
        <f>(DATA!J12-DATA!J33/2)/DATA!J12</f>
        <v>1.0471204188481685E-2</v>
      </c>
      <c r="K28" s="52" t="str">
        <f t="shared" si="9"/>
        <v>-</v>
      </c>
      <c r="L28" s="52" t="str">
        <f t="shared" si="7"/>
        <v>-</v>
      </c>
      <c r="M28" s="52" t="str">
        <f t="shared" si="7"/>
        <v>-</v>
      </c>
      <c r="N28" s="52">
        <f>SUMPRODUCT(B28:M28,DATA!B52:M52)</f>
        <v>-9.6960870044154467E-4</v>
      </c>
      <c r="O28" s="52">
        <f t="shared" si="8"/>
        <v>9.5911666305846456E-4</v>
      </c>
    </row>
    <row r="29" spans="1:15" ht="15.6" x14ac:dyDescent="0.3">
      <c r="A29" s="23">
        <v>45281</v>
      </c>
      <c r="B29" s="52">
        <f>(DATA!B13-DATA!B34)/DATA!B13</f>
        <v>7.2234762979684038E-3</v>
      </c>
      <c r="C29" s="52">
        <f>(DATA!C13-DATA!C34)/DATA!C13</f>
        <v>-4.366812227074298E-3</v>
      </c>
      <c r="D29" s="52">
        <f>(DATA!D13-DATA!D34)/DATA!D13</f>
        <v>-2.333333333333331E-2</v>
      </c>
      <c r="E29" s="52">
        <f>(DATA!E13-DATA!E34)/DATA!E13</f>
        <v>1.3079667063020146E-2</v>
      </c>
      <c r="F29" s="52">
        <f>(DATA!F13-DATA!F34/2)/DATA!F13</f>
        <v>-1.4465408805031362E-2</v>
      </c>
      <c r="G29" s="52">
        <f>(DATA!G13-DATA!G34/2)/DATA!G13</f>
        <v>-7.8512396694215402E-3</v>
      </c>
      <c r="H29" s="52">
        <f>(DATA!H13-DATA!H34)/DATA!H13</f>
        <v>-1.7726161369193104E-2</v>
      </c>
      <c r="I29" s="52">
        <f>(DATA!I13-DATA!I34/2)/DATA!I13</f>
        <v>-4.2313117066290901E-3</v>
      </c>
      <c r="J29" s="52">
        <f>(DATA!J13-DATA!J34/2)/DATA!J13</f>
        <v>-3.9840637450198352E-3</v>
      </c>
      <c r="K29" s="52" t="str">
        <f t="shared" si="9"/>
        <v>-</v>
      </c>
      <c r="L29" s="52" t="str">
        <f t="shared" si="7"/>
        <v>-</v>
      </c>
      <c r="M29" s="52" t="str">
        <f t="shared" si="7"/>
        <v>-</v>
      </c>
      <c r="N29" s="52">
        <f>SUMPRODUCT(B29:M29,DATA!B53:M53)</f>
        <v>-4.9655171553592533E-3</v>
      </c>
      <c r="O29" s="52">
        <f t="shared" si="8"/>
        <v>1.2225873899417224E-3</v>
      </c>
    </row>
    <row r="30" spans="1:15" ht="15.6" x14ac:dyDescent="0.3">
      <c r="A30" s="23">
        <v>45282</v>
      </c>
      <c r="B30" s="52">
        <f>(DATA!B14-DATA!B35)/DATA!B14</f>
        <v>2.1797153024911121E-2</v>
      </c>
      <c r="C30" s="52">
        <f>(DATA!C14-DATA!C35)/DATA!C14</f>
        <v>-1.7699115044247725E-2</v>
      </c>
      <c r="D30" s="52">
        <f>(DATA!D14-DATA!D35)/DATA!D14</f>
        <v>1.4762516046213122E-2</v>
      </c>
      <c r="E30" s="52">
        <f>(DATA!E14-DATA!E35)/DATA!E14</f>
        <v>2.5821596244131322E-2</v>
      </c>
      <c r="F30" s="52">
        <f>(DATA!F14-DATA!F35/2)/DATA!F14</f>
        <v>-1.4465408805031362E-2</v>
      </c>
      <c r="G30" s="52">
        <f>(DATA!G14-DATA!G35/2)/DATA!G14</f>
        <v>-7.8512396694215402E-3</v>
      </c>
      <c r="H30" s="52">
        <f>(DATA!H14-DATA!H35)/DATA!H14</f>
        <v>-3.0120481927709128E-3</v>
      </c>
      <c r="I30" s="52">
        <f>(DATA!I14-DATA!I35/2)/DATA!I14</f>
        <v>-2.8169014084507694E-3</v>
      </c>
      <c r="J30" s="52">
        <f>(DATA!J14-DATA!J35/2)/DATA!J14</f>
        <v>7.8740157480315619E-3</v>
      </c>
      <c r="K30" s="52" t="str">
        <f t="shared" si="9"/>
        <v>-</v>
      </c>
      <c r="L30" s="52" t="str">
        <f t="shared" si="7"/>
        <v>-</v>
      </c>
      <c r="M30" s="52" t="str">
        <f t="shared" si="7"/>
        <v>-</v>
      </c>
      <c r="N30" s="52">
        <f>SUMPRODUCT(B30:M30,DATA!B54:M54)</f>
        <v>4.8291434096602616E-3</v>
      </c>
      <c r="O30" s="52">
        <f t="shared" si="8"/>
        <v>6.3357202149144935E-4</v>
      </c>
    </row>
    <row r="31" spans="1:15" ht="15.6" x14ac:dyDescent="0.3">
      <c r="A31" s="23">
        <v>45285</v>
      </c>
      <c r="B31" s="52">
        <f>(DATA!B15-DATA!B36)/DATA!B15</f>
        <v>2.1361815754339139E-2</v>
      </c>
      <c r="C31" s="52">
        <f>(DATA!C15-DATA!C36)/DATA!C15</f>
        <v>-1.5004413062665483E-2</v>
      </c>
      <c r="D31" s="52">
        <f>(DATA!D15-DATA!D36)/DATA!D15</f>
        <v>9.6774193548387327E-3</v>
      </c>
      <c r="E31" s="52">
        <f>(DATA!E15-DATA!E36)/DATA!E15</f>
        <v>2.3529411764705799E-2</v>
      </c>
      <c r="F31" s="52">
        <f>(DATA!F15-DATA!F36)/DATA!F15</f>
        <v>-1.4465408805031362E-2</v>
      </c>
      <c r="G31" s="52">
        <f>(DATA!G15-DATA!G36/2)/DATA!G15</f>
        <v>-1.6250000000000025E-2</v>
      </c>
      <c r="H31" s="52">
        <f>(DATA!H15-DATA!H36)/DATA!H15</f>
        <v>-3.0120481927709128E-3</v>
      </c>
      <c r="I31" s="52">
        <f>(DATA!I15-DATA!I36/2)/DATA!I15</f>
        <v>-3.9416058394160652E-2</v>
      </c>
      <c r="J31" s="52">
        <f>(DATA!J15-DATA!J36/2)/DATA!J15</f>
        <v>1.1764705882353038E-2</v>
      </c>
      <c r="K31" s="52" t="str">
        <f t="shared" si="9"/>
        <v>-</v>
      </c>
      <c r="L31" s="52" t="str">
        <f t="shared" si="7"/>
        <v>-</v>
      </c>
      <c r="M31" s="52" t="str">
        <f t="shared" si="7"/>
        <v>-</v>
      </c>
      <c r="N31" s="52">
        <f>SUMPRODUCT(B31:M31,DATA!B55:M55)</f>
        <v>1.042104561598598E-3</v>
      </c>
      <c r="O31" s="52">
        <f t="shared" si="8"/>
        <v>8.3855970822138855E-4</v>
      </c>
    </row>
    <row r="32" spans="1:15" ht="15.6" x14ac:dyDescent="0.3">
      <c r="A32" s="23">
        <v>45286</v>
      </c>
      <c r="B32" s="52">
        <f>(DATA!B16-DATA!B37)/DATA!B16</f>
        <v>2.2666666666666738E-2</v>
      </c>
      <c r="C32" s="52">
        <f>(DATA!C16-DATA!C37)/DATA!C16</f>
        <v>-8.7719298245613718E-3</v>
      </c>
      <c r="D32" s="52">
        <f>(DATA!D16-DATA!D37)/DATA!D16</f>
        <v>1.3012361743656197E-3</v>
      </c>
      <c r="E32" s="52">
        <f>(DATA!E16-DATA!E37)/DATA!E16</f>
        <v>2.3529411764705799E-2</v>
      </c>
      <c r="F32" s="52">
        <f>(DATA!F16-DATA!F37)/DATA!F16</f>
        <v>-1.4465408805031362E-2</v>
      </c>
      <c r="G32" s="52">
        <f>(DATA!G16-DATA!G37/2)/DATA!G16</f>
        <v>-1.6250000000000025E-2</v>
      </c>
      <c r="H32" s="52">
        <f>(DATA!H16-DATA!H37)/DATA!H16</f>
        <v>-3.0120481927709128E-3</v>
      </c>
      <c r="I32" s="52">
        <f>(DATA!I16-DATA!I37/2)/DATA!I16</f>
        <v>1.2765957446808491E-2</v>
      </c>
      <c r="J32" s="52">
        <f>(DATA!J16-DATA!J37/2)/DATA!J16</f>
        <v>1.1764705882353038E-2</v>
      </c>
      <c r="K32" s="52" t="str">
        <f t="shared" si="9"/>
        <v>-</v>
      </c>
      <c r="L32" s="52">
        <f>(DATA!L16-DATA!L37)/DATA!L16</f>
        <v>-8.4033613445377853E-3</v>
      </c>
      <c r="M32" s="52" t="str">
        <f t="shared" si="7"/>
        <v>-</v>
      </c>
      <c r="N32" s="52">
        <f>SUMPRODUCT(B32:M32,DATA!B56:M56)</f>
        <v>4.7429533007544069E-3</v>
      </c>
      <c r="O32" s="52">
        <f t="shared" si="8"/>
        <v>6.3791840796787261E-4</v>
      </c>
    </row>
    <row r="33" spans="1:15" ht="15.6" x14ac:dyDescent="0.3">
      <c r="A33" s="23">
        <v>45287</v>
      </c>
      <c r="B33" s="52">
        <f>(DATA!B17-DATA!B38)/DATA!B17</f>
        <v>4.1412380122057661E-2</v>
      </c>
      <c r="C33" s="52">
        <f>(DATA!C17-DATA!C38)/DATA!C17</f>
        <v>-4.366812227074298E-3</v>
      </c>
      <c r="D33" s="52">
        <f>(DATA!D17-DATA!D38)/DATA!D17</f>
        <v>-6.5573770491803044E-3</v>
      </c>
      <c r="E33" s="52">
        <f>(DATA!E17-DATA!E38)/DATA!E17</f>
        <v>3.0373831775700907E-2</v>
      </c>
      <c r="F33" s="52">
        <f>(DATA!F17-DATA!F38)/DATA!F17</f>
        <v>-4.3586550435865687E-3</v>
      </c>
      <c r="G33" s="52">
        <f>(DATA!G17-DATA!G38/2)/DATA!G17</f>
        <v>-1.2033195020746852E-2</v>
      </c>
      <c r="H33" s="52">
        <f>(DATA!H17-DATA!H38)/DATA!H17</f>
        <v>-4.2219541616405482E-3</v>
      </c>
      <c r="I33" s="52">
        <f>(DATA!I17-DATA!I38/2)/DATA!I17</f>
        <v>1.9718309859154886E-2</v>
      </c>
      <c r="J33" s="52">
        <f>(DATA!J17-DATA!J38/2)/DATA!J17</f>
        <v>9.1743119266055415E-3</v>
      </c>
      <c r="K33" s="52" t="str">
        <f>"-"</f>
        <v>-</v>
      </c>
      <c r="L33" s="52" t="str">
        <f>"-"</f>
        <v>-</v>
      </c>
      <c r="M33" s="52">
        <f>(DATA!M17-DATA!M38)/DATA!M17</f>
        <v>4.0106951871658088E-3</v>
      </c>
      <c r="N33" s="52">
        <f>SUMPRODUCT(B33:M33,DATA!B57:M57)</f>
        <v>1.1939181275643539E-2</v>
      </c>
      <c r="O33" s="52">
        <f>MIN(0,N33-target)^2</f>
        <v>3.2619317299406489E-4</v>
      </c>
    </row>
    <row r="34" spans="1:15" ht="15.6" x14ac:dyDescent="0.3">
      <c r="A34" s="23">
        <v>45288</v>
      </c>
      <c r="B34" s="52">
        <f>(DATA!B18-DATA!B39)/DATA!B18</f>
        <v>4.3913043478260937E-2</v>
      </c>
      <c r="C34" s="52">
        <f>(DATA!C18-DATA!C39)/DATA!C18</f>
        <v>1.2875536480686725E-2</v>
      </c>
      <c r="D34" s="52">
        <f>(DATA!D18-DATA!D39)/DATA!D18</f>
        <v>2.1045918367346945E-2</v>
      </c>
      <c r="E34" s="52">
        <f>(DATA!E18-DATA!E39)/DATA!E18</f>
        <v>5.8956916099773195E-2</v>
      </c>
      <c r="F34" s="52">
        <f>(DATA!F18-DATA!F39)/DATA!F18</f>
        <v>-8.1249999999999378E-3</v>
      </c>
      <c r="G34" s="52">
        <f>(DATA!G18-DATA!G39/2)/DATA!G18</f>
        <v>1.255060728744934E-2</v>
      </c>
      <c r="H34" s="52">
        <f>(DATA!H18-DATA!H39)/DATA!H18</f>
        <v>-6.0422960725074236E-3</v>
      </c>
      <c r="I34" s="52">
        <f>(DATA!I18-DATA!I39/2)/DATA!I18</f>
        <v>6.5771812080536937E-2</v>
      </c>
      <c r="J34" s="52">
        <f>(DATA!J18-DATA!J39/2)/DATA!J18</f>
        <v>6.5703022339028529E-3</v>
      </c>
      <c r="K34" s="52" t="str">
        <f>"-"</f>
        <v>-</v>
      </c>
      <c r="L34" s="52" t="str">
        <f>"-"</f>
        <v>-</v>
      </c>
      <c r="M34" s="52">
        <f>(DATA!M18-DATA!M39)/DATA!M18</f>
        <v>6.6666666666666428E-3</v>
      </c>
      <c r="N34" s="52">
        <f>SUMPRODUCT(B34:M34,DATA!B58:M58)</f>
        <v>2.4867456609541361E-2</v>
      </c>
      <c r="O34" s="52">
        <f>MIN(0,N34-target)^2</f>
        <v>2.6343001654940645E-5</v>
      </c>
    </row>
    <row r="35" spans="1:15" ht="15.6" x14ac:dyDescent="0.3">
      <c r="A35" s="23">
        <v>45289</v>
      </c>
      <c r="B35" s="52">
        <f>(DATA!B19-DATA!B40)/DATA!B19</f>
        <v>3.5526315789473781E-2</v>
      </c>
      <c r="C35" s="52">
        <f>(DATA!C19-DATA!C40)/DATA!C19</f>
        <v>1.7094017094017033E-2</v>
      </c>
      <c r="D35" s="52">
        <f>(DATA!D19-DATA!D40)/DATA!D19</f>
        <v>3.9424280350438094E-2</v>
      </c>
      <c r="E35" s="52">
        <f>(DATA!E19-DATA!E40)/DATA!E19</f>
        <v>7.2625698324022187E-2</v>
      </c>
      <c r="F35" s="52">
        <f>(DATA!F19-DATA!F40)/DATA!F19</f>
        <v>-8.1249999999999378E-3</v>
      </c>
      <c r="G35" s="52">
        <f>(DATA!G19-DATA!G40/2)/DATA!G19</f>
        <v>2.3618895116092869E-2</v>
      </c>
      <c r="H35" s="52">
        <f>(DATA!H19-DATA!H40)/DATA!H19</f>
        <v>-6.6505441354292281E-3</v>
      </c>
      <c r="I35" s="52">
        <f>(DATA!I19-DATA!I40/2)/DATA!I19</f>
        <v>0.11787072243346004</v>
      </c>
      <c r="J35" s="52">
        <f>(DATA!J19-DATA!J40/2)/DATA!J19</f>
        <v>-1.32450331125825E-3</v>
      </c>
      <c r="K35" s="52" t="str">
        <f t="shared" ref="K35" si="10">"-"</f>
        <v>-</v>
      </c>
      <c r="L35" s="52" t="str">
        <f>"-"</f>
        <v>-</v>
      </c>
      <c r="M35" s="52">
        <f>(DATA!M19-DATA!M40)/DATA!M19</f>
        <v>6.6666666666666428E-3</v>
      </c>
      <c r="N35" s="52">
        <f>SUMPRODUCT(B35:M35,DATA!B59:M59)</f>
        <v>3.057939210424452E-2</v>
      </c>
      <c r="O35" s="52">
        <f>MIN(0,N35-target)^2</f>
        <v>0</v>
      </c>
    </row>
    <row r="36" spans="1:15" x14ac:dyDescent="0.3">
      <c r="B36" s="85">
        <f>AVERAGE(B21:B35)</f>
        <v>2.0355193549428992E-2</v>
      </c>
      <c r="C36" s="85">
        <f t="shared" ref="C36:N36" si="11">AVERAGE(C21:C35)</f>
        <v>-1.8927954644610552E-3</v>
      </c>
      <c r="D36" s="85">
        <f t="shared" si="11"/>
        <v>-2.7553525527241659E-3</v>
      </c>
      <c r="E36" s="85">
        <f t="shared" si="11"/>
        <v>2.4234081572409322E-2</v>
      </c>
      <c r="F36" s="85">
        <f t="shared" si="11"/>
        <v>-1.3148129763339277E-2</v>
      </c>
      <c r="G36" s="85">
        <f t="shared" si="11"/>
        <v>-3.0371500902351047E-3</v>
      </c>
      <c r="H36" s="85">
        <f t="shared" si="11"/>
        <v>-7.1079057467353605E-3</v>
      </c>
      <c r="I36" s="85">
        <f t="shared" si="11"/>
        <v>1.0944021660137445E-2</v>
      </c>
      <c r="J36" s="85">
        <f t="shared" si="11"/>
        <v>7.5836713281137672E-3</v>
      </c>
      <c r="K36" s="85">
        <f t="shared" si="11"/>
        <v>-8.2491407181608974E-3</v>
      </c>
      <c r="L36" s="85">
        <f t="shared" si="11"/>
        <v>-8.4033613445377853E-3</v>
      </c>
      <c r="M36" s="85">
        <f>AVERAGE(M21:M35)</f>
        <v>5.7813428401663654E-3</v>
      </c>
      <c r="N36" s="85">
        <f>AVERAGE(N21:N35)</f>
        <v>5.7960774566384876E-3</v>
      </c>
    </row>
    <row r="38" spans="1:15" ht="15.6" x14ac:dyDescent="0.3">
      <c r="A38" s="53" t="s">
        <v>64</v>
      </c>
      <c r="B38" s="55">
        <f>SUM(O20:O33)</f>
        <v>1.0091334442657701E-2</v>
      </c>
    </row>
    <row r="39" spans="1:15" ht="15.6" x14ac:dyDescent="0.3">
      <c r="A39" s="53" t="s">
        <v>61</v>
      </c>
      <c r="B39" s="55">
        <f>SQRT(B38/(COUNT(O21:O33)-1))</f>
        <v>2.899904372368409E-2</v>
      </c>
    </row>
    <row r="40" spans="1:15" ht="15.6" x14ac:dyDescent="0.3">
      <c r="A40" s="54" t="s">
        <v>65</v>
      </c>
      <c r="B40" s="58">
        <f>('Dashboard fin'!G30-target)/calculations!B39</f>
        <v>-0.65623186027003433</v>
      </c>
    </row>
  </sheetData>
  <mergeCells count="1">
    <mergeCell ref="A19:O19"/>
  </mergeCells>
  <conditionalFormatting sqref="B21:M35">
    <cfRule type="cellIs" dxfId="9" priority="5" operator="greaterThan">
      <formula>0</formula>
    </cfRule>
    <cfRule type="cellIs" dxfId="8" priority="6" operator="lessThan">
      <formula>0</formula>
    </cfRule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21:O35">
    <cfRule type="cellIs" dxfId="5" priority="11" operator="lessThan">
      <formula>0</formula>
    </cfRule>
    <cfRule type="cellIs" dxfId="4" priority="12" operator="greaterThan">
      <formula>0</formula>
    </cfRule>
  </conditionalFormatting>
  <conditionalFormatting sqref="N21:N35">
    <cfRule type="cellIs" dxfId="3" priority="13" operator="lessThan">
      <formula>0</formula>
    </cfRule>
    <cfRule type="cellIs" dxfId="2" priority="14" operator="greaterThan">
      <formula>0</formula>
    </cfRule>
  </conditionalFormatting>
  <conditionalFormatting sqref="O21:O35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ignoredErrors>
    <ignoredError sqref="K21:K25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6D27-87E7-4345-BE4F-AFEAB1EC6C4B}">
  <dimension ref="A1:C18"/>
  <sheetViews>
    <sheetView tabSelected="1" workbookViewId="0">
      <selection activeCell="G13" sqref="G13"/>
    </sheetView>
  </sheetViews>
  <sheetFormatPr defaultRowHeight="14.4" x14ac:dyDescent="0.3"/>
  <cols>
    <col min="1" max="1" width="12.6640625" customWidth="1"/>
    <col min="2" max="2" width="17.109375" customWidth="1"/>
    <col min="3" max="3" width="17.88671875" customWidth="1"/>
    <col min="4" max="4" width="16.6640625" customWidth="1"/>
    <col min="5" max="5" width="16.44140625" customWidth="1"/>
    <col min="6" max="6" width="14.5546875" customWidth="1"/>
    <col min="7" max="7" width="15.5546875" customWidth="1"/>
    <col min="8" max="8" width="16.6640625" customWidth="1"/>
    <col min="9" max="9" width="18.44140625" customWidth="1"/>
    <col min="10" max="10" width="14.44140625" customWidth="1"/>
    <col min="11" max="11" width="13.6640625" customWidth="1"/>
    <col min="12" max="12" width="12.44140625" customWidth="1"/>
  </cols>
  <sheetData>
    <row r="1" spans="1:3" x14ac:dyDescent="0.3">
      <c r="A1" s="99" t="s">
        <v>66</v>
      </c>
      <c r="B1" s="99"/>
      <c r="C1" s="4" t="s">
        <v>67</v>
      </c>
    </row>
    <row r="2" spans="1:3" x14ac:dyDescent="0.3">
      <c r="A2" s="14" t="s">
        <v>46</v>
      </c>
      <c r="B2" s="14">
        <v>235.5</v>
      </c>
      <c r="C2" t="str">
        <f>""</f>
        <v/>
      </c>
    </row>
    <row r="3" spans="1:3" x14ac:dyDescent="0.3">
      <c r="A3" s="56">
        <v>45271</v>
      </c>
      <c r="B3" s="14">
        <v>233.9</v>
      </c>
      <c r="C3" s="29">
        <f>((B3/$B$2)^(1/COUNT($B$2:B3)))-1</f>
        <v>-3.4028171832405363E-3</v>
      </c>
    </row>
    <row r="4" spans="1:3" x14ac:dyDescent="0.3">
      <c r="A4" s="57">
        <v>45272</v>
      </c>
      <c r="B4" s="14">
        <v>233.9</v>
      </c>
      <c r="C4" s="29">
        <f>((B4/$B$2)^(1/COUNT($B$2:B4)))-1</f>
        <v>-2.269833312329772E-3</v>
      </c>
    </row>
    <row r="5" spans="1:3" x14ac:dyDescent="0.3">
      <c r="A5" s="56">
        <v>45273</v>
      </c>
      <c r="B5" s="14">
        <v>231.39700000000002</v>
      </c>
      <c r="C5" s="29">
        <f>((B5/$B$2)^(1/COUNT($B$2:B5)))-1</f>
        <v>-4.3843762724985469E-3</v>
      </c>
    </row>
    <row r="6" spans="1:3" x14ac:dyDescent="0.3">
      <c r="A6" s="57">
        <v>45274</v>
      </c>
      <c r="B6" s="14">
        <v>231.39700000000002</v>
      </c>
      <c r="C6" s="29">
        <f>((B6/$B$2)^(1/COUNT($B$2:B6)))-1</f>
        <v>-3.5090415418977949E-3</v>
      </c>
    </row>
    <row r="7" spans="1:3" x14ac:dyDescent="0.3">
      <c r="A7" s="56">
        <v>45275</v>
      </c>
      <c r="B7" s="14">
        <v>230.18400000000003</v>
      </c>
      <c r="C7" s="29">
        <f>((B7/$B$2)^(1/COUNT($B$2:B7)))-1</f>
        <v>-3.7980896692733079E-3</v>
      </c>
    </row>
    <row r="8" spans="1:3" x14ac:dyDescent="0.3">
      <c r="A8" s="57">
        <v>45278</v>
      </c>
      <c r="B8" s="14">
        <v>225.32700000000003</v>
      </c>
      <c r="C8" s="29">
        <f>((B8/$B$2)^(1/COUNT($B$2:B8)))-1</f>
        <v>-6.2884633275442914E-3</v>
      </c>
    </row>
    <row r="9" spans="1:3" x14ac:dyDescent="0.3">
      <c r="A9" s="56">
        <v>45279</v>
      </c>
      <c r="B9" s="14">
        <v>224.10900000000004</v>
      </c>
      <c r="C9" s="29">
        <f>((B9/$B$2)^(1/COUNT($B$2:B9)))-1</f>
        <v>-6.1781329671071195E-3</v>
      </c>
    </row>
    <row r="10" spans="1:3" x14ac:dyDescent="0.3">
      <c r="A10" s="57">
        <v>45280</v>
      </c>
      <c r="B10" s="14">
        <v>224.10900000000004</v>
      </c>
      <c r="C10" s="29">
        <f>((B10/$B$2)^(1/COUNT($B$2:B10)))-1</f>
        <v>-5.493562980727229E-3</v>
      </c>
    </row>
    <row r="11" spans="1:3" x14ac:dyDescent="0.3">
      <c r="A11" s="56">
        <v>45281</v>
      </c>
      <c r="B11" s="14">
        <v>221.69100000000003</v>
      </c>
      <c r="C11" s="29">
        <f>((B11/$B$2)^(1/COUNT($B$2:B11)))-1</f>
        <v>-6.0244192783417416E-3</v>
      </c>
    </row>
    <row r="12" spans="1:3" x14ac:dyDescent="0.3">
      <c r="A12" s="57">
        <v>45282</v>
      </c>
      <c r="B12" s="14">
        <v>221.69100000000003</v>
      </c>
      <c r="C12" s="29">
        <f>((B12/$B$2)^(1/COUNT($B$2:B12)))-1</f>
        <v>-5.4782478310269056E-3</v>
      </c>
    </row>
    <row r="13" spans="1:3" x14ac:dyDescent="0.3">
      <c r="A13" s="56">
        <v>45285</v>
      </c>
      <c r="B13" s="14">
        <v>220.48600000000002</v>
      </c>
      <c r="C13" s="29">
        <f>((B13/$B$2)^(1/COUNT($B$2:B13)))-1</f>
        <v>-5.474685044251193E-3</v>
      </c>
    </row>
    <row r="14" spans="1:3" x14ac:dyDescent="0.3">
      <c r="A14" s="57">
        <v>45286</v>
      </c>
      <c r="B14" s="14">
        <v>216.84100000000001</v>
      </c>
      <c r="C14" s="29">
        <f>((B14/$B$2)^(1/COUNT($B$2:B14)))-1</f>
        <v>-6.3296174519035242E-3</v>
      </c>
    </row>
    <row r="15" spans="1:3" x14ac:dyDescent="0.3">
      <c r="A15" s="57">
        <v>45287</v>
      </c>
      <c r="B15" s="14">
        <v>215.56100000000001</v>
      </c>
      <c r="C15" s="29">
        <f>((B15/$B$2)^(1/COUNT($B$2:B15)))-1</f>
        <v>-6.2991467587637517E-3</v>
      </c>
    </row>
    <row r="16" spans="1:3" x14ac:dyDescent="0.3">
      <c r="A16" s="57">
        <v>45288</v>
      </c>
      <c r="B16" s="14">
        <v>217.791</v>
      </c>
      <c r="C16" s="29">
        <f>((B16/$B$2)^(1/COUNT($B$2:B16)))-1</f>
        <v>-5.1981112266344942E-3</v>
      </c>
    </row>
    <row r="17" spans="1:3" x14ac:dyDescent="0.3">
      <c r="A17" s="57">
        <v>45289</v>
      </c>
      <c r="B17" s="14">
        <v>218.90100000000001</v>
      </c>
      <c r="C17" s="29">
        <f>((B17/$B$2)^(1/COUNT($B$2:B17)))-1</f>
        <v>-4.5577903948597065E-3</v>
      </c>
    </row>
    <row r="18" spans="1:3" x14ac:dyDescent="0.3">
      <c r="A18" s="59"/>
    </row>
  </sheetData>
  <mergeCells count="1">
    <mergeCell ref="A1:B1"/>
  </mergeCells>
  <pageMargins left="0.7" right="0.7" top="0.75" bottom="0.75" header="0.3" footer="0.3"/>
  <ignoredErrors>
    <ignoredError sqref="C3:C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Dashboard fin</vt:lpstr>
      <vt:lpstr>transactions</vt:lpstr>
      <vt:lpstr>DATA</vt:lpstr>
      <vt:lpstr>PLOTS</vt:lpstr>
      <vt:lpstr>sectors and industries</vt:lpstr>
      <vt:lpstr>calculations</vt:lpstr>
      <vt:lpstr>costs</vt:lpstr>
      <vt:lpstr>target</vt:lpstr>
      <vt:lpstr>transaction</vt:lpstr>
      <vt:lpstr>varcov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rouissi</dc:creator>
  <cp:lastModifiedBy>rouaissimohamedamine</cp:lastModifiedBy>
  <dcterms:created xsi:type="dcterms:W3CDTF">2015-06-05T18:17:20Z</dcterms:created>
  <dcterms:modified xsi:type="dcterms:W3CDTF">2023-12-30T19:46:51Z</dcterms:modified>
</cp:coreProperties>
</file>