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drawings/drawing2.xml" ContentType="application/vnd.openxmlformats-officedocument.drawing+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mnix\Desktop\NZU-2021\Kalkulačka\FV\"/>
    </mc:Choice>
  </mc:AlternateContent>
  <workbookProtection workbookAlgorithmName="SHA-512" workbookHashValue="fc0wXDAKntb0ch8hCa6xE4LN+bGABMBzSmlOUT2xzxWxkei/Hda/kZ9rl36JDk4Ca+4IjYSkQB/eaMZLAjZEGw==" workbookSaltValue="svlU07StAcs35oF8R3O0/A==" workbookSpinCount="100000" lockStructure="1"/>
  <bookViews>
    <workbookView xWindow="0" yWindow="0" windowWidth="19560" windowHeight="7905"/>
  </bookViews>
  <sheets>
    <sheet name="Zadání" sheetId="5" r:id="rId1"/>
    <sheet name="List1" sheetId="1" state="hidden" r:id="rId2"/>
    <sheet name="H" sheetId="2" state="hidden" r:id="rId3"/>
    <sheet name="G" sheetId="3" state="hidden" r:id="rId4"/>
  </sheets>
  <externalReferences>
    <externalReference r:id="rId5"/>
    <externalReference r:id="rId6"/>
  </externalReferences>
  <definedNames>
    <definedName name="_p">[1]Zadání!$D$22</definedName>
    <definedName name="_v">#REF!</definedName>
    <definedName name="a_1">[1]Zadání!$D$37</definedName>
    <definedName name="a_2">[1]Zadání!$D$38</definedName>
    <definedName name="A_b">#REF!</definedName>
    <definedName name="beta_n">#REF!</definedName>
    <definedName name="beta_p">#REF!</definedName>
    <definedName name="Celková_vztažná_plocha">[1]Zadání!$D$41</definedName>
    <definedName name="EL_Ztráty" localSheetId="1">List1!$S$24:$S$26</definedName>
    <definedName name="eps">#REF!</definedName>
    <definedName name="f_rel_e">#REF!</definedName>
    <definedName name="f_rel_i">#REF!</definedName>
    <definedName name="Faktor_snížení_k">Zadání!$O$33</definedName>
    <definedName name="GNOCT">[2]data!$C$26</definedName>
    <definedName name="Gref_STC">[2]data!$C$24</definedName>
    <definedName name="h_e">#REF!</definedName>
    <definedName name="h_i">#REF!</definedName>
    <definedName name="I_w">#REF!</definedName>
    <definedName name="jmenovitá_provozní_teplota_článku_NOCT">Zadání!$N$23</definedName>
    <definedName name="k_navst">#REF!</definedName>
    <definedName name="kb_e">#REF!</definedName>
    <definedName name="kb_i">#REF!</definedName>
    <definedName name="ný_0">[1]Zadání!$D$36</definedName>
    <definedName name="Objem_AKU">Zadání!$AB$17</definedName>
    <definedName name="osoby">Zadání!$N$15</definedName>
    <definedName name="Plocha_apertury">[1]Zadání!$D$42</definedName>
    <definedName name="Plocha_FV_panelů">Zadání!$O$35</definedName>
    <definedName name="počet_kolektorů">[1]Zadání!$D$39</definedName>
    <definedName name="Pohltivost_FV_α">Zadání!$O$34</definedName>
    <definedName name="Q_p.vyt">#REF!</definedName>
    <definedName name="Q_z">#REF!</definedName>
    <definedName name="Ref_účinnost_href">Zadání!$AB$24</definedName>
    <definedName name="Snížení_účinnosti_1000na200_ΔηG">Zadání!$N$24</definedName>
    <definedName name="Součinitel_prostupu_tepla_z_FV_do_okolí_U">Zadání!$O$32</definedName>
    <definedName name="Spotřeba_na_osobu">Zadání!$AB$15</definedName>
    <definedName name="Srážka_vlivem_elektrických_ztrát_p">Zadání!$AB$25</definedName>
    <definedName name="Špičkový_výkon_systému_Ppk">Zadání!$AB$23</definedName>
    <definedName name="T_e">#REF!</definedName>
    <definedName name="T_i">#REF!</definedName>
    <definedName name="t_sv">Zadání!$N$16</definedName>
    <definedName name="t_tv">Zadání!$AB$16</definedName>
    <definedName name="t_w1.N">#REF!</definedName>
    <definedName name="t_wp">#REF!</definedName>
    <definedName name="tau_p">#REF!</definedName>
    <definedName name="te_NOCT">[2]data!$C$27</definedName>
    <definedName name="tref_STC">[2]data!$C$25</definedName>
    <definedName name="V_sv">#REF!</definedName>
    <definedName name="VSV_os">#REF!</definedName>
    <definedName name="Výkonový_teplotní_součinitel_βγ">Zadání!$N$25</definedName>
    <definedName name="Vztažná_plocha_kolektoru">[1]Zadání!$D$40</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B23" i="5" l="1"/>
  <c r="F13" i="1" l="1"/>
  <c r="F21" i="1" s="1"/>
  <c r="F14" i="1" l="1"/>
  <c r="F18" i="1" l="1"/>
  <c r="L18" i="1" l="1"/>
  <c r="F5" i="1"/>
  <c r="F8" i="1"/>
  <c r="O40" i="5" l="1"/>
  <c r="U40" i="5" s="1"/>
  <c r="F15" i="1"/>
  <c r="F16" i="1"/>
  <c r="G21" i="1" l="1"/>
  <c r="AB16" i="5"/>
  <c r="N16" i="5"/>
  <c r="AB15" i="5"/>
  <c r="F4" i="1"/>
  <c r="A16" i="5"/>
  <c r="A17" i="5" s="1"/>
  <c r="A18" i="5" s="1"/>
  <c r="A19" i="5" s="1"/>
  <c r="A22" i="5" s="1"/>
  <c r="A23" i="5" s="1"/>
  <c r="A24" i="5" s="1"/>
  <c r="A25" i="5" s="1"/>
  <c r="A27" i="5" s="1"/>
  <c r="AF18" i="5"/>
  <c r="O33" i="5"/>
  <c r="AI40" i="5"/>
  <c r="G42" i="5"/>
  <c r="F24" i="1" l="1"/>
  <c r="O35" i="5" s="1"/>
  <c r="A28" i="5"/>
  <c r="A29" i="5" l="1"/>
  <c r="A35" i="5" s="1"/>
  <c r="A36" i="5" s="1"/>
  <c r="A37" i="5" s="1"/>
  <c r="A38" i="5" s="1"/>
  <c r="A39" i="5" s="1"/>
  <c r="A40" i="5" s="1"/>
  <c r="S63" i="3"/>
  <c r="Q65" i="3" s="1"/>
  <c r="AC61" i="3"/>
  <c r="AB61" i="3"/>
  <c r="AA61" i="3"/>
  <c r="Z61" i="3"/>
  <c r="Y61" i="3"/>
  <c r="X61" i="3"/>
  <c r="W61" i="3"/>
  <c r="V61" i="3"/>
  <c r="U61" i="3"/>
  <c r="T61" i="3"/>
  <c r="S61" i="3"/>
  <c r="R61" i="3"/>
  <c r="AC60" i="3"/>
  <c r="AB60" i="3"/>
  <c r="AA60" i="3"/>
  <c r="Z60" i="3"/>
  <c r="Y60" i="3"/>
  <c r="X60" i="3"/>
  <c r="W60" i="3"/>
  <c r="V60" i="3"/>
  <c r="U60" i="3"/>
  <c r="T60" i="3"/>
  <c r="S60" i="3"/>
  <c r="R60" i="3"/>
  <c r="AC59" i="3"/>
  <c r="AB59" i="3"/>
  <c r="AA59" i="3"/>
  <c r="Z59" i="3"/>
  <c r="Y59" i="3"/>
  <c r="X59" i="3"/>
  <c r="W59" i="3"/>
  <c r="V59" i="3"/>
  <c r="U59" i="3"/>
  <c r="T59" i="3"/>
  <c r="S59" i="3"/>
  <c r="R59" i="3"/>
  <c r="AC58" i="3"/>
  <c r="AB58" i="3"/>
  <c r="AA58" i="3"/>
  <c r="Z58" i="3"/>
  <c r="Y58" i="3"/>
  <c r="X58" i="3"/>
  <c r="W58" i="3"/>
  <c r="V58" i="3"/>
  <c r="U58" i="3"/>
  <c r="T58" i="3"/>
  <c r="S58" i="3"/>
  <c r="R58" i="3"/>
  <c r="AC57" i="3"/>
  <c r="AB57" i="3"/>
  <c r="AA57" i="3"/>
  <c r="Z57" i="3"/>
  <c r="Y57" i="3"/>
  <c r="X57" i="3"/>
  <c r="W57" i="3"/>
  <c r="V57" i="3"/>
  <c r="U57" i="3"/>
  <c r="T57" i="3"/>
  <c r="S57" i="3"/>
  <c r="R57" i="3"/>
  <c r="AC56" i="3"/>
  <c r="AB56" i="3"/>
  <c r="AA56" i="3"/>
  <c r="Z56" i="3"/>
  <c r="Y56" i="3"/>
  <c r="X56" i="3"/>
  <c r="W56" i="3"/>
  <c r="V56" i="3"/>
  <c r="U56" i="3"/>
  <c r="T56" i="3"/>
  <c r="S56" i="3"/>
  <c r="R56" i="3"/>
  <c r="S63" i="2"/>
  <c r="Q65" i="2" s="1"/>
  <c r="AC61" i="2"/>
  <c r="AB61" i="2"/>
  <c r="AA61" i="2"/>
  <c r="Z61" i="2"/>
  <c r="Y61" i="2"/>
  <c r="X61" i="2"/>
  <c r="W61" i="2"/>
  <c r="V61" i="2"/>
  <c r="U61" i="2"/>
  <c r="T61" i="2"/>
  <c r="S61" i="2"/>
  <c r="R61" i="2"/>
  <c r="AC60" i="2"/>
  <c r="AB60" i="2"/>
  <c r="AA60" i="2"/>
  <c r="Z60" i="2"/>
  <c r="Y60" i="2"/>
  <c r="X60" i="2"/>
  <c r="W60" i="2"/>
  <c r="V60" i="2"/>
  <c r="U60" i="2"/>
  <c r="T60" i="2"/>
  <c r="S60" i="2"/>
  <c r="R60" i="2"/>
  <c r="AC59" i="2"/>
  <c r="AB59" i="2"/>
  <c r="AA59" i="2"/>
  <c r="Z59" i="2"/>
  <c r="Y59" i="2"/>
  <c r="X59" i="2"/>
  <c r="W59" i="2"/>
  <c r="V59" i="2"/>
  <c r="U59" i="2"/>
  <c r="T59" i="2"/>
  <c r="S59" i="2"/>
  <c r="R59" i="2"/>
  <c r="AC58" i="2"/>
  <c r="AB58" i="2"/>
  <c r="AA58" i="2"/>
  <c r="Z58" i="2"/>
  <c r="Y58" i="2"/>
  <c r="X58" i="2"/>
  <c r="W58" i="2"/>
  <c r="V58" i="2"/>
  <c r="U58" i="2"/>
  <c r="T58" i="2"/>
  <c r="S58" i="2"/>
  <c r="R58" i="2"/>
  <c r="AC57" i="2"/>
  <c r="AB57" i="2"/>
  <c r="AA57" i="2"/>
  <c r="Z57" i="2"/>
  <c r="Y57" i="2"/>
  <c r="X57" i="2"/>
  <c r="W57" i="2"/>
  <c r="V57" i="2"/>
  <c r="U57" i="2"/>
  <c r="T57" i="2"/>
  <c r="S57" i="2"/>
  <c r="R57" i="2"/>
  <c r="AC56" i="2"/>
  <c r="AB56" i="2"/>
  <c r="AA56" i="2"/>
  <c r="Z56" i="2"/>
  <c r="Y56" i="2"/>
  <c r="X56" i="2"/>
  <c r="W56" i="2"/>
  <c r="V56" i="2"/>
  <c r="U56" i="2"/>
  <c r="T56" i="2"/>
  <c r="S56" i="2"/>
  <c r="R56" i="2"/>
  <c r="AC55" i="3"/>
  <c r="AB55" i="3"/>
  <c r="AA55" i="3"/>
  <c r="Z55" i="3"/>
  <c r="Y55" i="3"/>
  <c r="X55" i="3"/>
  <c r="W55" i="3"/>
  <c r="V55" i="3"/>
  <c r="U55" i="3"/>
  <c r="T55" i="3"/>
  <c r="S55" i="3"/>
  <c r="R55" i="3"/>
  <c r="S53" i="3"/>
  <c r="AC55" i="2"/>
  <c r="AB55" i="2"/>
  <c r="AA55" i="2"/>
  <c r="Z55" i="2"/>
  <c r="Y55" i="2"/>
  <c r="X55" i="2"/>
  <c r="W55" i="2"/>
  <c r="V55" i="2"/>
  <c r="U55" i="2"/>
  <c r="T55" i="2"/>
  <c r="S55" i="2"/>
  <c r="R55" i="2"/>
  <c r="S53" i="2"/>
  <c r="Z65" i="2" l="1"/>
  <c r="L19" i="1"/>
  <c r="F25" i="1" s="1"/>
  <c r="V65" i="2"/>
  <c r="R65" i="2"/>
  <c r="S65" i="3"/>
  <c r="AA65" i="3"/>
  <c r="R65" i="3"/>
  <c r="X65" i="2"/>
  <c r="W65" i="2"/>
  <c r="U65" i="3"/>
  <c r="Z65" i="3"/>
  <c r="AC65" i="3"/>
  <c r="Y65" i="2"/>
  <c r="T65" i="3"/>
  <c r="AB65" i="3"/>
  <c r="S65" i="2"/>
  <c r="AA65" i="2"/>
  <c r="V65" i="3"/>
  <c r="T65" i="2"/>
  <c r="AB65" i="2"/>
  <c r="W65" i="3"/>
  <c r="U65" i="2"/>
  <c r="AC65" i="2"/>
  <c r="X65" i="3"/>
  <c r="Y65" i="3"/>
  <c r="N61" i="3"/>
  <c r="M61" i="3"/>
  <c r="L61" i="3"/>
  <c r="K61" i="3"/>
  <c r="J61" i="3"/>
  <c r="I61" i="3"/>
  <c r="H61" i="3"/>
  <c r="G61" i="3"/>
  <c r="F61" i="3"/>
  <c r="E61" i="3"/>
  <c r="D61" i="3"/>
  <c r="C61" i="3"/>
  <c r="N60" i="3"/>
  <c r="M60" i="3"/>
  <c r="L60" i="3"/>
  <c r="K60" i="3"/>
  <c r="J60" i="3"/>
  <c r="I60" i="3"/>
  <c r="H60" i="3"/>
  <c r="G60" i="3"/>
  <c r="F60" i="3"/>
  <c r="E60" i="3"/>
  <c r="D60" i="3"/>
  <c r="C60" i="3"/>
  <c r="N59" i="3"/>
  <c r="M59" i="3"/>
  <c r="L59" i="3"/>
  <c r="K59" i="3"/>
  <c r="J59" i="3"/>
  <c r="I59" i="3"/>
  <c r="H59" i="3"/>
  <c r="G59" i="3"/>
  <c r="F59" i="3"/>
  <c r="E59" i="3"/>
  <c r="D59" i="3"/>
  <c r="C59" i="3"/>
  <c r="N58" i="3"/>
  <c r="M58" i="3"/>
  <c r="L58" i="3"/>
  <c r="K58" i="3"/>
  <c r="J58" i="3"/>
  <c r="I58" i="3"/>
  <c r="H58" i="3"/>
  <c r="G58" i="3"/>
  <c r="F58" i="3"/>
  <c r="E58" i="3"/>
  <c r="D58" i="3"/>
  <c r="C58" i="3"/>
  <c r="N57" i="3"/>
  <c r="M57" i="3"/>
  <c r="L57" i="3"/>
  <c r="K57" i="3"/>
  <c r="J57" i="3"/>
  <c r="I57" i="3"/>
  <c r="H57" i="3"/>
  <c r="G57" i="3"/>
  <c r="F57" i="3"/>
  <c r="E57" i="3"/>
  <c r="D57" i="3"/>
  <c r="C57" i="3"/>
  <c r="N56" i="3"/>
  <c r="M56" i="3"/>
  <c r="L56" i="3"/>
  <c r="K56" i="3"/>
  <c r="J56" i="3"/>
  <c r="I56" i="3"/>
  <c r="H56" i="3"/>
  <c r="G56" i="3"/>
  <c r="F56" i="3"/>
  <c r="E56" i="3"/>
  <c r="D56" i="3"/>
  <c r="C56" i="3"/>
  <c r="D53" i="3"/>
  <c r="D53" i="2"/>
  <c r="N61" i="2"/>
  <c r="M61" i="2"/>
  <c r="L61" i="2"/>
  <c r="K61" i="2"/>
  <c r="J61" i="2"/>
  <c r="I61" i="2"/>
  <c r="H61" i="2"/>
  <c r="G61" i="2"/>
  <c r="F61" i="2"/>
  <c r="E61" i="2"/>
  <c r="D61" i="2"/>
  <c r="C61" i="2"/>
  <c r="N60" i="2"/>
  <c r="M60" i="2"/>
  <c r="L60" i="2"/>
  <c r="K60" i="2"/>
  <c r="J60" i="2"/>
  <c r="I60" i="2"/>
  <c r="H60" i="2"/>
  <c r="G60" i="2"/>
  <c r="F60" i="2"/>
  <c r="E60" i="2"/>
  <c r="D60" i="2"/>
  <c r="C60" i="2"/>
  <c r="N59" i="2"/>
  <c r="M59" i="2"/>
  <c r="L59" i="2"/>
  <c r="K59" i="2"/>
  <c r="J59" i="2"/>
  <c r="I59" i="2"/>
  <c r="H59" i="2"/>
  <c r="G59" i="2"/>
  <c r="F59" i="2"/>
  <c r="E59" i="2"/>
  <c r="D59" i="2"/>
  <c r="C59" i="2"/>
  <c r="N58" i="2"/>
  <c r="M58" i="2"/>
  <c r="L58" i="2"/>
  <c r="K58" i="2"/>
  <c r="J58" i="2"/>
  <c r="I58" i="2"/>
  <c r="H58" i="2"/>
  <c r="G58" i="2"/>
  <c r="F58" i="2"/>
  <c r="E58" i="2"/>
  <c r="D58" i="2"/>
  <c r="C58" i="2"/>
  <c r="N57" i="2"/>
  <c r="M57" i="2"/>
  <c r="L57" i="2"/>
  <c r="K57" i="2"/>
  <c r="J57" i="2"/>
  <c r="I57" i="2"/>
  <c r="H57" i="2"/>
  <c r="G57" i="2"/>
  <c r="F57" i="2"/>
  <c r="E57" i="2"/>
  <c r="D57" i="2"/>
  <c r="C57" i="2"/>
  <c r="N56" i="2"/>
  <c r="M56" i="2"/>
  <c r="L56" i="2"/>
  <c r="K56" i="2"/>
  <c r="J56" i="2"/>
  <c r="I56" i="2"/>
  <c r="H56" i="2"/>
  <c r="G56" i="2"/>
  <c r="F56" i="2"/>
  <c r="E56" i="2"/>
  <c r="D56" i="2"/>
  <c r="C56" i="2"/>
  <c r="L16" i="1" l="1"/>
  <c r="L15" i="1"/>
  <c r="F27" i="1"/>
  <c r="F36" i="1" l="1"/>
  <c r="D63" i="3"/>
  <c r="N55" i="3"/>
  <c r="M55" i="3"/>
  <c r="L55" i="3"/>
  <c r="K55" i="3"/>
  <c r="J55" i="3"/>
  <c r="I55" i="3"/>
  <c r="H55" i="3"/>
  <c r="G55" i="3"/>
  <c r="F55" i="3"/>
  <c r="E55" i="3"/>
  <c r="D55" i="3"/>
  <c r="C55" i="3"/>
  <c r="D63" i="2"/>
  <c r="N55" i="2"/>
  <c r="M55" i="2"/>
  <c r="L55" i="2"/>
  <c r="K55" i="2"/>
  <c r="J55" i="2"/>
  <c r="I55" i="2"/>
  <c r="H55" i="2"/>
  <c r="G55" i="2"/>
  <c r="F55" i="2"/>
  <c r="E55" i="2"/>
  <c r="D55" i="2"/>
  <c r="C55" i="2"/>
  <c r="B65" i="2" l="1"/>
  <c r="Q39" i="1"/>
  <c r="Q46" i="1"/>
  <c r="Q38" i="1"/>
  <c r="Q45" i="1"/>
  <c r="Q37" i="1"/>
  <c r="Q44" i="1"/>
  <c r="Q36" i="1"/>
  <c r="Q41" i="1"/>
  <c r="Q43" i="1"/>
  <c r="Q35" i="1"/>
  <c r="Q42" i="1"/>
  <c r="Q40" i="1"/>
  <c r="P46" i="1"/>
  <c r="R46" i="1" s="1"/>
  <c r="P38" i="1"/>
  <c r="R38" i="1" s="1"/>
  <c r="P45" i="1"/>
  <c r="R45" i="1" s="1"/>
  <c r="P37" i="1"/>
  <c r="R37" i="1" s="1"/>
  <c r="P44" i="1"/>
  <c r="R44" i="1" s="1"/>
  <c r="P36" i="1"/>
  <c r="R36" i="1" s="1"/>
  <c r="P39" i="1"/>
  <c r="R39" i="1" s="1"/>
  <c r="P43" i="1"/>
  <c r="R43" i="1" s="1"/>
  <c r="P35" i="1"/>
  <c r="R35" i="1" s="1"/>
  <c r="P42" i="1"/>
  <c r="R42" i="1" s="1"/>
  <c r="P41" i="1"/>
  <c r="R41" i="1" s="1"/>
  <c r="P40" i="1"/>
  <c r="R40" i="1" s="1"/>
  <c r="F43" i="1"/>
  <c r="F42" i="1"/>
  <c r="F41" i="1"/>
  <c r="F40" i="1"/>
  <c r="F35" i="1"/>
  <c r="F39" i="1"/>
  <c r="F38" i="1"/>
  <c r="F45" i="1"/>
  <c r="F37" i="1"/>
  <c r="F46" i="1"/>
  <c r="F44" i="1"/>
  <c r="I65" i="3"/>
  <c r="I65" i="2"/>
  <c r="M41" i="1" s="1"/>
  <c r="F65" i="2"/>
  <c r="M38" i="1" s="1"/>
  <c r="M65" i="2"/>
  <c r="M45" i="1" s="1"/>
  <c r="N65" i="3"/>
  <c r="G65" i="3"/>
  <c r="H65" i="3"/>
  <c r="B65" i="3"/>
  <c r="J65" i="3"/>
  <c r="C65" i="3"/>
  <c r="K65" i="3"/>
  <c r="D65" i="3"/>
  <c r="L65" i="3"/>
  <c r="E65" i="3"/>
  <c r="M65" i="3"/>
  <c r="F65" i="3"/>
  <c r="E65" i="2"/>
  <c r="M37" i="1" s="1"/>
  <c r="N65" i="2"/>
  <c r="M46" i="1" s="1"/>
  <c r="G65" i="2"/>
  <c r="M39" i="1" s="1"/>
  <c r="H65" i="2"/>
  <c r="M40" i="1" s="1"/>
  <c r="J65" i="2"/>
  <c r="M42" i="1" s="1"/>
  <c r="C65" i="2"/>
  <c r="M35" i="1" s="1"/>
  <c r="K65" i="2"/>
  <c r="M43" i="1" s="1"/>
  <c r="D65" i="2"/>
  <c r="M36" i="1" s="1"/>
  <c r="L65" i="2"/>
  <c r="M44" i="1" s="1"/>
  <c r="D42" i="1" l="1"/>
  <c r="S35" i="1"/>
  <c r="S46" i="1"/>
  <c r="S43" i="1"/>
  <c r="D40" i="1"/>
  <c r="D45" i="1"/>
  <c r="S41" i="1"/>
  <c r="S39" i="1"/>
  <c r="S45" i="1"/>
  <c r="D43" i="1"/>
  <c r="D38" i="1"/>
  <c r="S42" i="1"/>
  <c r="S38" i="1"/>
  <c r="S36" i="1"/>
  <c r="S44" i="1"/>
  <c r="S40" i="1"/>
  <c r="S37" i="1"/>
  <c r="D44" i="1"/>
  <c r="L45" i="1"/>
  <c r="L46" i="1"/>
  <c r="D39" i="1"/>
  <c r="L43" i="1"/>
  <c r="L40" i="1"/>
  <c r="L37" i="1"/>
  <c r="L44" i="1"/>
  <c r="D46" i="1"/>
  <c r="L35" i="1"/>
  <c r="D37" i="1"/>
  <c r="L42" i="1"/>
  <c r="L41" i="1"/>
  <c r="D35" i="1"/>
  <c r="L39" i="1"/>
  <c r="L36" i="1"/>
  <c r="D41" i="1"/>
  <c r="D36" i="1"/>
  <c r="L38" i="1"/>
  <c r="F47" i="1"/>
  <c r="O36" i="5" s="1"/>
  <c r="C45" i="1" l="1"/>
  <c r="E45" i="1" s="1"/>
  <c r="N45" i="1"/>
  <c r="O45" i="1" s="1"/>
  <c r="G45" i="1" s="1"/>
  <c r="H45" i="1" s="1"/>
  <c r="C39" i="1"/>
  <c r="E39" i="1" s="1"/>
  <c r="N39" i="1"/>
  <c r="O39" i="1" s="1"/>
  <c r="G39" i="1" s="1"/>
  <c r="H39" i="1" s="1"/>
  <c r="C38" i="1"/>
  <c r="E38" i="1" s="1"/>
  <c r="N38" i="1"/>
  <c r="O38" i="1" s="1"/>
  <c r="G38" i="1" s="1"/>
  <c r="H38" i="1" s="1"/>
  <c r="C42" i="1"/>
  <c r="E42" i="1" s="1"/>
  <c r="N42" i="1"/>
  <c r="O42" i="1" s="1"/>
  <c r="G42" i="1" s="1"/>
  <c r="H42" i="1" s="1"/>
  <c r="C46" i="1"/>
  <c r="E46" i="1" s="1"/>
  <c r="N46" i="1"/>
  <c r="O46" i="1" s="1"/>
  <c r="G46" i="1" s="1"/>
  <c r="H46" i="1" s="1"/>
  <c r="C35" i="1"/>
  <c r="E35" i="1" s="1"/>
  <c r="N35" i="1"/>
  <c r="O35" i="1" s="1"/>
  <c r="G35" i="1" s="1"/>
  <c r="H35" i="1" s="1"/>
  <c r="C36" i="1"/>
  <c r="E36" i="1" s="1"/>
  <c r="N36" i="1"/>
  <c r="O36" i="1" s="1"/>
  <c r="G36" i="1" s="1"/>
  <c r="H36" i="1" s="1"/>
  <c r="C44" i="1"/>
  <c r="E44" i="1" s="1"/>
  <c r="N44" i="1"/>
  <c r="O44" i="1" s="1"/>
  <c r="G44" i="1" s="1"/>
  <c r="H44" i="1" s="1"/>
  <c r="C37" i="1"/>
  <c r="E37" i="1" s="1"/>
  <c r="N37" i="1"/>
  <c r="O37" i="1" s="1"/>
  <c r="G37" i="1" s="1"/>
  <c r="H37" i="1" s="1"/>
  <c r="C40" i="1"/>
  <c r="E40" i="1" s="1"/>
  <c r="N40" i="1"/>
  <c r="O40" i="1" s="1"/>
  <c r="G40" i="1" s="1"/>
  <c r="H40" i="1" s="1"/>
  <c r="C41" i="1"/>
  <c r="E41" i="1" s="1"/>
  <c r="N41" i="1"/>
  <c r="O41" i="1" s="1"/>
  <c r="G41" i="1" s="1"/>
  <c r="H41" i="1" s="1"/>
  <c r="C43" i="1"/>
  <c r="E43" i="1" s="1"/>
  <c r="N43" i="1"/>
  <c r="O43" i="1" s="1"/>
  <c r="G43" i="1" s="1"/>
  <c r="H43" i="1" s="1"/>
  <c r="H47" i="1" l="1"/>
  <c r="O38" i="5" s="1"/>
  <c r="U38" i="5" s="1"/>
  <c r="F31" i="1" l="1"/>
  <c r="O37" i="5" s="1"/>
  <c r="F30" i="1"/>
  <c r="O39" i="5" s="1"/>
  <c r="AI39" i="5" l="1"/>
  <c r="AI41" i="5" s="1"/>
</calcChain>
</file>

<file path=xl/sharedStrings.xml><?xml version="1.0" encoding="utf-8"?>
<sst xmlns="http://schemas.openxmlformats.org/spreadsheetml/2006/main" count="506" uniqueCount="259">
  <si>
    <t>Led</t>
  </si>
  <si>
    <t>Úno</t>
  </si>
  <si>
    <t>Bře</t>
  </si>
  <si>
    <t>Dub</t>
  </si>
  <si>
    <t>Kvě</t>
  </si>
  <si>
    <t>Čer</t>
  </si>
  <si>
    <t>Čvc</t>
  </si>
  <si>
    <t>Srp</t>
  </si>
  <si>
    <t>Zář</t>
  </si>
  <si>
    <t>Říj</t>
  </si>
  <si>
    <t>Lis</t>
  </si>
  <si>
    <t>Pro</t>
  </si>
  <si>
    <t>Parametry solární soustavy</t>
  </si>
  <si>
    <t>-</t>
  </si>
  <si>
    <t>ks</t>
  </si>
  <si>
    <t>W/m2K</t>
  </si>
  <si>
    <t>°C</t>
  </si>
  <si>
    <t>%</t>
  </si>
  <si>
    <t>Úhel sklonu plochy</t>
  </si>
  <si>
    <t>b</t>
  </si>
  <si>
    <t>Čvn</t>
  </si>
  <si>
    <r>
      <t xml:space="preserve">Azimutový úhel osluněné plochy </t>
    </r>
    <r>
      <rPr>
        <i/>
        <sz val="9"/>
        <rFont val="Symbol"/>
        <family val="1"/>
        <charset val="2"/>
      </rPr>
      <t>g</t>
    </r>
    <r>
      <rPr>
        <sz val="9"/>
        <rFont val="Arial"/>
        <family val="2"/>
        <charset val="238"/>
      </rPr>
      <t xml:space="preserve"> = </t>
    </r>
    <r>
      <rPr>
        <sz val="9"/>
        <rFont val="Symbol"/>
        <family val="1"/>
        <charset val="2"/>
      </rPr>
      <t>±</t>
    </r>
    <r>
      <rPr>
        <sz val="9"/>
        <rFont val="Arial"/>
        <family val="2"/>
        <charset val="238"/>
      </rPr>
      <t xml:space="preserve"> 0° (orientace na jih)</t>
    </r>
  </si>
  <si>
    <r>
      <t xml:space="preserve">Azimutový úhel osluněné plochy </t>
    </r>
    <r>
      <rPr>
        <i/>
        <sz val="9"/>
        <rFont val="Symbol"/>
        <family val="1"/>
        <charset val="2"/>
      </rPr>
      <t>g</t>
    </r>
    <r>
      <rPr>
        <sz val="9"/>
        <rFont val="Arial"/>
        <family val="2"/>
        <charset val="238"/>
      </rPr>
      <t xml:space="preserve"> = </t>
    </r>
    <r>
      <rPr>
        <sz val="9"/>
        <rFont val="Symbol"/>
        <family val="1"/>
        <charset val="2"/>
      </rPr>
      <t>±</t>
    </r>
    <r>
      <rPr>
        <sz val="9"/>
        <rFont val="Arial"/>
        <family val="2"/>
        <charset val="238"/>
      </rPr>
      <t xml:space="preserve"> 15°</t>
    </r>
  </si>
  <si>
    <r>
      <t xml:space="preserve">Azimutový úhel osluněné plochy </t>
    </r>
    <r>
      <rPr>
        <i/>
        <sz val="9"/>
        <rFont val="Symbol"/>
        <family val="1"/>
        <charset val="2"/>
      </rPr>
      <t>g</t>
    </r>
    <r>
      <rPr>
        <sz val="9"/>
        <rFont val="Arial"/>
        <family val="2"/>
        <charset val="238"/>
      </rPr>
      <t xml:space="preserve"> = </t>
    </r>
    <r>
      <rPr>
        <sz val="9"/>
        <rFont val="Symbol"/>
        <family val="1"/>
        <charset val="2"/>
      </rPr>
      <t>±</t>
    </r>
    <r>
      <rPr>
        <sz val="9"/>
        <rFont val="Arial"/>
        <family val="2"/>
        <charset val="238"/>
      </rPr>
      <t xml:space="preserve"> 30°</t>
    </r>
  </si>
  <si>
    <r>
      <t xml:space="preserve">Azimutový úhel osluněné plochy </t>
    </r>
    <r>
      <rPr>
        <i/>
        <sz val="9"/>
        <rFont val="Symbol"/>
        <family val="1"/>
        <charset val="2"/>
      </rPr>
      <t>g</t>
    </r>
    <r>
      <rPr>
        <sz val="9"/>
        <rFont val="Arial"/>
        <family val="2"/>
        <charset val="238"/>
      </rPr>
      <t xml:space="preserve"> = </t>
    </r>
    <r>
      <rPr>
        <sz val="9"/>
        <rFont val="Symbol"/>
        <family val="1"/>
        <charset val="2"/>
      </rPr>
      <t>±</t>
    </r>
    <r>
      <rPr>
        <sz val="9"/>
        <rFont val="Arial"/>
        <family val="2"/>
        <charset val="238"/>
      </rPr>
      <t xml:space="preserve"> 45°</t>
    </r>
  </si>
  <si>
    <t>zvolený azimut</t>
  </si>
  <si>
    <t>zvolený sklon</t>
  </si>
  <si>
    <t>sklon</t>
  </si>
  <si>
    <t>0°</t>
  </si>
  <si>
    <t>15°</t>
  </si>
  <si>
    <t>30°</t>
  </si>
  <si>
    <t>45°</t>
  </si>
  <si>
    <t>60°</t>
  </si>
  <si>
    <t>75°</t>
  </si>
  <si>
    <t>90°</t>
  </si>
  <si>
    <t>azimut</t>
  </si>
  <si>
    <r>
      <t xml:space="preserve">Dávka slunečního ozáření </t>
    </r>
    <r>
      <rPr>
        <b/>
        <i/>
        <sz val="9"/>
        <rFont val="Arial"/>
        <family val="2"/>
        <charset val="238"/>
      </rPr>
      <t>H</t>
    </r>
    <r>
      <rPr>
        <b/>
        <vertAlign val="subscript"/>
        <sz val="9"/>
        <rFont val="Arial"/>
        <family val="2"/>
        <charset val="238"/>
      </rPr>
      <t>T,měs</t>
    </r>
    <r>
      <rPr>
        <b/>
        <sz val="9"/>
        <rFont val="Arial"/>
        <family val="2"/>
        <charset val="238"/>
      </rPr>
      <t> [kWh/(m</t>
    </r>
    <r>
      <rPr>
        <b/>
        <vertAlign val="superscript"/>
        <sz val="9"/>
        <rFont val="Arial"/>
        <family val="2"/>
        <charset val="238"/>
      </rPr>
      <t>2</t>
    </r>
    <r>
      <rPr>
        <b/>
        <sz val="9"/>
        <rFont val="Arial"/>
        <family val="2"/>
        <charset val="238"/>
      </rPr>
      <t>.měs)]</t>
    </r>
  </si>
  <si>
    <r>
      <rPr>
        <b/>
        <i/>
        <sz val="8"/>
        <color theme="1"/>
        <rFont val="Arial"/>
        <family val="2"/>
        <charset val="238"/>
      </rPr>
      <t>t</t>
    </r>
    <r>
      <rPr>
        <b/>
        <vertAlign val="subscript"/>
        <sz val="8"/>
        <color theme="1"/>
        <rFont val="Arial"/>
        <family val="2"/>
        <charset val="238"/>
      </rPr>
      <t>es</t>
    </r>
  </si>
  <si>
    <r>
      <rPr>
        <b/>
        <i/>
        <sz val="8"/>
        <color theme="1"/>
        <rFont val="Arial"/>
        <family val="2"/>
        <charset val="238"/>
      </rPr>
      <t>G</t>
    </r>
    <r>
      <rPr>
        <b/>
        <vertAlign val="subscript"/>
        <sz val="8"/>
        <color theme="1"/>
        <rFont val="Arial"/>
        <family val="2"/>
        <charset val="238"/>
      </rPr>
      <t>m</t>
    </r>
  </si>
  <si>
    <r>
      <rPr>
        <b/>
        <i/>
        <sz val="8"/>
        <color theme="1"/>
        <rFont val="Arial"/>
        <family val="2"/>
        <charset val="238"/>
      </rPr>
      <t>H</t>
    </r>
    <r>
      <rPr>
        <b/>
        <vertAlign val="subscript"/>
        <sz val="8"/>
        <color theme="1"/>
        <rFont val="Arial"/>
        <family val="2"/>
        <charset val="238"/>
      </rPr>
      <t>T</t>
    </r>
  </si>
  <si>
    <r>
      <t>W/m</t>
    </r>
    <r>
      <rPr>
        <b/>
        <vertAlign val="superscript"/>
        <sz val="8"/>
        <color theme="1"/>
        <rFont val="Arial"/>
        <family val="2"/>
        <charset val="238"/>
      </rPr>
      <t>2</t>
    </r>
  </si>
  <si>
    <r>
      <t>kWh/m</t>
    </r>
    <r>
      <rPr>
        <b/>
        <vertAlign val="superscript"/>
        <sz val="8"/>
        <color theme="1"/>
        <rFont val="Arial"/>
        <family val="2"/>
        <charset val="238"/>
      </rPr>
      <t>2</t>
    </r>
  </si>
  <si>
    <t>MWh</t>
  </si>
  <si>
    <t>Měsíc</t>
  </si>
  <si>
    <t>Počet osob</t>
  </si>
  <si>
    <t>os</t>
  </si>
  <si>
    <t>tv</t>
  </si>
  <si>
    <t>Průtokový ohřev</t>
  </si>
  <si>
    <t>Zásobníkový ohřev bez cirkulace</t>
  </si>
  <si>
    <t>Zásobníkový ohřev s řízenou cirkulací</t>
  </si>
  <si>
    <t>Zásobníkový ohřev s neřízenou cirkulací</t>
  </si>
  <si>
    <t>Solární pokrytí potřeby tepla</t>
  </si>
  <si>
    <t>Výsledky výpočtu</t>
  </si>
  <si>
    <t>Potřeba tepla na přípravu teplé vody</t>
  </si>
  <si>
    <r>
      <t xml:space="preserve">Střední sluneční ozáření </t>
    </r>
    <r>
      <rPr>
        <b/>
        <i/>
        <sz val="9"/>
        <rFont val="Arial"/>
        <family val="2"/>
        <charset val="238"/>
      </rPr>
      <t>G</t>
    </r>
    <r>
      <rPr>
        <b/>
        <vertAlign val="subscript"/>
        <sz val="9"/>
        <rFont val="Arial"/>
        <family val="2"/>
        <charset val="238"/>
      </rPr>
      <t>m</t>
    </r>
    <r>
      <rPr>
        <b/>
        <sz val="9"/>
        <rFont val="Arial"/>
        <family val="2"/>
        <charset val="238"/>
      </rPr>
      <t> [W/m</t>
    </r>
    <r>
      <rPr>
        <b/>
        <vertAlign val="superscript"/>
        <sz val="9"/>
        <rFont val="Arial"/>
        <family val="2"/>
        <charset val="238"/>
      </rPr>
      <t>2</t>
    </r>
    <r>
      <rPr>
        <b/>
        <sz val="9"/>
        <rFont val="Arial"/>
        <family val="2"/>
        <charset val="238"/>
      </rPr>
      <t>]</t>
    </r>
  </si>
  <si>
    <t>%/K</t>
  </si>
  <si>
    <t>Hrubá plocha FV modulu</t>
  </si>
  <si>
    <t>Jmenovitá teplota FV článku</t>
  </si>
  <si>
    <t>NOCT</t>
  </si>
  <si>
    <t>g</t>
  </si>
  <si>
    <t>Srážka vlivem elektrických ztrát</t>
  </si>
  <si>
    <t>ztráty</t>
  </si>
  <si>
    <t>bez MPPT</t>
  </si>
  <si>
    <t>U</t>
  </si>
  <si>
    <t>k</t>
  </si>
  <si>
    <t>z</t>
  </si>
  <si>
    <t>p</t>
  </si>
  <si>
    <r>
      <rPr>
        <b/>
        <i/>
        <sz val="8"/>
        <color theme="1"/>
        <rFont val="Symbol"/>
        <family val="1"/>
        <charset val="2"/>
      </rPr>
      <t>h</t>
    </r>
    <r>
      <rPr>
        <b/>
        <vertAlign val="subscript"/>
        <sz val="8"/>
        <color theme="1"/>
        <rFont val="Arial"/>
        <family val="2"/>
        <charset val="238"/>
      </rPr>
      <t>FV</t>
    </r>
  </si>
  <si>
    <r>
      <rPr>
        <b/>
        <i/>
        <sz val="8"/>
        <color theme="1"/>
        <rFont val="Arial"/>
        <family val="2"/>
        <charset val="238"/>
      </rPr>
      <t>E</t>
    </r>
    <r>
      <rPr>
        <b/>
        <vertAlign val="subscript"/>
        <sz val="8"/>
        <color theme="1"/>
        <rFont val="Arial"/>
        <family val="2"/>
        <charset val="238"/>
      </rPr>
      <t>FV,u</t>
    </r>
  </si>
  <si>
    <t>Výpočet přínosů solárních fotovoltaických systémů</t>
  </si>
  <si>
    <t>Pomocné (skryté) výpočty</t>
  </si>
  <si>
    <t>Teplota studené vody</t>
  </si>
  <si>
    <t>Teplota teplé vody</t>
  </si>
  <si>
    <t>Přirážka na tepelné ztráty</t>
  </si>
  <si>
    <r>
      <rPr>
        <i/>
        <sz val="11"/>
        <color theme="1"/>
        <rFont val="Calibri"/>
        <family val="2"/>
        <charset val="238"/>
        <scheme val="minor"/>
      </rPr>
      <t>t</t>
    </r>
    <r>
      <rPr>
        <vertAlign val="subscript"/>
        <sz val="11"/>
        <color theme="1"/>
        <rFont val="Calibri"/>
        <family val="2"/>
        <charset val="238"/>
        <scheme val="minor"/>
      </rPr>
      <t>TV</t>
    </r>
  </si>
  <si>
    <r>
      <rPr>
        <i/>
        <sz val="11"/>
        <color theme="1"/>
        <rFont val="Calibri"/>
        <family val="2"/>
        <charset val="238"/>
        <scheme val="minor"/>
      </rPr>
      <t>t</t>
    </r>
    <r>
      <rPr>
        <vertAlign val="subscript"/>
        <sz val="11"/>
        <color theme="1"/>
        <rFont val="Calibri"/>
        <family val="2"/>
        <charset val="238"/>
        <scheme val="minor"/>
      </rPr>
      <t>SV</t>
    </r>
  </si>
  <si>
    <r>
      <rPr>
        <i/>
        <sz val="11"/>
        <color theme="1"/>
        <rFont val="Calibri"/>
        <family val="2"/>
        <charset val="238"/>
        <scheme val="minor"/>
      </rPr>
      <t>n</t>
    </r>
    <r>
      <rPr>
        <vertAlign val="subscript"/>
        <sz val="11"/>
        <color theme="1"/>
        <rFont val="Calibri"/>
        <family val="2"/>
        <charset val="238"/>
        <scheme val="minor"/>
      </rPr>
      <t>os</t>
    </r>
  </si>
  <si>
    <t>l/os.den</t>
  </si>
  <si>
    <t>Potřeba teplé vody pro 1 osobu</t>
  </si>
  <si>
    <r>
      <rPr>
        <i/>
        <sz val="11"/>
        <color theme="1"/>
        <rFont val="Symbol"/>
        <family val="1"/>
        <charset val="2"/>
      </rPr>
      <t>h</t>
    </r>
    <r>
      <rPr>
        <vertAlign val="subscript"/>
        <sz val="11"/>
        <color theme="1"/>
        <rFont val="Calibri"/>
        <family val="2"/>
        <charset val="238"/>
        <scheme val="minor"/>
      </rPr>
      <t>ref</t>
    </r>
  </si>
  <si>
    <r>
      <rPr>
        <sz val="11"/>
        <color theme="1"/>
        <rFont val="Symbol"/>
        <family val="1"/>
        <charset val="2"/>
      </rPr>
      <t>D</t>
    </r>
    <r>
      <rPr>
        <i/>
        <sz val="11"/>
        <color theme="1"/>
        <rFont val="Symbol"/>
        <family val="1"/>
        <charset val="2"/>
      </rPr>
      <t>h</t>
    </r>
    <r>
      <rPr>
        <vertAlign val="subscript"/>
        <sz val="11"/>
        <color theme="1"/>
        <rFont val="Calibri"/>
        <family val="2"/>
        <charset val="238"/>
        <scheme val="minor"/>
      </rPr>
      <t>G</t>
    </r>
  </si>
  <si>
    <r>
      <rPr>
        <i/>
        <sz val="11"/>
        <color theme="1"/>
        <rFont val="Calibri"/>
        <family val="2"/>
        <charset val="238"/>
        <scheme val="minor"/>
      </rPr>
      <t>A</t>
    </r>
    <r>
      <rPr>
        <vertAlign val="subscript"/>
        <sz val="11"/>
        <color theme="1"/>
        <rFont val="Calibri"/>
        <family val="2"/>
        <charset val="238"/>
        <scheme val="minor"/>
      </rPr>
      <t>FV</t>
    </r>
  </si>
  <si>
    <r>
      <rPr>
        <i/>
        <sz val="11"/>
        <color theme="1"/>
        <rFont val="Calibri"/>
        <family val="2"/>
        <charset val="238"/>
        <scheme val="minor"/>
      </rPr>
      <t>n</t>
    </r>
    <r>
      <rPr>
        <vertAlign val="subscript"/>
        <sz val="11"/>
        <color theme="1"/>
        <rFont val="Calibri"/>
        <family val="2"/>
        <charset val="238"/>
        <scheme val="minor"/>
      </rPr>
      <t>k</t>
    </r>
  </si>
  <si>
    <r>
      <rPr>
        <i/>
        <sz val="11"/>
        <color theme="1"/>
        <rFont val="Calibri"/>
        <family val="2"/>
        <charset val="238"/>
        <scheme val="minor"/>
      </rPr>
      <t>A</t>
    </r>
    <r>
      <rPr>
        <vertAlign val="subscript"/>
        <sz val="11"/>
        <color theme="1"/>
        <rFont val="Calibri"/>
        <family val="2"/>
        <charset val="238"/>
        <scheme val="minor"/>
      </rPr>
      <t>G</t>
    </r>
  </si>
  <si>
    <r>
      <t>m</t>
    </r>
    <r>
      <rPr>
        <vertAlign val="superscript"/>
        <sz val="11"/>
        <color theme="1"/>
        <rFont val="Calibri"/>
        <family val="2"/>
        <charset val="238"/>
        <scheme val="minor"/>
      </rPr>
      <t>2</t>
    </r>
  </si>
  <si>
    <r>
      <t>kWh/m</t>
    </r>
    <r>
      <rPr>
        <b/>
        <vertAlign val="superscript"/>
        <sz val="11"/>
        <color theme="1"/>
        <rFont val="Calibri"/>
        <family val="2"/>
        <charset val="238"/>
        <scheme val="minor"/>
      </rPr>
      <t>2</t>
    </r>
    <r>
      <rPr>
        <b/>
        <sz val="11"/>
        <color theme="1"/>
        <rFont val="Calibri"/>
        <family val="2"/>
        <charset val="238"/>
        <scheme val="minor"/>
      </rPr>
      <t>.rok</t>
    </r>
  </si>
  <si>
    <r>
      <rPr>
        <i/>
        <sz val="11"/>
        <color theme="1"/>
        <rFont val="Calibri"/>
        <family val="2"/>
        <charset val="238"/>
        <scheme val="minor"/>
      </rPr>
      <t>A</t>
    </r>
    <r>
      <rPr>
        <vertAlign val="subscript"/>
        <sz val="11"/>
        <color theme="1"/>
        <rFont val="Calibri"/>
        <family val="2"/>
        <charset val="238"/>
        <scheme val="minor"/>
      </rPr>
      <t>a</t>
    </r>
  </si>
  <si>
    <t>f</t>
  </si>
  <si>
    <t>Měrné využité zisky fotovoltaického systému</t>
  </si>
  <si>
    <r>
      <rPr>
        <i/>
        <sz val="11"/>
        <color theme="1"/>
        <rFont val="Calibri"/>
        <family val="2"/>
        <charset val="238"/>
        <scheme val="minor"/>
      </rPr>
      <t>q</t>
    </r>
    <r>
      <rPr>
        <vertAlign val="subscript"/>
        <sz val="11"/>
        <color theme="1"/>
        <rFont val="Calibri"/>
        <family val="2"/>
        <charset val="238"/>
        <scheme val="minor"/>
      </rPr>
      <t>SF,u</t>
    </r>
  </si>
  <si>
    <r>
      <rPr>
        <b/>
        <i/>
        <sz val="8"/>
        <color theme="1"/>
        <rFont val="Arial"/>
        <family val="2"/>
        <charset val="238"/>
      </rPr>
      <t>Q</t>
    </r>
    <r>
      <rPr>
        <b/>
        <vertAlign val="subscript"/>
        <sz val="8"/>
        <color theme="1"/>
        <rFont val="Arial"/>
        <family val="2"/>
        <charset val="238"/>
      </rPr>
      <t>p,c</t>
    </r>
  </si>
  <si>
    <r>
      <rPr>
        <b/>
        <i/>
        <sz val="8"/>
        <color theme="1"/>
        <rFont val="Arial"/>
        <family val="2"/>
        <charset val="238"/>
      </rPr>
      <t>Q</t>
    </r>
    <r>
      <rPr>
        <b/>
        <vertAlign val="subscript"/>
        <sz val="8"/>
        <color theme="1"/>
        <rFont val="Arial"/>
        <family val="2"/>
        <charset val="238"/>
      </rPr>
      <t>SF,u</t>
    </r>
  </si>
  <si>
    <r>
      <rPr>
        <i/>
        <sz val="11"/>
        <color theme="1"/>
        <rFont val="Calibri"/>
        <family val="2"/>
        <charset val="238"/>
        <scheme val="minor"/>
      </rPr>
      <t>V</t>
    </r>
    <r>
      <rPr>
        <vertAlign val="subscript"/>
        <sz val="11"/>
        <color theme="1"/>
        <rFont val="Calibri"/>
        <family val="2"/>
        <charset val="238"/>
        <scheme val="minor"/>
      </rPr>
      <t>TV,os</t>
    </r>
  </si>
  <si>
    <r>
      <t>Snížení účinnosti z 1000 na 200 W/m</t>
    </r>
    <r>
      <rPr>
        <vertAlign val="superscript"/>
        <sz val="11"/>
        <color theme="1"/>
        <rFont val="Calibri"/>
        <family val="2"/>
        <charset val="238"/>
        <scheme val="minor"/>
      </rPr>
      <t>2</t>
    </r>
  </si>
  <si>
    <t>Teplotní součinitel výkonu</t>
  </si>
  <si>
    <t>Referenční účinnost (při normových pomínkách)</t>
  </si>
  <si>
    <t>Plocha apertury modulu</t>
  </si>
  <si>
    <t>Sklon modulů</t>
  </si>
  <si>
    <t>Azimut modulů</t>
  </si>
  <si>
    <r>
      <t xml:space="preserve">Azimutový úhel osluněné plochy </t>
    </r>
    <r>
      <rPr>
        <i/>
        <sz val="9"/>
        <rFont val="Symbol"/>
        <family val="1"/>
        <charset val="2"/>
      </rPr>
      <t>g</t>
    </r>
    <r>
      <rPr>
        <sz val="9"/>
        <rFont val="Arial"/>
        <family val="2"/>
        <charset val="238"/>
      </rPr>
      <t xml:space="preserve"> = </t>
    </r>
    <r>
      <rPr>
        <sz val="9"/>
        <rFont val="Symbol"/>
        <family val="1"/>
        <charset val="2"/>
      </rPr>
      <t>±</t>
    </r>
    <r>
      <rPr>
        <sz val="9"/>
        <rFont val="Arial"/>
        <family val="2"/>
        <charset val="238"/>
      </rPr>
      <t xml:space="preserve"> 60°</t>
    </r>
  </si>
  <si>
    <r>
      <t xml:space="preserve">Azimutový úhel osluněné plochy </t>
    </r>
    <r>
      <rPr>
        <i/>
        <sz val="9"/>
        <rFont val="Symbol"/>
        <family val="1"/>
        <charset val="2"/>
      </rPr>
      <t>g</t>
    </r>
    <r>
      <rPr>
        <sz val="9"/>
        <rFont val="Arial"/>
        <family val="2"/>
        <charset val="238"/>
      </rPr>
      <t xml:space="preserve"> = </t>
    </r>
    <r>
      <rPr>
        <sz val="9"/>
        <rFont val="Symbol"/>
        <family val="1"/>
        <charset val="2"/>
      </rPr>
      <t>±</t>
    </r>
    <r>
      <rPr>
        <sz val="9"/>
        <rFont val="Arial"/>
        <family val="2"/>
        <charset val="238"/>
      </rPr>
      <t xml:space="preserve"> 75°</t>
    </r>
  </si>
  <si>
    <r>
      <t xml:space="preserve">Azimutový úhel osluněné plochy </t>
    </r>
    <r>
      <rPr>
        <i/>
        <sz val="9"/>
        <rFont val="Symbol"/>
        <family val="1"/>
        <charset val="2"/>
      </rPr>
      <t>g</t>
    </r>
    <r>
      <rPr>
        <sz val="9"/>
        <rFont val="Arial"/>
        <family val="2"/>
        <charset val="238"/>
      </rPr>
      <t xml:space="preserve"> = </t>
    </r>
    <r>
      <rPr>
        <sz val="9"/>
        <rFont val="Symbol"/>
        <family val="1"/>
        <charset val="2"/>
      </rPr>
      <t>±</t>
    </r>
    <r>
      <rPr>
        <sz val="9"/>
        <rFont val="Arial"/>
        <family val="2"/>
        <charset val="238"/>
      </rPr>
      <t xml:space="preserve"> 90°</t>
    </r>
  </si>
  <si>
    <t>plocha 1</t>
  </si>
  <si>
    <t>plocha 2</t>
  </si>
  <si>
    <t xml:space="preserve">Plocha </t>
  </si>
  <si>
    <t>č. 1</t>
  </si>
  <si>
    <t>č. 2</t>
  </si>
  <si>
    <t>Počet modulů</t>
  </si>
  <si>
    <t>Hrubá plocha fotovoltaických modulů</t>
  </si>
  <si>
    <t>Celková plocha modulů</t>
  </si>
  <si>
    <t>objem</t>
  </si>
  <si>
    <t>l/kWp</t>
  </si>
  <si>
    <t>Ppk</t>
  </si>
  <si>
    <t>kWp</t>
  </si>
  <si>
    <t>Požadovaný min. objem solárního zásobníku</t>
  </si>
  <si>
    <t>l</t>
  </si>
  <si>
    <t>FV systém připojený do distribuční sítě s akumulací energie:</t>
  </si>
  <si>
    <t>FV systém pro přípravu teplé vody s přímým ohřevem</t>
  </si>
  <si>
    <t>Tenkovrstvé články</t>
  </si>
  <si>
    <t>Polykrystalické křemíkové články</t>
  </si>
  <si>
    <t>Monokrystalické křemíkové články</t>
  </si>
  <si>
    <t>Jiný</t>
  </si>
  <si>
    <t>Kotel na topný olej</t>
  </si>
  <si>
    <t>Kompaktní jednotka s tepelným čerpadlem</t>
  </si>
  <si>
    <t>Tepelné čerpadlo vzduch - vzduch</t>
  </si>
  <si>
    <t>Tepelné čerpadlo vzduch - voda</t>
  </si>
  <si>
    <t>Tepelné čerpadlo země - voda</t>
  </si>
  <si>
    <t>Tepelné čerpadlo voda - voda</t>
  </si>
  <si>
    <t>Krbová kamna na biomasu se samočinnou dodávkou paliva</t>
  </si>
  <si>
    <t xml:space="preserve">Krb. kamna na biomasu/uzavřené krb. vložky s ruční dodávkou paliva </t>
  </si>
  <si>
    <t>Kotel na biomasu se samočinnou dodávkou paliva</t>
  </si>
  <si>
    <t>Kotel na biomasu s ručním dodávkou paliva</t>
  </si>
  <si>
    <t>Plynový atmosférický kotel</t>
  </si>
  <si>
    <t>Plynový kondenzační kotel</t>
  </si>
  <si>
    <t>Elektrické akumulační vytápění</t>
  </si>
  <si>
    <t>Elektrické přímotopné vytápění</t>
  </si>
  <si>
    <t>Lokální zdroj(e) na tuhá fosilní paliva</t>
  </si>
  <si>
    <t>Kotel na tuhá fosilní paliva</t>
  </si>
  <si>
    <t>G</t>
  </si>
  <si>
    <t>F</t>
  </si>
  <si>
    <t>E</t>
  </si>
  <si>
    <t>D</t>
  </si>
  <si>
    <t>C</t>
  </si>
  <si>
    <t>B</t>
  </si>
  <si>
    <t>A</t>
  </si>
  <si>
    <r>
      <t xml:space="preserve">Soustava zásobování tepelnou energií - podíl OZE </t>
    </r>
    <r>
      <rPr>
        <sz val="9"/>
        <color theme="1"/>
        <rFont val="Calibri"/>
        <family val="2"/>
        <charset val="238"/>
      </rPr>
      <t>≤ 50%</t>
    </r>
  </si>
  <si>
    <r>
      <t xml:space="preserve">Soustava zásobování tepelnou energií - podíl OZE </t>
    </r>
    <r>
      <rPr>
        <sz val="9"/>
        <color theme="1"/>
        <rFont val="Calibri"/>
        <family val="2"/>
        <charset val="238"/>
      </rPr>
      <t>&gt; 50 - 80%</t>
    </r>
  </si>
  <si>
    <r>
      <t xml:space="preserve">Soustava zásobování tepelnou energií - podíl OZE </t>
    </r>
    <r>
      <rPr>
        <sz val="9"/>
        <color theme="1"/>
        <rFont val="Calibri"/>
        <family val="2"/>
        <charset val="238"/>
      </rPr>
      <t>&gt;80%</t>
    </r>
  </si>
  <si>
    <t>Teplo - dodávka mimo budovu</t>
  </si>
  <si>
    <t>Elektřina - dodávka mimo budovu</t>
  </si>
  <si>
    <t>Topný olej</t>
  </si>
  <si>
    <t>Propan-butan/LPG</t>
  </si>
  <si>
    <t>Energie okolního prostředí (elektřina, teplo)</t>
  </si>
  <si>
    <t>Kusové dřevo, dřevní štěpka</t>
  </si>
  <si>
    <t>Dřevěné pelety</t>
  </si>
  <si>
    <t>Elektřina</t>
  </si>
  <si>
    <t>Hnědé uhlí</t>
  </si>
  <si>
    <t>Černé uhlí</t>
  </si>
  <si>
    <t>Zemní plyn</t>
  </si>
  <si>
    <t>Ostatní neuvedené energonositele</t>
  </si>
  <si>
    <t>7. Lehký obvodový plášť (LOP)</t>
  </si>
  <si>
    <t>6. Šikmá výplň otvoru se sklonem do 45° vedoucí z temperovaného prostoru do venkovního prostředí</t>
  </si>
  <si>
    <t xml:space="preserve">5. Výplň otvoru vedoucí z temperovaného prostoru do venkovního prostředí </t>
  </si>
  <si>
    <t xml:space="preserve">4. Výplň otvoru vedoucí z vytápěného do temperovaného prostoru </t>
  </si>
  <si>
    <t>3. Dveřní výplň otvoru z vytápěného prostoru do venkovního prostředí (včetně rámu)</t>
  </si>
  <si>
    <t>2. Šikmá výplň otvoru se sklonem do 45°, z vytápěného prostoru do venkovního prostředí</t>
  </si>
  <si>
    <t>1. Výplň otvoru ve vnější stěně a strmé střeše, z vytápěného prostoru do venkovního prostředí, kromě dveří</t>
  </si>
  <si>
    <t>A.3</t>
  </si>
  <si>
    <t>A.2</t>
  </si>
  <si>
    <t>A.1</t>
  </si>
  <si>
    <t>A.0</t>
  </si>
  <si>
    <t xml:space="preserve">16. Stěna vnitřní mezi prostory s rozdílem teplot do 5 °C včetně </t>
  </si>
  <si>
    <t xml:space="preserve">15. Strop vnitřní mezi prostory s rozdílem teplot do 5 °C včetně </t>
  </si>
  <si>
    <t xml:space="preserve">14. Stěna mezi prostory s rozdílem teplot do 10 °C včetně </t>
  </si>
  <si>
    <t xml:space="preserve">13. Strop mezi prostory s rozdílem teplot do 10 °C včetně </t>
  </si>
  <si>
    <t xml:space="preserve">12. Stěna mezi sousedními budovami </t>
  </si>
  <si>
    <t xml:space="preserve">11. Podlaha a stěna temperovaného prostoru přilehlá k zemině </t>
  </si>
  <si>
    <t xml:space="preserve">10. Strop a stěna vnější z temperovaného prostoru k venkovnímu prostředí </t>
  </si>
  <si>
    <t xml:space="preserve">9. Strop a stěna vnitřní z vytápěného k temperovanému prostoru </t>
  </si>
  <si>
    <t xml:space="preserve">8. Strop a stěna vnitřní z vytápěného k nevytápěnému prostoru </t>
  </si>
  <si>
    <t xml:space="preserve">7. Podlaha a stěna vytápěného prostoru přilehlá k zemině </t>
  </si>
  <si>
    <t xml:space="preserve">6. Stěna k nevytápěné půdě (se střechou bez tepelné izolace) </t>
  </si>
  <si>
    <t xml:space="preserve">5. Strop pod nevytápěnou půdou (se střechou bez tepelné izolace) </t>
  </si>
  <si>
    <t xml:space="preserve">4. Strop s podlahou nad venkovním prostorem </t>
  </si>
  <si>
    <t xml:space="preserve">3. Střecha plochá a šikmá se sklonem do 45° včetně </t>
  </si>
  <si>
    <t xml:space="preserve">2. Střecha strmá se sklonem nad 45° </t>
  </si>
  <si>
    <t xml:space="preserve">1. Stěna vnější </t>
  </si>
  <si>
    <t>C.4.2 - Decentrální systém nuceného větrání se zpětným získáváním tepla</t>
  </si>
  <si>
    <t>C.4.1 - Centrální systém nuceného větrání se zpětným získáváním tepla</t>
  </si>
  <si>
    <t>C.2.9 - Napojení na soustavu zásobování teplem s vyšším než 50% podílem OZE</t>
  </si>
  <si>
    <t>C.2.8 - Plynový kondenzační kotel</t>
  </si>
  <si>
    <t>C.2.7 - Tepelné čerpadlo vzduch - voda</t>
  </si>
  <si>
    <t>C.2.6 - Tepelné čerpadlo země - voda</t>
  </si>
  <si>
    <t>C.2.5 - Tepelné čerpadlo voda - voda</t>
  </si>
  <si>
    <t>C.2.4 - Krbová kamna na biomasu s teplovodním výměníkem se samočinnou dodávkou paliva</t>
  </si>
  <si>
    <t>C.2.3 - Krbová kamna na biomasu s teplovodním výměníkem s ruční dodávkou paliva a uzavřené krbové vložky s teplovodním výměníkem</t>
  </si>
  <si>
    <t>C.2.2 - Kotel na biomasu se samočinnou dodávkou paliva</t>
  </si>
  <si>
    <t>C.2.1 - Kotel na biomasu s ruční dodávkou paliva</t>
  </si>
  <si>
    <t>jméno, příjmení (hůlkovým písmem) a podpis zpracovatele</t>
  </si>
  <si>
    <t>Číslo oprávnění / autorizace :</t>
  </si>
  <si>
    <t>Datum :</t>
  </si>
  <si>
    <t xml:space="preserve">Minimální požadovaný objem solárního zásobníku </t>
  </si>
  <si>
    <t>kWh/rok</t>
  </si>
  <si>
    <t>Celkový využitelný zisk solárního systému</t>
  </si>
  <si>
    <r>
      <t>kWh/m</t>
    </r>
    <r>
      <rPr>
        <vertAlign val="superscript"/>
        <sz val="8"/>
        <rFont val="Arial Narrow"/>
        <family val="2"/>
        <charset val="238"/>
      </rPr>
      <t>2</t>
    </r>
    <r>
      <rPr>
        <sz val="8"/>
        <rFont val="Arial Narrow"/>
        <family val="2"/>
        <charset val="238"/>
      </rPr>
      <t>.rok</t>
    </r>
  </si>
  <si>
    <r>
      <t>Měrný využitelný zisk solárního systému</t>
    </r>
    <r>
      <rPr>
        <i/>
        <sz val="8.5"/>
        <rFont val="Calibri"/>
        <family val="2"/>
        <charset val="238"/>
        <scheme val="minor"/>
      </rPr>
      <t/>
    </r>
  </si>
  <si>
    <t>Potřeba tepla pro přípravu TV</t>
  </si>
  <si>
    <r>
      <t>m</t>
    </r>
    <r>
      <rPr>
        <vertAlign val="superscript"/>
        <sz val="8"/>
        <rFont val="Arial Narrow"/>
        <family val="2"/>
        <charset val="238"/>
      </rPr>
      <t>2</t>
    </r>
  </si>
  <si>
    <t>Pohltivost FV - α</t>
  </si>
  <si>
    <t>Faktor snížení - k</t>
  </si>
  <si>
    <r>
      <t>W/m</t>
    </r>
    <r>
      <rPr>
        <vertAlign val="superscript"/>
        <sz val="8"/>
        <rFont val="Arial CE"/>
        <charset val="238"/>
      </rPr>
      <t>2</t>
    </r>
    <r>
      <rPr>
        <sz val="8"/>
        <rFont val="Arial CE"/>
        <charset val="238"/>
      </rPr>
      <t>.K</t>
    </r>
  </si>
  <si>
    <t>Součinitel prostupu tepla z FV článku do okolí - U</t>
  </si>
  <si>
    <t>VYHODNOCENÍ</t>
  </si>
  <si>
    <t>Podíl elektrických ztrát</t>
  </si>
  <si>
    <t>Výkonový teplotní součinitel</t>
  </si>
  <si>
    <r>
      <t xml:space="preserve">Referenční účinnost </t>
    </r>
    <r>
      <rPr>
        <sz val="8"/>
        <rFont val="Calibri"/>
        <family val="2"/>
        <charset val="238"/>
      </rPr>
      <t>η</t>
    </r>
    <r>
      <rPr>
        <vertAlign val="subscript"/>
        <sz val="8"/>
        <rFont val="Calibri"/>
        <family val="2"/>
        <charset val="238"/>
        <scheme val="minor"/>
      </rPr>
      <t>ref</t>
    </r>
  </si>
  <si>
    <r>
      <t>Snížení účinnosti z 1000 na 200 W/m - Δη</t>
    </r>
    <r>
      <rPr>
        <vertAlign val="subscript"/>
        <sz val="8"/>
        <color theme="1"/>
        <rFont val="Calibri"/>
        <family val="2"/>
        <charset val="238"/>
        <scheme val="minor"/>
      </rPr>
      <t>G</t>
    </r>
  </si>
  <si>
    <r>
      <t>kW</t>
    </r>
    <r>
      <rPr>
        <vertAlign val="subscript"/>
        <sz val="8"/>
        <rFont val="Arial CE"/>
        <charset val="238"/>
      </rPr>
      <t>p</t>
    </r>
  </si>
  <si>
    <r>
      <t>Špičkový výkon systému - P</t>
    </r>
    <r>
      <rPr>
        <vertAlign val="subscript"/>
        <sz val="8"/>
        <rFont val="Calibri"/>
        <family val="2"/>
        <charset val="238"/>
        <scheme val="minor"/>
      </rPr>
      <t>pk</t>
    </r>
  </si>
  <si>
    <t>Jmenovitá provozní teplota článku - NOCT</t>
  </si>
  <si>
    <t xml:space="preserve">Název FV panelu (typové označení) </t>
  </si>
  <si>
    <t>VSTUPNÍ HODNOTY FOTOVOLTAICKÉHO SYSTÉMU</t>
  </si>
  <si>
    <t>Název solárního zásobníku (typové označení)</t>
  </si>
  <si>
    <r>
      <t xml:space="preserve">Přirážka na tepelné ztráty při přípravě teplé vody </t>
    </r>
    <r>
      <rPr>
        <i/>
        <sz val="8"/>
        <rFont val="Calibri"/>
        <family val="2"/>
        <charset val="238"/>
        <scheme val="minor"/>
      </rPr>
      <t>z</t>
    </r>
  </si>
  <si>
    <t>Objem solárního zásobníku (uveďte podle projektu)</t>
  </si>
  <si>
    <r>
      <t>Teplota teplé vody t</t>
    </r>
    <r>
      <rPr>
        <vertAlign val="subscript"/>
        <sz val="8"/>
        <rFont val="Calibri"/>
        <family val="2"/>
        <charset val="238"/>
        <scheme val="minor"/>
      </rPr>
      <t>TV</t>
    </r>
  </si>
  <si>
    <r>
      <t>Teplota studené vody t</t>
    </r>
    <r>
      <rPr>
        <vertAlign val="subscript"/>
        <sz val="8"/>
        <color theme="1"/>
        <rFont val="Calibri"/>
        <family val="2"/>
        <charset val="238"/>
        <scheme val="minor"/>
      </rPr>
      <t>sv</t>
    </r>
    <r>
      <rPr>
        <sz val="8"/>
        <color theme="1"/>
        <rFont val="Calibri"/>
        <family val="2"/>
        <charset val="238"/>
        <scheme val="minor"/>
      </rPr>
      <t xml:space="preserve"> :</t>
    </r>
  </si>
  <si>
    <t>Spotřeba na osobu:</t>
  </si>
  <si>
    <t>osob</t>
  </si>
  <si>
    <t>Počet osob:</t>
  </si>
  <si>
    <t>VSTUPNÍ HODNOTY PRO STANOVENÍ POTŘEBY TEPLA NA PŘÍPRAVU TEPLÉ VODY</t>
  </si>
  <si>
    <t>Číslo popisné :</t>
  </si>
  <si>
    <t>Číslo parcely :</t>
  </si>
  <si>
    <t>Číslo listu vlastnictví :</t>
  </si>
  <si>
    <t>Katastrální území (číslo) :</t>
  </si>
  <si>
    <t>IDENTIFIKACE NEMOVITOSTI</t>
  </si>
  <si>
    <t>Jméno :</t>
  </si>
  <si>
    <t>Příjmení / Název :</t>
  </si>
  <si>
    <t>IDENTIFIKACE ŽADATELE</t>
  </si>
  <si>
    <t>Část A - Identifikační údaje</t>
  </si>
  <si>
    <t/>
  </si>
  <si>
    <t>Druh budovy:</t>
  </si>
  <si>
    <t>Pole FV panelů č. 1:</t>
  </si>
  <si>
    <t>Pole FV panelů č. 2:</t>
  </si>
  <si>
    <t>Instalovaný výkon pole č.1:</t>
  </si>
  <si>
    <t>Instalovaný výkon pole č.2:</t>
  </si>
  <si>
    <t>Rodinný dům</t>
  </si>
  <si>
    <t>Bytový dům</t>
  </si>
  <si>
    <t>Pokrytí potřeby tepla na přípravu TV</t>
  </si>
  <si>
    <t>(-0,46)</t>
  </si>
  <si>
    <t>(-6,7)</t>
  </si>
  <si>
    <r>
      <rPr>
        <b/>
        <sz val="20"/>
        <color rgb="FFB5CD00"/>
        <rFont val="Arial Black"/>
        <family val="2"/>
        <charset val="238"/>
      </rPr>
      <t xml:space="preserve">C.2: FV </t>
    </r>
    <r>
      <rPr>
        <b/>
        <sz val="12"/>
        <color theme="1"/>
        <rFont val="Calibri"/>
        <family val="2"/>
        <charset val="238"/>
        <scheme val="minor"/>
      </rPr>
      <t xml:space="preserve">
</t>
    </r>
    <r>
      <rPr>
        <sz val="10"/>
        <color theme="1"/>
        <rFont val="Calibri"/>
        <family val="2"/>
        <charset val="238"/>
        <scheme val="minor"/>
      </rPr>
      <t>v1.0 RD, BD (21.9.2021)</t>
    </r>
  </si>
  <si>
    <r>
      <t xml:space="preserve">Bilance solárních fotovoltaických systémů pro potřeby programu Nová zelená úsporám v rámci Národního plánu obnovy
</t>
    </r>
    <r>
      <rPr>
        <b/>
        <sz val="10"/>
        <color theme="1"/>
        <rFont val="Calibri"/>
        <family val="2"/>
        <charset val="238"/>
        <scheme val="minor"/>
      </rPr>
      <t>Rodinné a bytové domy - Oblast podpory C.2: FV - Solární fotovoltaický ohřev vody</t>
    </r>
  </si>
  <si>
    <t>regulátor s MPPT</t>
  </si>
  <si>
    <t>střídač s MPPT</t>
  </si>
  <si>
    <r>
      <t xml:space="preserve">Sklon solárního FV panelu β </t>
    </r>
    <r>
      <rPr>
        <i/>
        <sz val="8"/>
        <rFont val="Calibri"/>
        <family val="2"/>
        <charset val="238"/>
        <scheme val="minor"/>
      </rPr>
      <t>(svisle=90°)</t>
    </r>
  </si>
  <si>
    <r>
      <t xml:space="preserve">Azimut solárního FV panelu - </t>
    </r>
    <r>
      <rPr>
        <sz val="8"/>
        <rFont val="Calibri"/>
        <family val="2"/>
        <charset val="238"/>
      </rPr>
      <t>γ</t>
    </r>
    <r>
      <rPr>
        <sz val="8"/>
        <rFont val="Calibri"/>
        <family val="2"/>
        <charset val="238"/>
        <scheme val="minor"/>
      </rPr>
      <t xml:space="preserve"> </t>
    </r>
    <r>
      <rPr>
        <i/>
        <sz val="8"/>
        <rFont val="Calibri"/>
        <family val="2"/>
        <charset val="238"/>
        <scheme val="minor"/>
      </rPr>
      <t>(Jih = 0°)</t>
    </r>
  </si>
  <si>
    <r>
      <t xml:space="preserve">Azimut solárního FV panelu - γ </t>
    </r>
    <r>
      <rPr>
        <i/>
        <sz val="8"/>
        <rFont val="Calibri"/>
        <family val="2"/>
        <charset val="238"/>
        <scheme val="minor"/>
      </rPr>
      <t>(Jih = 0°)</t>
    </r>
  </si>
  <si>
    <r>
      <t xml:space="preserve">Plocha FV panelů </t>
    </r>
    <r>
      <rPr>
        <i/>
        <sz val="8.5"/>
        <rFont val="Calibri"/>
        <family val="2"/>
        <charset val="238"/>
        <scheme val="minor"/>
      </rPr>
      <t>(vztažná plocha)</t>
    </r>
    <r>
      <rPr>
        <sz val="8.5"/>
        <rFont val="Calibri"/>
        <family val="2"/>
        <charset val="238"/>
        <scheme val="minor"/>
      </rPr>
      <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</si>
</sst>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0.0"/>
    <numFmt numFmtId="165" formatCode="0.000"/>
    <numFmt numFmtId="166" formatCode="_-* #,##0.00\ _K_č_-;\-* #,##0.00\ _K_č_-;_-* &quot;-&quot;??\ _K_č_-;_-@_-"/>
    <numFmt numFmtId="167" formatCode="0.0%"/>
  </numFmts>
  <fonts count="57">
    <font>
      <sz val="11"/>
      <color theme="1"/>
      <name val="Calibri"/>
      <family val="2"/>
      <charset val="238"/>
      <scheme val="minor"/>
    </font>
    <font>
      <b/>
      <sz val="11"/>
      <color theme="1"/>
      <name val="Calibri"/>
      <family val="2"/>
      <charset val="238"/>
      <scheme val="minor"/>
    </font>
    <font>
      <sz val="8"/>
      <color theme="1"/>
      <name val="Arial"/>
      <family val="2"/>
      <charset val="238"/>
    </font>
    <font>
      <sz val="10"/>
      <name val="Arial CE"/>
      <charset val="238"/>
    </font>
    <font>
      <b/>
      <sz val="9"/>
      <name val="Arial"/>
      <family val="2"/>
      <charset val="238"/>
    </font>
    <font>
      <b/>
      <i/>
      <sz val="9"/>
      <name val="Arial"/>
      <family val="2"/>
      <charset val="238"/>
    </font>
    <font>
      <b/>
      <vertAlign val="subscript"/>
      <sz val="9"/>
      <name val="Arial"/>
      <family val="2"/>
      <charset val="238"/>
    </font>
    <font>
      <b/>
      <vertAlign val="superscript"/>
      <sz val="9"/>
      <name val="Arial"/>
      <family val="2"/>
      <charset val="238"/>
    </font>
    <font>
      <b/>
      <i/>
      <sz val="9"/>
      <name val="Symbol"/>
      <family val="1"/>
      <charset val="2"/>
    </font>
    <font>
      <sz val="9"/>
      <name val="Arial"/>
      <family val="2"/>
      <charset val="238"/>
    </font>
    <font>
      <i/>
      <sz val="9"/>
      <name val="Symbol"/>
      <family val="1"/>
      <charset val="2"/>
    </font>
    <font>
      <sz val="9"/>
      <name val="Symbol"/>
      <family val="1"/>
      <charset val="2"/>
    </font>
    <font>
      <b/>
      <sz val="8"/>
      <color theme="1"/>
      <name val="Arial"/>
      <family val="2"/>
      <charset val="238"/>
    </font>
    <font>
      <b/>
      <i/>
      <sz val="8"/>
      <color theme="1"/>
      <name val="Arial"/>
      <family val="2"/>
      <charset val="238"/>
    </font>
    <font>
      <b/>
      <vertAlign val="subscript"/>
      <sz val="8"/>
      <color theme="1"/>
      <name val="Arial"/>
      <family val="2"/>
      <charset val="238"/>
    </font>
    <font>
      <b/>
      <vertAlign val="superscript"/>
      <sz val="8"/>
      <color theme="1"/>
      <name val="Arial"/>
      <family val="2"/>
      <charset val="238"/>
    </font>
    <font>
      <b/>
      <i/>
      <sz val="8"/>
      <color theme="1"/>
      <name val="Symbol"/>
      <family val="1"/>
      <charset val="2"/>
    </font>
    <font>
      <b/>
      <sz val="10"/>
      <color theme="1"/>
      <name val="Arial"/>
      <family val="2"/>
      <charset val="238"/>
    </font>
    <font>
      <b/>
      <sz val="8"/>
      <color theme="1"/>
      <name val="Arial"/>
      <family val="1"/>
      <charset val="2"/>
    </font>
    <font>
      <i/>
      <sz val="11"/>
      <color theme="1"/>
      <name val="Calibri"/>
      <family val="2"/>
      <charset val="238"/>
      <scheme val="minor"/>
    </font>
    <font>
      <vertAlign val="subscript"/>
      <sz val="11"/>
      <color theme="1"/>
      <name val="Calibri"/>
      <family val="2"/>
      <charset val="238"/>
      <scheme val="minor"/>
    </font>
    <font>
      <sz val="11"/>
      <color theme="1"/>
      <name val="Calibri"/>
      <family val="1"/>
      <charset val="2"/>
      <scheme val="minor"/>
    </font>
    <font>
      <i/>
      <sz val="11"/>
      <color theme="1"/>
      <name val="Symbol"/>
      <family val="1"/>
      <charset val="2"/>
    </font>
    <font>
      <sz val="11"/>
      <color theme="1"/>
      <name val="Symbol"/>
      <family val="1"/>
      <charset val="2"/>
    </font>
    <font>
      <vertAlign val="superscript"/>
      <sz val="11"/>
      <color theme="1"/>
      <name val="Calibri"/>
      <family val="2"/>
      <charset val="238"/>
      <scheme val="minor"/>
    </font>
    <font>
      <b/>
      <vertAlign val="superscript"/>
      <sz val="11"/>
      <color theme="1"/>
      <name val="Calibri"/>
      <family val="2"/>
      <charset val="238"/>
      <scheme val="minor"/>
    </font>
    <font>
      <sz val="11"/>
      <color theme="1"/>
      <name val="Calibri"/>
      <family val="2"/>
      <charset val="238"/>
      <scheme val="minor"/>
    </font>
    <font>
      <sz val="8"/>
      <color theme="1"/>
      <name val="Calibri"/>
      <family val="2"/>
      <charset val="238"/>
      <scheme val="minor"/>
    </font>
    <font>
      <sz val="9"/>
      <color theme="1"/>
      <name val="Calibri"/>
      <family val="2"/>
      <charset val="238"/>
      <scheme val="minor"/>
    </font>
    <font>
      <sz val="9"/>
      <color rgb="FF2905FF"/>
      <name val="Calibri"/>
      <family val="2"/>
      <charset val="238"/>
      <scheme val="minor"/>
    </font>
    <font>
      <sz val="10"/>
      <color theme="1"/>
      <name val="Calibri"/>
      <family val="2"/>
      <charset val="238"/>
      <scheme val="minor"/>
    </font>
    <font>
      <sz val="8"/>
      <name val="Calibri"/>
      <family val="2"/>
      <charset val="238"/>
      <scheme val="minor"/>
    </font>
    <font>
      <b/>
      <sz val="10"/>
      <color theme="0"/>
      <name val="Calibri"/>
      <family val="2"/>
      <charset val="238"/>
      <scheme val="minor"/>
    </font>
    <font>
      <sz val="9"/>
      <color theme="1"/>
      <name val="Calibri"/>
      <family val="2"/>
      <charset val="238"/>
    </font>
    <font>
      <sz val="10"/>
      <name val="Calibri"/>
      <family val="2"/>
      <charset val="238"/>
      <scheme val="minor"/>
    </font>
    <font>
      <sz val="11"/>
      <color rgb="FF2905FF"/>
      <name val="Calibri"/>
      <family val="2"/>
      <charset val="238"/>
      <scheme val="minor"/>
    </font>
    <font>
      <sz val="10"/>
      <color rgb="FF2905FF"/>
      <name val="Calibri"/>
      <family val="2"/>
      <charset val="238"/>
      <scheme val="minor"/>
    </font>
    <font>
      <sz val="8"/>
      <name val="Arial Narrow"/>
      <family val="2"/>
      <charset val="238"/>
    </font>
    <font>
      <sz val="8.5"/>
      <name val="Calibri"/>
      <family val="2"/>
      <charset val="238"/>
      <scheme val="minor"/>
    </font>
    <font>
      <vertAlign val="superscript"/>
      <sz val="8"/>
      <name val="Arial Narrow"/>
      <family val="2"/>
      <charset val="238"/>
    </font>
    <font>
      <i/>
      <sz val="8.5"/>
      <name val="Calibri"/>
      <family val="2"/>
      <charset val="238"/>
      <scheme val="minor"/>
    </font>
    <font>
      <vertAlign val="superscript"/>
      <sz val="8"/>
      <name val="Arial CE"/>
      <charset val="238"/>
    </font>
    <font>
      <sz val="8"/>
      <name val="Arial CE"/>
      <charset val="238"/>
    </font>
    <font>
      <sz val="8"/>
      <name val="Calibri"/>
      <family val="2"/>
      <charset val="238"/>
    </font>
    <font>
      <sz val="11"/>
      <name val="Calibri"/>
      <family val="2"/>
      <charset val="238"/>
      <scheme val="minor"/>
    </font>
    <font>
      <sz val="8"/>
      <color rgb="FF2905FF"/>
      <name val="Calibri"/>
      <family val="2"/>
      <charset val="238"/>
      <scheme val="minor"/>
    </font>
    <font>
      <vertAlign val="subscript"/>
      <sz val="8"/>
      <name val="Calibri"/>
      <family val="2"/>
      <charset val="238"/>
      <scheme val="minor"/>
    </font>
    <font>
      <vertAlign val="subscript"/>
      <sz val="8"/>
      <color theme="1"/>
      <name val="Calibri"/>
      <family val="2"/>
      <charset val="238"/>
      <scheme val="minor"/>
    </font>
    <font>
      <vertAlign val="subscript"/>
      <sz val="8"/>
      <name val="Arial CE"/>
      <charset val="238"/>
    </font>
    <font>
      <i/>
      <sz val="8"/>
      <name val="Calibri"/>
      <family val="2"/>
      <charset val="238"/>
      <scheme val="minor"/>
    </font>
    <font>
      <sz val="9"/>
      <name val="Calibri"/>
      <family val="2"/>
      <charset val="238"/>
      <scheme val="minor"/>
    </font>
    <font>
      <b/>
      <sz val="12"/>
      <color theme="1"/>
      <name val="Calibri"/>
      <family val="2"/>
      <charset val="238"/>
      <scheme val="minor"/>
    </font>
    <font>
      <b/>
      <sz val="8"/>
      <color theme="1"/>
      <name val="Calibri"/>
      <family val="2"/>
      <charset val="238"/>
      <scheme val="minor"/>
    </font>
    <font>
      <sz val="8.5"/>
      <name val="Arial CE"/>
      <charset val="238"/>
    </font>
    <font>
      <b/>
      <sz val="9"/>
      <name val="Arial CE"/>
      <charset val="238"/>
    </font>
    <font>
      <b/>
      <sz val="20"/>
      <color rgb="FFB5CD00"/>
      <name val="Arial Black"/>
      <family val="2"/>
      <charset val="238"/>
    </font>
    <font>
      <b/>
      <sz val="10"/>
      <color theme="1"/>
      <name val="Calibri"/>
      <family val="2"/>
      <charset val="238"/>
      <scheme val="minor"/>
    </font>
  </fonts>
  <fills count="9">
    <fill>
      <patternFill patternType="none"/>
    </fill>
    <fill>
      <patternFill patternType="gray125"/>
    </fill>
    <fill>
      <patternFill patternType="solid">
        <fgColor theme="0"/>
        <bgColor indexed="64"/>
      </patternFill>
    </fill>
    <fill>
      <patternFill patternType="solid">
        <fgColor rgb="FFB5CD00"/>
        <bgColor indexed="64"/>
      </patternFill>
    </fill>
    <fill>
      <patternFill patternType="solid">
        <fgColor theme="4" tint="0.79998168889431442"/>
        <bgColor indexed="64"/>
      </patternFill>
    </fill>
    <fill>
      <patternFill patternType="solid">
        <fgColor indexed="22"/>
        <bgColor indexed="64"/>
      </patternFill>
    </fill>
    <fill>
      <patternFill patternType="solid">
        <fgColor rgb="FFFFFF00"/>
        <bgColor indexed="64"/>
      </patternFill>
    </fill>
    <fill>
      <patternFill patternType="solid">
        <fgColor rgb="FF92D050"/>
        <bgColor indexed="64"/>
      </patternFill>
    </fill>
    <fill>
      <patternFill patternType="solid">
        <fgColor rgb="FF00B0F0"/>
        <bgColor indexed="64"/>
      </patternFill>
    </fill>
  </fills>
  <borders count="78">
    <border>
      <left/>
      <right/>
      <top/>
      <bottom/>
      <diagonal/>
    </border>
    <border>
      <left style="thin">
        <color indexed="64"/>
      </left>
      <right style="thin">
        <color indexed="64"/>
      </right>
      <top style="thin">
        <color indexed="64"/>
      </top>
      <bottom style="thin">
        <color indexed="64"/>
      </bottom>
      <diagonal/>
    </border>
    <border>
      <left style="thick">
        <color indexed="64"/>
      </left>
      <right style="medium">
        <color indexed="64"/>
      </right>
      <top style="thick">
        <color indexed="64"/>
      </top>
      <bottom/>
      <diagonal/>
    </border>
    <border>
      <left style="medium">
        <color indexed="64"/>
      </left>
      <right/>
      <top style="thick">
        <color indexed="64"/>
      </top>
      <bottom style="medium">
        <color indexed="64"/>
      </bottom>
      <diagonal/>
    </border>
    <border>
      <left/>
      <right/>
      <top style="thick">
        <color indexed="64"/>
      </top>
      <bottom style="medium">
        <color indexed="64"/>
      </bottom>
      <diagonal/>
    </border>
    <border>
      <left/>
      <right style="thick">
        <color indexed="64"/>
      </right>
      <top style="thick">
        <color indexed="64"/>
      </top>
      <bottom style="medium">
        <color indexed="64"/>
      </bottom>
      <diagonal/>
    </border>
    <border>
      <left style="thick">
        <color indexed="64"/>
      </left>
      <right style="medium">
        <color indexed="64"/>
      </right>
      <top/>
      <bottom style="thick">
        <color indexed="64"/>
      </bottom>
      <diagonal/>
    </border>
    <border>
      <left/>
      <right style="medium">
        <color indexed="64"/>
      </right>
      <top/>
      <bottom style="thick">
        <color indexed="64"/>
      </bottom>
      <diagonal/>
    </border>
    <border>
      <left/>
      <right style="thick">
        <color indexed="64"/>
      </right>
      <top/>
      <bottom style="thick">
        <color indexed="64"/>
      </bottom>
      <diagonal/>
    </border>
    <border>
      <left style="thick">
        <color indexed="64"/>
      </left>
      <right/>
      <top style="thick">
        <color indexed="64"/>
      </top>
      <bottom style="medium">
        <color indexed="64"/>
      </bottom>
      <diagonal/>
    </border>
    <border>
      <left style="thick">
        <color indexed="64"/>
      </left>
      <right style="medium">
        <color indexed="64"/>
      </right>
      <top/>
      <bottom style="medium">
        <color indexed="64"/>
      </bottom>
      <diagonal/>
    </border>
    <border>
      <left/>
      <right style="medium">
        <color indexed="64"/>
      </right>
      <top/>
      <bottom style="medium">
        <color indexed="64"/>
      </bottom>
      <diagonal/>
    </border>
    <border>
      <left/>
      <right style="thick">
        <color indexed="64"/>
      </right>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thin">
        <color auto="1"/>
      </right>
      <top/>
      <bottom style="thin">
        <color auto="1"/>
      </bottom>
      <diagonal/>
    </border>
    <border>
      <left style="thin">
        <color auto="1"/>
      </left>
      <right/>
      <top style="hair">
        <color auto="1"/>
      </top>
      <bottom style="thin">
        <color auto="1"/>
      </bottom>
      <diagonal/>
    </border>
    <border>
      <left/>
      <right style="thin">
        <color auto="1"/>
      </right>
      <top/>
      <bottom/>
      <diagonal/>
    </border>
    <border>
      <left style="thin">
        <color auto="1"/>
      </left>
      <right/>
      <top style="hair">
        <color auto="1"/>
      </top>
      <bottom style="hair">
        <color auto="1"/>
      </bottom>
      <diagonal/>
    </border>
    <border>
      <left/>
      <right style="thin">
        <color auto="1"/>
      </right>
      <top style="thin">
        <color auto="1"/>
      </top>
      <bottom/>
      <diagonal/>
    </border>
    <border>
      <left style="thin">
        <color indexed="64"/>
      </left>
      <right/>
      <top style="thin">
        <color indexed="64"/>
      </top>
      <bottom/>
      <diagonal/>
    </border>
    <border>
      <left style="thin">
        <color indexed="64"/>
      </left>
      <right style="thin">
        <color indexed="64"/>
      </right>
      <top/>
      <bottom/>
      <diagonal/>
    </border>
    <border>
      <left/>
      <right/>
      <top/>
      <bottom style="thin">
        <color indexed="64"/>
      </bottom>
      <diagonal/>
    </border>
    <border>
      <left style="thin">
        <color indexed="64"/>
      </left>
      <right/>
      <top/>
      <bottom style="thin">
        <color indexed="64"/>
      </bottom>
      <diagonal/>
    </border>
    <border>
      <left style="thin">
        <color indexed="64"/>
      </left>
      <right/>
      <top/>
      <bottom/>
      <diagonal/>
    </border>
    <border>
      <left/>
      <right/>
      <top style="thin">
        <color indexed="64"/>
      </top>
      <bottom/>
      <diagonal/>
    </border>
    <border>
      <left/>
      <right/>
      <top style="hair">
        <color auto="1"/>
      </top>
      <bottom/>
      <diagonal/>
    </border>
    <border>
      <left/>
      <right/>
      <top/>
      <bottom style="hair">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indexed="64"/>
      </left>
      <right/>
      <top style="thin">
        <color indexed="64"/>
      </top>
      <bottom style="thin">
        <color indexed="64"/>
      </bottom>
      <diagonal/>
    </border>
    <border>
      <left/>
      <right style="thin">
        <color auto="1"/>
      </right>
      <top style="hair">
        <color auto="1"/>
      </top>
      <bottom style="thin">
        <color auto="1"/>
      </bottom>
      <diagonal/>
    </border>
    <border>
      <left/>
      <right/>
      <top style="hair">
        <color indexed="64"/>
      </top>
      <bottom style="thin">
        <color indexed="64"/>
      </bottom>
      <diagonal/>
    </border>
    <border>
      <left style="hair">
        <color indexed="64"/>
      </left>
      <right/>
      <top style="hair">
        <color indexed="64"/>
      </top>
      <bottom style="thin">
        <color indexed="64"/>
      </bottom>
      <diagonal/>
    </border>
    <border>
      <left/>
      <right style="hair">
        <color indexed="64"/>
      </right>
      <top style="hair">
        <color indexed="64"/>
      </top>
      <bottom style="thin">
        <color indexed="64"/>
      </bottom>
      <diagonal/>
    </border>
    <border>
      <left/>
      <right style="thin">
        <color auto="1"/>
      </right>
      <top style="hair">
        <color auto="1"/>
      </top>
      <bottom style="hair">
        <color auto="1"/>
      </bottom>
      <diagonal/>
    </border>
    <border>
      <left/>
      <right/>
      <top style="hair">
        <color indexed="64"/>
      </top>
      <bottom style="hair">
        <color indexed="64"/>
      </bottom>
      <diagonal/>
    </border>
    <border>
      <left style="hair">
        <color indexed="64"/>
      </left>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auto="1"/>
      </left>
      <right style="thin">
        <color auto="1"/>
      </right>
      <top style="thin">
        <color auto="1"/>
      </top>
      <bottom style="thin">
        <color auto="1"/>
      </bottom>
      <diagonal/>
    </border>
    <border>
      <left style="hair">
        <color auto="1"/>
      </left>
      <right style="hair">
        <color auto="1"/>
      </right>
      <top style="thin">
        <color auto="1"/>
      </top>
      <bottom style="thin">
        <color auto="1"/>
      </bottom>
      <diagonal/>
    </border>
    <border>
      <left style="thin">
        <color auto="1"/>
      </left>
      <right style="hair">
        <color auto="1"/>
      </right>
      <top style="thin">
        <color auto="1"/>
      </top>
      <bottom style="thin">
        <color auto="1"/>
      </bottom>
      <diagonal/>
    </border>
    <border>
      <left style="hair">
        <color indexed="64"/>
      </left>
      <right style="hair">
        <color indexed="64"/>
      </right>
      <top style="hair">
        <color indexed="64"/>
      </top>
      <bottom style="thin">
        <color indexed="64"/>
      </bottom>
      <diagonal/>
    </border>
    <border>
      <left style="thin">
        <color indexed="64"/>
      </left>
      <right style="hair">
        <color auto="1"/>
      </right>
      <top style="hair">
        <color auto="1"/>
      </top>
      <bottom style="hair">
        <color auto="1"/>
      </bottom>
      <diagonal/>
    </border>
    <border>
      <left style="hair">
        <color indexed="64"/>
      </left>
      <right style="thin">
        <color auto="1"/>
      </right>
      <top style="hair">
        <color indexed="64"/>
      </top>
      <bottom style="hair">
        <color indexed="64"/>
      </bottom>
      <diagonal/>
    </border>
    <border>
      <left/>
      <right style="thin">
        <color auto="1"/>
      </right>
      <top style="thin">
        <color auto="1"/>
      </top>
      <bottom style="hair">
        <color auto="1"/>
      </bottom>
      <diagonal/>
    </border>
    <border>
      <left/>
      <right/>
      <top style="thin">
        <color indexed="64"/>
      </top>
      <bottom style="hair">
        <color indexed="64"/>
      </bottom>
      <diagonal/>
    </border>
    <border>
      <left style="hair">
        <color auto="1"/>
      </left>
      <right/>
      <top style="thin">
        <color auto="1"/>
      </top>
      <bottom style="hair">
        <color auto="1"/>
      </bottom>
      <diagonal/>
    </border>
    <border>
      <left style="thin">
        <color auto="1"/>
      </left>
      <right/>
      <top style="thin">
        <color auto="1"/>
      </top>
      <bottom style="hair">
        <color auto="1"/>
      </bottom>
      <diagonal/>
    </border>
    <border>
      <left style="hair">
        <color indexed="64"/>
      </left>
      <right style="thin">
        <color auto="1"/>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thin">
        <color indexed="64"/>
      </left>
      <right style="hair">
        <color indexed="64"/>
      </right>
      <top style="thin">
        <color indexed="64"/>
      </top>
      <bottom style="hair">
        <color indexed="64"/>
      </bottom>
      <diagonal/>
    </border>
    <border>
      <left style="thin">
        <color indexed="64"/>
      </left>
      <right style="hair">
        <color auto="1"/>
      </right>
      <top style="hair">
        <color auto="1"/>
      </top>
      <bottom/>
      <diagonal/>
    </border>
    <border>
      <left style="hair">
        <color indexed="64"/>
      </left>
      <right style="hair">
        <color indexed="64"/>
      </right>
      <top style="hair">
        <color indexed="64"/>
      </top>
      <bottom/>
      <diagonal/>
    </border>
    <border>
      <left style="hair">
        <color indexed="64"/>
      </left>
      <right/>
      <top style="hair">
        <color indexed="64"/>
      </top>
      <bottom/>
      <diagonal/>
    </border>
    <border>
      <left/>
      <right style="thin">
        <color auto="1"/>
      </right>
      <top style="hair">
        <color auto="1"/>
      </top>
      <bottom/>
      <diagonal/>
    </border>
    <border>
      <left/>
      <right style="hair">
        <color indexed="64"/>
      </right>
      <top style="thin">
        <color indexed="64"/>
      </top>
      <bottom style="thin">
        <color indexed="64"/>
      </bottom>
      <diagonal/>
    </border>
    <border>
      <left style="hair">
        <color indexed="64"/>
      </left>
      <right style="medium">
        <color indexed="64"/>
      </right>
      <top style="hair">
        <color indexed="64"/>
      </top>
      <bottom style="thin">
        <color indexed="64"/>
      </bottom>
      <diagonal/>
    </border>
    <border>
      <left style="hair">
        <color indexed="64"/>
      </left>
      <right style="hair">
        <color indexed="64"/>
      </right>
      <top style="hair">
        <color indexed="64"/>
      </top>
      <bottom style="medium">
        <color indexed="64"/>
      </bottom>
      <diagonal/>
    </border>
    <border>
      <left style="hair">
        <color indexed="64"/>
      </left>
      <right/>
      <top style="hair">
        <color indexed="64"/>
      </top>
      <bottom style="medium">
        <color indexed="64"/>
      </bottom>
      <diagonal/>
    </border>
    <border>
      <left style="hair">
        <color indexed="64"/>
      </left>
      <right/>
      <top style="thin">
        <color indexed="64"/>
      </top>
      <bottom style="medium">
        <color indexed="64"/>
      </bottom>
      <diagonal/>
    </border>
    <border>
      <left/>
      <right style="hair">
        <color indexed="64"/>
      </right>
      <top style="thin">
        <color indexed="64"/>
      </top>
      <bottom style="medium">
        <color indexed="64"/>
      </bottom>
      <diagonal/>
    </border>
    <border>
      <left/>
      <right/>
      <top style="medium">
        <color indexed="64"/>
      </top>
      <bottom/>
      <diagonal/>
    </border>
    <border>
      <left/>
      <right style="medium">
        <color indexed="64"/>
      </right>
      <top style="medium">
        <color indexed="64"/>
      </top>
      <bottom/>
      <diagonal/>
    </border>
    <border>
      <left style="hair">
        <color indexed="64"/>
      </left>
      <right style="medium">
        <color indexed="64"/>
      </right>
      <top style="hair">
        <color indexed="64"/>
      </top>
      <bottom/>
      <diagonal/>
    </border>
    <border>
      <left style="medium">
        <color indexed="64"/>
      </left>
      <right/>
      <top style="thin">
        <color auto="1"/>
      </top>
      <bottom style="medium">
        <color indexed="64"/>
      </bottom>
      <diagonal/>
    </border>
    <border>
      <left/>
      <right/>
      <top style="thin">
        <color auto="1"/>
      </top>
      <bottom style="medium">
        <color indexed="64"/>
      </bottom>
      <diagonal/>
    </border>
    <border>
      <left/>
      <right style="medium">
        <color indexed="64"/>
      </right>
      <top style="thin">
        <color indexed="64"/>
      </top>
      <bottom style="medium">
        <color indexed="64"/>
      </bottom>
      <diagonal/>
    </border>
    <border>
      <left/>
      <right style="medium">
        <color indexed="64"/>
      </right>
      <top style="hair">
        <color indexed="64"/>
      </top>
      <bottom style="medium">
        <color indexed="64"/>
      </bottom>
      <diagonal/>
    </border>
    <border>
      <left style="medium">
        <color indexed="64"/>
      </left>
      <right/>
      <top style="medium">
        <color indexed="64"/>
      </top>
      <bottom style="hair">
        <color indexed="64"/>
      </bottom>
      <diagonal/>
    </border>
    <border>
      <left/>
      <right/>
      <top style="medium">
        <color indexed="64"/>
      </top>
      <bottom style="hair">
        <color indexed="64"/>
      </bottom>
      <diagonal/>
    </border>
    <border>
      <left/>
      <right style="medium">
        <color indexed="64"/>
      </right>
      <top style="medium">
        <color indexed="64"/>
      </top>
      <bottom style="hair">
        <color indexed="64"/>
      </bottom>
      <diagonal/>
    </border>
    <border>
      <left style="medium">
        <color indexed="64"/>
      </left>
      <right/>
      <top style="medium">
        <color indexed="64"/>
      </top>
      <bottom/>
      <diagonal/>
    </border>
    <border>
      <left style="medium">
        <color indexed="64"/>
      </left>
      <right/>
      <top style="hair">
        <color indexed="64"/>
      </top>
      <bottom style="thin">
        <color indexed="64"/>
      </bottom>
      <diagonal/>
    </border>
    <border>
      <left style="medium">
        <color indexed="64"/>
      </left>
      <right/>
      <top style="thin">
        <color indexed="64"/>
      </top>
      <bottom style="thin">
        <color indexed="64"/>
      </bottom>
      <diagonal/>
    </border>
  </borders>
  <cellStyleXfs count="5">
    <xf numFmtId="0" fontId="0" fillId="0" borderId="0"/>
    <xf numFmtId="0" fontId="3" fillId="0" borderId="0"/>
    <xf numFmtId="0" fontId="26" fillId="0" borderId="0"/>
    <xf numFmtId="9" fontId="3" fillId="0" borderId="0" applyFont="0" applyFill="0" applyBorder="0" applyAlignment="0" applyProtection="0"/>
    <xf numFmtId="166" fontId="3" fillId="0" borderId="0" applyFont="0" applyFill="0" applyBorder="0" applyAlignment="0" applyProtection="0"/>
  </cellStyleXfs>
  <cellXfs count="298">
    <xf numFmtId="0" fontId="0" fillId="0" borderId="0" xfId="0"/>
    <xf numFmtId="0" fontId="2" fillId="2" borderId="1" xfId="0" applyFont="1" applyFill="1" applyBorder="1" applyAlignment="1" applyProtection="1">
      <alignment horizontal="center" vertical="center"/>
      <protection hidden="1"/>
    </xf>
    <xf numFmtId="0" fontId="3" fillId="0" borderId="0" xfId="1" applyProtection="1">
      <protection hidden="1"/>
    </xf>
    <xf numFmtId="1" fontId="3" fillId="0" borderId="0" xfId="1" applyNumberFormat="1" applyProtection="1">
      <protection hidden="1"/>
    </xf>
    <xf numFmtId="164" fontId="9" fillId="0" borderId="11" xfId="1" applyNumberFormat="1" applyFont="1" applyBorder="1" applyAlignment="1" applyProtection="1">
      <alignment horizontal="center" vertical="center" wrapText="1"/>
      <protection hidden="1"/>
    </xf>
    <xf numFmtId="164" fontId="9" fillId="0" borderId="7" xfId="1" applyNumberFormat="1" applyFont="1" applyBorder="1" applyAlignment="1" applyProtection="1">
      <alignment horizontal="center" vertical="center" wrapText="1"/>
      <protection hidden="1"/>
    </xf>
    <xf numFmtId="0" fontId="3" fillId="0" borderId="1" xfId="1" applyBorder="1" applyAlignment="1" applyProtection="1">
      <alignment horizontal="center"/>
      <protection hidden="1"/>
    </xf>
    <xf numFmtId="164" fontId="3" fillId="0" borderId="1" xfId="1" applyNumberFormat="1" applyBorder="1" applyAlignment="1" applyProtection="1">
      <alignment horizontal="center"/>
      <protection hidden="1"/>
    </xf>
    <xf numFmtId="164" fontId="9" fillId="0" borderId="8" xfId="1" applyNumberFormat="1" applyFont="1" applyBorder="1" applyAlignment="1" applyProtection="1">
      <alignment horizontal="center" vertical="center" wrapText="1"/>
      <protection hidden="1"/>
    </xf>
    <xf numFmtId="1" fontId="9" fillId="0" borderId="7" xfId="1" applyNumberFormat="1" applyFont="1" applyBorder="1" applyAlignment="1" applyProtection="1">
      <alignment horizontal="center" vertical="center" wrapText="1"/>
      <protection hidden="1"/>
    </xf>
    <xf numFmtId="1" fontId="9" fillId="0" borderId="8" xfId="1" applyNumberFormat="1" applyFont="1" applyBorder="1" applyAlignment="1" applyProtection="1">
      <alignment horizontal="center" vertical="center" wrapText="1"/>
      <protection hidden="1"/>
    </xf>
    <xf numFmtId="1" fontId="9" fillId="0" borderId="10" xfId="1" applyNumberFormat="1" applyFont="1" applyBorder="1" applyAlignment="1" applyProtection="1">
      <alignment horizontal="center" vertical="center" wrapText="1"/>
      <protection hidden="1"/>
    </xf>
    <xf numFmtId="1" fontId="9" fillId="0" borderId="11" xfId="1" applyNumberFormat="1" applyFont="1" applyBorder="1" applyAlignment="1" applyProtection="1">
      <alignment horizontal="center" vertical="center" wrapText="1"/>
      <protection hidden="1"/>
    </xf>
    <xf numFmtId="1" fontId="9" fillId="0" borderId="12" xfId="1" applyNumberFormat="1" applyFont="1" applyBorder="1" applyAlignment="1" applyProtection="1">
      <alignment horizontal="center" vertical="center" wrapText="1"/>
      <protection hidden="1"/>
    </xf>
    <xf numFmtId="1" fontId="9" fillId="0" borderId="6" xfId="1" applyNumberFormat="1" applyFont="1" applyBorder="1" applyAlignment="1" applyProtection="1">
      <alignment horizontal="center" vertical="center" wrapText="1"/>
      <protection hidden="1"/>
    </xf>
    <xf numFmtId="1" fontId="3" fillId="0" borderId="1" xfId="1" applyNumberFormat="1" applyBorder="1" applyAlignment="1" applyProtection="1">
      <alignment horizontal="center"/>
      <protection hidden="1"/>
    </xf>
    <xf numFmtId="164" fontId="4" fillId="0" borderId="2" xfId="1" applyNumberFormat="1" applyFont="1" applyBorder="1" applyAlignment="1" applyProtection="1">
      <alignment horizontal="center" vertical="center" wrapText="1"/>
      <protection hidden="1"/>
    </xf>
    <xf numFmtId="164" fontId="8" fillId="0" borderId="6" xfId="1" applyNumberFormat="1" applyFont="1" applyBorder="1" applyAlignment="1" applyProtection="1">
      <alignment horizontal="center" vertical="center" wrapText="1"/>
      <protection hidden="1"/>
    </xf>
    <xf numFmtId="164" fontId="9" fillId="0" borderId="12" xfId="1" applyNumberFormat="1" applyFont="1" applyBorder="1" applyAlignment="1" applyProtection="1">
      <alignment horizontal="center" vertical="center" wrapText="1"/>
      <protection hidden="1"/>
    </xf>
    <xf numFmtId="164" fontId="3" fillId="0" borderId="0" xfId="1" applyNumberFormat="1" applyProtection="1">
      <protection hidden="1"/>
    </xf>
    <xf numFmtId="164" fontId="8" fillId="0" borderId="1" xfId="1" applyNumberFormat="1" applyFont="1" applyBorder="1" applyAlignment="1" applyProtection="1">
      <alignment horizontal="center" vertical="center" wrapText="1"/>
      <protection hidden="1"/>
    </xf>
    <xf numFmtId="164" fontId="4" fillId="0" borderId="1" xfId="1" applyNumberFormat="1" applyFont="1" applyBorder="1" applyAlignment="1" applyProtection="1">
      <alignment horizontal="center" vertical="center" wrapText="1"/>
      <protection hidden="1"/>
    </xf>
    <xf numFmtId="0" fontId="4" fillId="0" borderId="13" xfId="1" applyFont="1" applyBorder="1" applyAlignment="1" applyProtection="1">
      <alignment horizontal="center" vertical="center" wrapText="1"/>
      <protection hidden="1"/>
    </xf>
    <xf numFmtId="0" fontId="12" fillId="2" borderId="13" xfId="0" applyFont="1" applyFill="1" applyBorder="1" applyAlignment="1" applyProtection="1">
      <alignment horizontal="center"/>
      <protection hidden="1"/>
    </xf>
    <xf numFmtId="0" fontId="12" fillId="2" borderId="14" xfId="0" applyFont="1" applyFill="1" applyBorder="1" applyAlignment="1" applyProtection="1">
      <alignment horizontal="center"/>
      <protection hidden="1"/>
    </xf>
    <xf numFmtId="164" fontId="2" fillId="2" borderId="1" xfId="0" applyNumberFormat="1" applyFont="1" applyFill="1" applyBorder="1" applyAlignment="1" applyProtection="1">
      <alignment horizontal="center" vertical="center"/>
      <protection hidden="1"/>
    </xf>
    <xf numFmtId="1" fontId="2" fillId="2" borderId="1" xfId="0" applyNumberFormat="1" applyFont="1" applyFill="1" applyBorder="1" applyAlignment="1" applyProtection="1">
      <alignment horizontal="center" vertical="center"/>
      <protection hidden="1"/>
    </xf>
    <xf numFmtId="0" fontId="17" fillId="2" borderId="14" xfId="0" applyFont="1" applyFill="1" applyBorder="1" applyAlignment="1" applyProtection="1">
      <alignment horizontal="center"/>
      <protection hidden="1"/>
    </xf>
    <xf numFmtId="1" fontId="0" fillId="0" borderId="0" xfId="0" applyNumberFormat="1"/>
    <xf numFmtId="0" fontId="2" fillId="0" borderId="0" xfId="0" applyFont="1"/>
    <xf numFmtId="1" fontId="2" fillId="0" borderId="1" xfId="0" applyNumberFormat="1" applyFont="1" applyBorder="1" applyAlignment="1">
      <alignment horizontal="center"/>
    </xf>
    <xf numFmtId="1" fontId="2" fillId="0" borderId="13" xfId="0" applyNumberFormat="1" applyFont="1" applyBorder="1" applyAlignment="1">
      <alignment horizontal="center"/>
    </xf>
    <xf numFmtId="1" fontId="12" fillId="0" borderId="16" xfId="0" applyNumberFormat="1" applyFont="1" applyBorder="1" applyAlignment="1">
      <alignment horizontal="center"/>
    </xf>
    <xf numFmtId="1" fontId="1" fillId="0" borderId="16" xfId="0" applyNumberFormat="1" applyFont="1" applyBorder="1"/>
    <xf numFmtId="0" fontId="1" fillId="0" borderId="0" xfId="0" applyFont="1"/>
    <xf numFmtId="2" fontId="0" fillId="0" borderId="0" xfId="0" applyNumberFormat="1"/>
    <xf numFmtId="0" fontId="18" fillId="2" borderId="13" xfId="0" applyFont="1" applyFill="1" applyBorder="1" applyAlignment="1" applyProtection="1">
      <alignment horizontal="center"/>
      <protection hidden="1"/>
    </xf>
    <xf numFmtId="165" fontId="2" fillId="0" borderId="1" xfId="0" applyNumberFormat="1" applyFont="1" applyBorder="1" applyAlignment="1">
      <alignment horizontal="center"/>
    </xf>
    <xf numFmtId="0" fontId="0" fillId="0" borderId="0" xfId="0" applyAlignment="1">
      <alignment horizontal="right"/>
    </xf>
    <xf numFmtId="0" fontId="19" fillId="0" borderId="0" xfId="0" applyFont="1" applyAlignment="1">
      <alignment horizontal="right"/>
    </xf>
    <xf numFmtId="0" fontId="21" fillId="0" borderId="0" xfId="0" applyFont="1" applyAlignment="1">
      <alignment horizontal="right"/>
    </xf>
    <xf numFmtId="0" fontId="22" fillId="0" borderId="0" xfId="0" applyFont="1" applyAlignment="1">
      <alignment horizontal="right"/>
    </xf>
    <xf numFmtId="165" fontId="0" fillId="0" borderId="0" xfId="0" applyNumberFormat="1"/>
    <xf numFmtId="164" fontId="0" fillId="0" borderId="0" xfId="0" applyNumberFormat="1"/>
    <xf numFmtId="0" fontId="26" fillId="0" borderId="0" xfId="2" applyProtection="1">
      <protection hidden="1"/>
    </xf>
    <xf numFmtId="0" fontId="26" fillId="0" borderId="0" xfId="2" applyFill="1" applyProtection="1">
      <protection hidden="1"/>
    </xf>
    <xf numFmtId="0" fontId="27" fillId="0" borderId="0" xfId="2" applyFont="1" applyAlignment="1" applyProtection="1">
      <alignment horizontal="right" vertical="center"/>
      <protection hidden="1"/>
    </xf>
    <xf numFmtId="0" fontId="26" fillId="0" borderId="0" xfId="2" applyFill="1" applyBorder="1" applyProtection="1">
      <protection hidden="1"/>
    </xf>
    <xf numFmtId="0" fontId="27" fillId="0" borderId="0" xfId="2" applyFont="1" applyFill="1" applyBorder="1" applyAlignment="1" applyProtection="1">
      <alignment horizontal="right" vertical="center"/>
      <protection hidden="1"/>
    </xf>
    <xf numFmtId="0" fontId="29" fillId="0" borderId="0" xfId="2" applyFont="1" applyFill="1" applyBorder="1" applyAlignment="1" applyProtection="1">
      <alignment vertical="center"/>
      <protection hidden="1"/>
    </xf>
    <xf numFmtId="0" fontId="26" fillId="0" borderId="0" xfId="2" applyBorder="1" applyProtection="1">
      <protection hidden="1"/>
    </xf>
    <xf numFmtId="0" fontId="31" fillId="2" borderId="0" xfId="2" applyFont="1" applyFill="1" applyBorder="1" applyAlignment="1" applyProtection="1">
      <alignment vertical="center"/>
      <protection hidden="1"/>
    </xf>
    <xf numFmtId="0" fontId="26" fillId="0" borderId="17" xfId="2" applyBorder="1" applyProtection="1">
      <protection hidden="1"/>
    </xf>
    <xf numFmtId="0" fontId="28" fillId="2" borderId="18" xfId="2" applyFont="1" applyFill="1" applyBorder="1" applyAlignment="1" applyProtection="1">
      <alignment horizontal="left" vertical="center"/>
      <protection hidden="1"/>
    </xf>
    <xf numFmtId="0" fontId="26" fillId="0" borderId="19" xfId="2" applyBorder="1" applyProtection="1">
      <protection hidden="1"/>
    </xf>
    <xf numFmtId="0" fontId="28" fillId="2" borderId="20" xfId="2" applyFont="1" applyFill="1" applyBorder="1" applyAlignment="1" applyProtection="1">
      <alignment horizontal="left" vertical="center"/>
      <protection hidden="1"/>
    </xf>
    <xf numFmtId="0" fontId="26" fillId="0" borderId="21" xfId="2" applyBorder="1" applyProtection="1">
      <protection hidden="1"/>
    </xf>
    <xf numFmtId="0" fontId="31" fillId="2" borderId="22" xfId="2" applyFont="1" applyFill="1" applyBorder="1" applyAlignment="1" applyProtection="1">
      <alignment vertical="center"/>
      <protection hidden="1"/>
    </xf>
    <xf numFmtId="0" fontId="31" fillId="2" borderId="0" xfId="2" applyFont="1" applyFill="1" applyBorder="1" applyAlignment="1" applyProtection="1">
      <alignment horizontal="left" vertical="center"/>
      <protection hidden="1"/>
    </xf>
    <xf numFmtId="0" fontId="31" fillId="2" borderId="14" xfId="2" applyFont="1" applyFill="1" applyBorder="1" applyAlignment="1" applyProtection="1">
      <alignment horizontal="left" vertical="center"/>
      <protection hidden="1"/>
    </xf>
    <xf numFmtId="0" fontId="31" fillId="2" borderId="23" xfId="2" applyFont="1" applyFill="1" applyBorder="1" applyAlignment="1" applyProtection="1">
      <alignment horizontal="left" vertical="center"/>
      <protection hidden="1"/>
    </xf>
    <xf numFmtId="0" fontId="31" fillId="2" borderId="13" xfId="2" applyFont="1" applyFill="1" applyBorder="1" applyAlignment="1" applyProtection="1">
      <alignment horizontal="left" vertical="center"/>
      <protection hidden="1"/>
    </xf>
    <xf numFmtId="0" fontId="31" fillId="2" borderId="13" xfId="2" applyFont="1" applyFill="1" applyBorder="1" applyAlignment="1" applyProtection="1">
      <alignment vertical="center"/>
      <protection hidden="1"/>
    </xf>
    <xf numFmtId="0" fontId="26" fillId="0" borderId="24" xfId="2" applyBorder="1" applyProtection="1">
      <protection hidden="1"/>
    </xf>
    <xf numFmtId="0" fontId="26" fillId="0" borderId="25" xfId="2" applyBorder="1" applyProtection="1">
      <protection hidden="1"/>
    </xf>
    <xf numFmtId="0" fontId="26" fillId="0" borderId="26" xfId="2" applyBorder="1" applyProtection="1">
      <protection hidden="1"/>
    </xf>
    <xf numFmtId="0" fontId="26" fillId="0" borderId="27" xfId="2" applyBorder="1" applyProtection="1">
      <protection hidden="1"/>
    </xf>
    <xf numFmtId="0" fontId="28" fillId="0" borderId="22" xfId="2" applyFont="1" applyFill="1" applyBorder="1" applyProtection="1">
      <protection hidden="1"/>
    </xf>
    <xf numFmtId="0" fontId="26" fillId="0" borderId="14" xfId="2" applyFill="1" applyBorder="1" applyProtection="1">
      <protection hidden="1"/>
    </xf>
    <xf numFmtId="0" fontId="26" fillId="0" borderId="23" xfId="2" applyFill="1" applyBorder="1" applyProtection="1">
      <protection hidden="1"/>
    </xf>
    <xf numFmtId="0" fontId="26" fillId="0" borderId="13" xfId="2" applyBorder="1" applyProtection="1">
      <protection hidden="1"/>
    </xf>
    <xf numFmtId="0" fontId="28" fillId="0" borderId="25" xfId="2" applyFont="1" applyFill="1" applyBorder="1" applyProtection="1">
      <protection hidden="1"/>
    </xf>
    <xf numFmtId="0" fontId="28" fillId="0" borderId="26" xfId="2" applyFont="1" applyFill="1" applyBorder="1" applyProtection="1">
      <protection hidden="1"/>
    </xf>
    <xf numFmtId="0" fontId="28" fillId="0" borderId="22" xfId="2" applyFont="1" applyBorder="1" applyProtection="1">
      <protection hidden="1"/>
    </xf>
    <xf numFmtId="0" fontId="26" fillId="0" borderId="22" xfId="2" applyBorder="1" applyProtection="1">
      <protection hidden="1"/>
    </xf>
    <xf numFmtId="0" fontId="26" fillId="0" borderId="14" xfId="2" applyBorder="1" applyProtection="1">
      <protection hidden="1"/>
    </xf>
    <xf numFmtId="0" fontId="26" fillId="0" borderId="23" xfId="2" applyBorder="1" applyProtection="1">
      <protection hidden="1"/>
    </xf>
    <xf numFmtId="0" fontId="34" fillId="2" borderId="0" xfId="2" applyFont="1" applyFill="1" applyBorder="1" applyAlignment="1" applyProtection="1">
      <alignment vertical="center"/>
      <protection hidden="1"/>
    </xf>
    <xf numFmtId="0" fontId="34" fillId="2" borderId="25" xfId="2" applyFont="1" applyFill="1" applyBorder="1" applyAlignment="1" applyProtection="1">
      <alignment vertical="center"/>
      <protection hidden="1"/>
    </xf>
    <xf numFmtId="0" fontId="34" fillId="2" borderId="26" xfId="2" applyFont="1" applyFill="1" applyBorder="1" applyAlignment="1" applyProtection="1">
      <alignment vertical="center"/>
      <protection hidden="1"/>
    </xf>
    <xf numFmtId="0" fontId="34" fillId="2" borderId="22" xfId="2" applyFont="1" applyFill="1" applyBorder="1" applyAlignment="1" applyProtection="1">
      <alignment vertical="center"/>
      <protection hidden="1"/>
    </xf>
    <xf numFmtId="0" fontId="34" fillId="2" borderId="24" xfId="2" applyFont="1" applyFill="1" applyBorder="1" applyAlignment="1" applyProtection="1">
      <alignment vertical="center"/>
      <protection hidden="1"/>
    </xf>
    <xf numFmtId="0" fontId="34" fillId="2" borderId="27" xfId="2" applyFont="1" applyFill="1" applyBorder="1" applyAlignment="1" applyProtection="1">
      <alignment vertical="center"/>
      <protection hidden="1"/>
    </xf>
    <xf numFmtId="0" fontId="26" fillId="0" borderId="26" xfId="2" applyFont="1" applyBorder="1" applyProtection="1">
      <protection hidden="1"/>
    </xf>
    <xf numFmtId="0" fontId="27" fillId="0" borderId="0" xfId="2" applyFont="1" applyFill="1" applyBorder="1" applyAlignment="1" applyProtection="1">
      <alignment horizontal="center" vertical="center" wrapText="1"/>
      <protection hidden="1"/>
    </xf>
    <xf numFmtId="0" fontId="35" fillId="0" borderId="0" xfId="2" applyFont="1" applyFill="1" applyBorder="1" applyAlignment="1" applyProtection="1">
      <alignment horizontal="left"/>
      <protection hidden="1"/>
    </xf>
    <xf numFmtId="0" fontId="36" fillId="2" borderId="0" xfId="2" applyFont="1" applyFill="1" applyBorder="1" applyAlignment="1" applyProtection="1">
      <alignment horizontal="left" vertical="center"/>
      <protection hidden="1"/>
    </xf>
    <xf numFmtId="0" fontId="30" fillId="2" borderId="31" xfId="2" applyFont="1" applyFill="1" applyBorder="1" applyAlignment="1" applyProtection="1">
      <alignment vertical="center"/>
      <protection hidden="1"/>
    </xf>
    <xf numFmtId="0" fontId="36" fillId="2" borderId="31" xfId="2" applyFont="1" applyFill="1" applyBorder="1" applyAlignment="1" applyProtection="1">
      <alignment horizontal="left" vertical="center"/>
      <protection hidden="1"/>
    </xf>
    <xf numFmtId="0" fontId="30" fillId="2" borderId="32" xfId="2" applyFont="1" applyFill="1" applyBorder="1" applyAlignment="1" applyProtection="1">
      <alignment vertical="center"/>
      <protection hidden="1"/>
    </xf>
    <xf numFmtId="14" fontId="36" fillId="2" borderId="0" xfId="2" applyNumberFormat="1" applyFont="1" applyFill="1" applyBorder="1" applyAlignment="1" applyProtection="1">
      <alignment horizontal="left" vertical="center"/>
      <protection hidden="1"/>
    </xf>
    <xf numFmtId="0" fontId="30" fillId="2" borderId="0" xfId="2" applyFont="1" applyFill="1" applyBorder="1" applyAlignment="1" applyProtection="1">
      <alignment vertical="center"/>
      <protection hidden="1"/>
    </xf>
    <xf numFmtId="0" fontId="30" fillId="2" borderId="0" xfId="2" applyFont="1" applyFill="1" applyBorder="1" applyAlignment="1" applyProtection="1">
      <alignment horizontal="center" vertical="center"/>
      <protection hidden="1"/>
    </xf>
    <xf numFmtId="0" fontId="31" fillId="0" borderId="0" xfId="1" applyFont="1" applyProtection="1">
      <protection hidden="1"/>
    </xf>
    <xf numFmtId="0" fontId="3" fillId="0" borderId="0" xfId="1" applyFill="1" applyProtection="1">
      <protection hidden="1"/>
    </xf>
    <xf numFmtId="0" fontId="3" fillId="0" borderId="0" xfId="1" applyFont="1" applyProtection="1">
      <protection hidden="1"/>
    </xf>
    <xf numFmtId="0" fontId="37" fillId="0" borderId="0" xfId="1" applyFont="1" applyFill="1" applyBorder="1" applyAlignment="1" applyProtection="1">
      <protection hidden="1"/>
    </xf>
    <xf numFmtId="0" fontId="38" fillId="0" borderId="34" xfId="1" applyFont="1" applyBorder="1" applyAlignment="1" applyProtection="1">
      <protection hidden="1"/>
    </xf>
    <xf numFmtId="0" fontId="38" fillId="0" borderId="18" xfId="1" applyFont="1" applyBorder="1" applyAlignment="1" applyProtection="1">
      <protection hidden="1"/>
    </xf>
    <xf numFmtId="0" fontId="31" fillId="0" borderId="0" xfId="1" applyFont="1" applyFill="1" applyBorder="1" applyProtection="1">
      <protection hidden="1"/>
    </xf>
    <xf numFmtId="0" fontId="38" fillId="0" borderId="38" xfId="1" applyFont="1" applyBorder="1" applyAlignment="1" applyProtection="1">
      <protection hidden="1"/>
    </xf>
    <xf numFmtId="0" fontId="38" fillId="0" borderId="20" xfId="1" applyFont="1" applyBorder="1" applyAlignment="1" applyProtection="1">
      <protection hidden="1"/>
    </xf>
    <xf numFmtId="0" fontId="3" fillId="0" borderId="0" xfId="1" applyFill="1" applyBorder="1" applyAlignment="1" applyProtection="1">
      <alignment horizontal="center"/>
      <protection hidden="1"/>
    </xf>
    <xf numFmtId="0" fontId="3" fillId="0" borderId="0" xfId="1" applyFill="1" applyBorder="1" applyAlignment="1" applyProtection="1">
      <alignment horizontal="left"/>
      <protection hidden="1"/>
    </xf>
    <xf numFmtId="0" fontId="3" fillId="0" borderId="45" xfId="1" applyBorder="1" applyAlignment="1" applyProtection="1">
      <alignment horizontal="left"/>
      <protection locked="0" hidden="1"/>
    </xf>
    <xf numFmtId="0" fontId="27" fillId="2" borderId="0" xfId="2" applyFont="1" applyFill="1" applyAlignment="1" applyProtection="1">
      <alignment horizontal="right" vertical="center"/>
      <protection hidden="1"/>
    </xf>
    <xf numFmtId="0" fontId="44" fillId="0" borderId="0" xfId="2" applyFont="1" applyFill="1" applyBorder="1" applyAlignment="1" applyProtection="1">
      <alignment horizontal="center" vertical="center"/>
      <protection hidden="1"/>
    </xf>
    <xf numFmtId="0" fontId="27" fillId="0" borderId="0" xfId="2" applyFont="1" applyFill="1" applyBorder="1" applyAlignment="1" applyProtection="1">
      <alignment horizontal="center" vertical="center"/>
      <protection hidden="1"/>
    </xf>
    <xf numFmtId="0" fontId="27" fillId="0" borderId="34" xfId="2" applyFont="1" applyFill="1" applyBorder="1" applyAlignment="1" applyProtection="1">
      <alignment vertical="center"/>
      <protection hidden="1"/>
    </xf>
    <xf numFmtId="0" fontId="27" fillId="0" borderId="18" xfId="2" applyFont="1" applyFill="1" applyBorder="1" applyAlignment="1" applyProtection="1">
      <alignment vertical="center"/>
      <protection hidden="1"/>
    </xf>
    <xf numFmtId="0" fontId="3" fillId="0" borderId="0" xfId="1" applyAlignment="1" applyProtection="1">
      <protection hidden="1"/>
    </xf>
    <xf numFmtId="0" fontId="31" fillId="0" borderId="0" xfId="1" applyFont="1" applyFill="1" applyBorder="1" applyAlignment="1" applyProtection="1">
      <alignment horizontal="left" vertical="center"/>
      <protection hidden="1"/>
    </xf>
    <xf numFmtId="0" fontId="45" fillId="0" borderId="0" xfId="1" applyFont="1" applyFill="1" applyBorder="1" applyAlignment="1" applyProtection="1">
      <alignment horizontal="center" vertical="center"/>
      <protection hidden="1"/>
    </xf>
    <xf numFmtId="0" fontId="31" fillId="0" borderId="0" xfId="2" applyFont="1" applyFill="1" applyBorder="1" applyAlignment="1" applyProtection="1">
      <alignment horizontal="center" vertical="center"/>
      <protection hidden="1"/>
    </xf>
    <xf numFmtId="0" fontId="31" fillId="0" borderId="0" xfId="2" applyNumberFormat="1" applyFont="1" applyFill="1" applyBorder="1" applyAlignment="1" applyProtection="1">
      <alignment horizontal="center" vertical="center"/>
      <protection hidden="1"/>
    </xf>
    <xf numFmtId="0" fontId="29" fillId="0" borderId="34" xfId="2" applyFont="1" applyFill="1" applyBorder="1" applyAlignment="1" applyProtection="1">
      <alignment vertical="center"/>
      <protection hidden="1"/>
    </xf>
    <xf numFmtId="0" fontId="28" fillId="0" borderId="34" xfId="2" applyFont="1" applyFill="1" applyBorder="1" applyAlignment="1" applyProtection="1">
      <alignment vertical="center"/>
      <protection hidden="1"/>
    </xf>
    <xf numFmtId="0" fontId="28" fillId="0" borderId="18" xfId="2" applyFont="1" applyFill="1" applyBorder="1" applyAlignment="1" applyProtection="1">
      <alignment vertical="center"/>
      <protection hidden="1"/>
    </xf>
    <xf numFmtId="0" fontId="29" fillId="0" borderId="27" xfId="2" applyFont="1" applyFill="1" applyBorder="1" applyAlignment="1" applyProtection="1">
      <alignment vertical="center"/>
      <protection hidden="1"/>
    </xf>
    <xf numFmtId="0" fontId="50" fillId="0" borderId="27" xfId="2" applyFont="1" applyFill="1" applyBorder="1" applyAlignment="1" applyProtection="1">
      <alignment vertical="center"/>
      <protection hidden="1"/>
    </xf>
    <xf numFmtId="0" fontId="29" fillId="0" borderId="27" xfId="2" applyNumberFormat="1" applyFont="1" applyFill="1" applyBorder="1" applyAlignment="1" applyProtection="1">
      <alignment vertical="center"/>
      <protection hidden="1"/>
    </xf>
    <xf numFmtId="0" fontId="28" fillId="0" borderId="27" xfId="2" applyFont="1" applyFill="1" applyBorder="1" applyAlignment="1" applyProtection="1">
      <alignment vertical="center"/>
      <protection hidden="1"/>
    </xf>
    <xf numFmtId="0" fontId="28" fillId="0" borderId="22" xfId="2" applyFont="1" applyFill="1" applyBorder="1" applyAlignment="1" applyProtection="1">
      <alignment vertical="center"/>
      <protection hidden="1"/>
    </xf>
    <xf numFmtId="0" fontId="28" fillId="2" borderId="31" xfId="2" applyFont="1" applyFill="1" applyBorder="1" applyAlignment="1" applyProtection="1">
      <alignment vertical="center"/>
      <protection hidden="1"/>
    </xf>
    <xf numFmtId="0" fontId="28" fillId="2" borderId="32" xfId="2" applyFont="1" applyFill="1" applyBorder="1" applyAlignment="1" applyProtection="1">
      <alignment vertical="center"/>
      <protection hidden="1"/>
    </xf>
    <xf numFmtId="0" fontId="1" fillId="0" borderId="0" xfId="2" applyFont="1" applyFill="1" applyBorder="1" applyAlignment="1" applyProtection="1">
      <alignment horizontal="left" vertical="center"/>
      <protection hidden="1"/>
    </xf>
    <xf numFmtId="0" fontId="1" fillId="0" borderId="0" xfId="2" applyFont="1" applyFill="1" applyAlignment="1" applyProtection="1">
      <alignment horizontal="left" vertical="center"/>
      <protection hidden="1"/>
    </xf>
    <xf numFmtId="0" fontId="51" fillId="2" borderId="0" xfId="2" applyFont="1" applyFill="1" applyAlignment="1" applyProtection="1">
      <alignment vertical="top" wrapText="1"/>
      <protection hidden="1"/>
    </xf>
    <xf numFmtId="0" fontId="51" fillId="0" borderId="0" xfId="2" applyFont="1" applyFill="1" applyAlignment="1" applyProtection="1">
      <alignment vertical="top" wrapText="1"/>
      <protection hidden="1"/>
    </xf>
    <xf numFmtId="0" fontId="52" fillId="2" borderId="0" xfId="2" applyFont="1" applyFill="1" applyAlignment="1" applyProtection="1">
      <alignment vertical="top" wrapText="1"/>
      <protection hidden="1"/>
    </xf>
    <xf numFmtId="2" fontId="0" fillId="6" borderId="0" xfId="0" applyNumberFormat="1" applyFill="1"/>
    <xf numFmtId="0" fontId="0" fillId="6" borderId="0" xfId="0" applyFill="1"/>
    <xf numFmtId="0" fontId="3" fillId="0" borderId="56" xfId="1" applyBorder="1" applyAlignment="1" applyProtection="1">
      <alignment horizontal="left"/>
      <protection locked="0" hidden="1"/>
    </xf>
    <xf numFmtId="0" fontId="30" fillId="0" borderId="0" xfId="2" applyFont="1" applyFill="1" applyBorder="1" applyAlignment="1" applyProtection="1">
      <alignment horizontal="left" vertical="center" wrapText="1"/>
      <protection hidden="1"/>
    </xf>
    <xf numFmtId="0" fontId="28" fillId="0" borderId="0" xfId="2" applyFont="1" applyFill="1" applyBorder="1" applyAlignment="1" applyProtection="1">
      <alignment horizontal="left" vertical="center"/>
      <protection hidden="1"/>
    </xf>
    <xf numFmtId="0" fontId="29" fillId="0" borderId="0" xfId="2" applyFont="1" applyFill="1" applyBorder="1" applyAlignment="1" applyProtection="1">
      <alignment horizontal="center" vertical="center"/>
      <protection hidden="1"/>
    </xf>
    <xf numFmtId="0" fontId="32" fillId="0" borderId="0" xfId="2" applyFont="1" applyFill="1" applyBorder="1" applyAlignment="1" applyProtection="1">
      <alignment horizontal="left"/>
      <protection hidden="1"/>
    </xf>
    <xf numFmtId="0" fontId="27" fillId="2" borderId="0" xfId="2" applyFont="1" applyFill="1" applyBorder="1" applyAlignment="1" applyProtection="1">
      <alignment horizontal="center" vertical="center" wrapText="1"/>
      <protection hidden="1"/>
    </xf>
    <xf numFmtId="0" fontId="29" fillId="0" borderId="0" xfId="2" applyFont="1" applyFill="1" applyBorder="1" applyAlignment="1" applyProtection="1">
      <alignment horizontal="left" vertical="center"/>
      <protection hidden="1"/>
    </xf>
    <xf numFmtId="0" fontId="3" fillId="0" borderId="38" xfId="1" applyBorder="1" applyAlignment="1" applyProtection="1">
      <alignment horizontal="left"/>
      <protection hidden="1"/>
    </xf>
    <xf numFmtId="0" fontId="3" fillId="0" borderId="37" xfId="1" applyBorder="1" applyAlignment="1" applyProtection="1">
      <alignment horizontal="left"/>
      <protection hidden="1"/>
    </xf>
    <xf numFmtId="0" fontId="31" fillId="0" borderId="38" xfId="1" applyFont="1" applyFill="1" applyBorder="1" applyAlignment="1" applyProtection="1">
      <alignment vertical="center"/>
      <protection locked="0" hidden="1"/>
    </xf>
    <xf numFmtId="0" fontId="31" fillId="0" borderId="40" xfId="1" applyFont="1" applyFill="1" applyBorder="1" applyAlignment="1" applyProtection="1">
      <alignment vertical="center"/>
      <protection locked="0" hidden="1"/>
    </xf>
    <xf numFmtId="0" fontId="31" fillId="0" borderId="41" xfId="1" applyFont="1" applyBorder="1" applyAlignment="1" applyProtection="1">
      <protection locked="0" hidden="1"/>
    </xf>
    <xf numFmtId="0" fontId="31" fillId="0" borderId="41" xfId="1" applyFont="1" applyBorder="1" applyAlignment="1" applyProtection="1">
      <alignment horizontal="right" vertical="center"/>
      <protection locked="0" hidden="1"/>
    </xf>
    <xf numFmtId="0" fontId="31" fillId="5" borderId="47" xfId="1" applyFont="1" applyFill="1" applyBorder="1" applyAlignment="1" applyProtection="1">
      <alignment horizontal="left" vertical="center"/>
      <protection locked="0" hidden="1"/>
    </xf>
    <xf numFmtId="9" fontId="31" fillId="0" borderId="57" xfId="3" applyFont="1" applyFill="1" applyBorder="1" applyAlignment="1" applyProtection="1">
      <alignment vertical="center"/>
      <protection locked="0" hidden="1"/>
    </xf>
    <xf numFmtId="9" fontId="31" fillId="0" borderId="28" xfId="3" applyFont="1" applyFill="1" applyBorder="1" applyAlignment="1" applyProtection="1">
      <alignment vertical="center"/>
      <protection locked="0" hidden="1"/>
    </xf>
    <xf numFmtId="9" fontId="31" fillId="0" borderId="58" xfId="3" applyFont="1" applyFill="1" applyBorder="1" applyAlignment="1" applyProtection="1">
      <alignment vertical="center"/>
      <protection locked="0" hidden="1"/>
    </xf>
    <xf numFmtId="0" fontId="27" fillId="0" borderId="45" xfId="2" applyFont="1" applyFill="1" applyBorder="1" applyAlignment="1" applyProtection="1">
      <alignment horizontal="left" vertical="center"/>
      <protection locked="0" hidden="1"/>
    </xf>
    <xf numFmtId="0" fontId="27" fillId="0" borderId="60" xfId="2" applyFont="1" applyFill="1" applyBorder="1" applyAlignment="1" applyProtection="1">
      <alignment horizontal="left" vertical="center"/>
      <protection locked="0" hidden="1"/>
    </xf>
    <xf numFmtId="0" fontId="31" fillId="0" borderId="45" xfId="1" applyFont="1" applyBorder="1" applyAlignment="1" applyProtection="1">
      <alignment horizontal="left" vertical="center"/>
      <protection locked="0" hidden="1"/>
    </xf>
    <xf numFmtId="0" fontId="3" fillId="0" borderId="60" xfId="1" applyBorder="1" applyAlignment="1" applyProtection="1">
      <alignment horizontal="left"/>
      <protection locked="0" hidden="1"/>
    </xf>
    <xf numFmtId="0" fontId="3" fillId="0" borderId="67" xfId="1" applyBorder="1" applyAlignment="1" applyProtection="1">
      <alignment horizontal="left"/>
      <protection locked="0" hidden="1"/>
    </xf>
    <xf numFmtId="0" fontId="31" fillId="0" borderId="41" xfId="1" applyFont="1" applyFill="1" applyBorder="1" applyAlignment="1" applyProtection="1">
      <alignment horizontal="center" vertical="center"/>
      <protection hidden="1"/>
    </xf>
    <xf numFmtId="0" fontId="37" fillId="0" borderId="39" xfId="1" applyFont="1" applyBorder="1" applyAlignment="1" applyProtection="1">
      <alignment horizontal="left"/>
      <protection hidden="1"/>
    </xf>
    <xf numFmtId="0" fontId="37" fillId="0" borderId="38" xfId="1" applyFont="1" applyBorder="1" applyAlignment="1" applyProtection="1">
      <alignment horizontal="left"/>
      <protection hidden="1"/>
    </xf>
    <xf numFmtId="0" fontId="3" fillId="0" borderId="38" xfId="1" applyBorder="1" applyAlignment="1" applyProtection="1">
      <alignment horizontal="left"/>
      <protection hidden="1"/>
    </xf>
    <xf numFmtId="0" fontId="3" fillId="0" borderId="37" xfId="1" applyBorder="1" applyAlignment="1" applyProtection="1">
      <alignment horizontal="left"/>
      <protection hidden="1"/>
    </xf>
    <xf numFmtId="0" fontId="37" fillId="0" borderId="39" xfId="1" applyFont="1" applyBorder="1" applyAlignment="1" applyProtection="1">
      <alignment horizontal="center"/>
      <protection hidden="1"/>
    </xf>
    <xf numFmtId="0" fontId="37" fillId="0" borderId="38" xfId="1" applyFont="1" applyBorder="1" applyAlignment="1" applyProtection="1">
      <alignment horizontal="center"/>
      <protection hidden="1"/>
    </xf>
    <xf numFmtId="0" fontId="38" fillId="0" borderId="20" xfId="1" applyFont="1" applyBorder="1" applyAlignment="1" applyProtection="1">
      <alignment horizontal="left"/>
      <protection hidden="1"/>
    </xf>
    <xf numFmtId="0" fontId="38" fillId="0" borderId="38" xfId="1" applyFont="1" applyBorder="1" applyAlignment="1" applyProtection="1">
      <alignment horizontal="left"/>
      <protection hidden="1"/>
    </xf>
    <xf numFmtId="0" fontId="38" fillId="0" borderId="40" xfId="1" applyFont="1" applyBorder="1" applyAlignment="1" applyProtection="1">
      <alignment horizontal="left"/>
      <protection hidden="1"/>
    </xf>
    <xf numFmtId="0" fontId="29" fillId="4" borderId="50" xfId="2" applyFont="1" applyFill="1" applyBorder="1" applyAlignment="1" applyProtection="1">
      <alignment horizontal="left" vertical="center"/>
      <protection locked="0" hidden="1"/>
    </xf>
    <xf numFmtId="0" fontId="29" fillId="4" borderId="49" xfId="2" applyFont="1" applyFill="1" applyBorder="1" applyAlignment="1" applyProtection="1">
      <alignment horizontal="left" vertical="center"/>
      <protection locked="0" hidden="1"/>
    </xf>
    <xf numFmtId="0" fontId="29" fillId="4" borderId="48" xfId="2" applyFont="1" applyFill="1" applyBorder="1" applyAlignment="1" applyProtection="1">
      <alignment horizontal="left" vertical="center"/>
      <protection locked="0" hidden="1"/>
    </xf>
    <xf numFmtId="0" fontId="31" fillId="0" borderId="56" xfId="2" applyNumberFormat="1" applyFont="1" applyFill="1" applyBorder="1" applyAlignment="1" applyProtection="1">
      <alignment horizontal="center" vertical="center"/>
      <protection hidden="1"/>
    </xf>
    <xf numFmtId="0" fontId="31" fillId="0" borderId="41" xfId="2" applyNumberFormat="1" applyFont="1" applyFill="1" applyBorder="1" applyAlignment="1" applyProtection="1">
      <alignment horizontal="center" vertical="center"/>
      <protection hidden="1"/>
    </xf>
    <xf numFmtId="0" fontId="42" fillId="0" borderId="41" xfId="1" applyFont="1" applyFill="1" applyBorder="1" applyAlignment="1" applyProtection="1">
      <alignment horizontal="center"/>
      <protection hidden="1"/>
    </xf>
    <xf numFmtId="10" fontId="45" fillId="4" borderId="56" xfId="4" applyNumberFormat="1" applyFont="1" applyFill="1" applyBorder="1" applyAlignment="1" applyProtection="1">
      <alignment horizontal="center" vertical="center"/>
      <protection locked="0" hidden="1"/>
    </xf>
    <xf numFmtId="10" fontId="45" fillId="4" borderId="41" xfId="3" applyNumberFormat="1" applyFont="1" applyFill="1" applyBorder="1" applyAlignment="1" applyProtection="1">
      <alignment horizontal="center" vertical="center"/>
      <protection locked="0" hidden="1"/>
    </xf>
    <xf numFmtId="0" fontId="45" fillId="4" borderId="41" xfId="1" applyNumberFormat="1" applyFont="1" applyFill="1" applyBorder="1" applyAlignment="1" applyProtection="1">
      <alignment horizontal="center" vertical="center"/>
      <protection locked="0" hidden="1"/>
    </xf>
    <xf numFmtId="0" fontId="50" fillId="0" borderId="38" xfId="1" applyFont="1" applyBorder="1" applyAlignment="1" applyProtection="1">
      <alignment horizontal="left"/>
      <protection hidden="1"/>
    </xf>
    <xf numFmtId="0" fontId="50" fillId="0" borderId="37" xfId="1" applyFont="1" applyBorder="1" applyAlignment="1" applyProtection="1">
      <alignment horizontal="left"/>
      <protection hidden="1"/>
    </xf>
    <xf numFmtId="164" fontId="31" fillId="0" borderId="41" xfId="1" applyNumberFormat="1" applyFont="1" applyBorder="1" applyAlignment="1" applyProtection="1">
      <alignment horizontal="center" vertical="center"/>
      <protection hidden="1"/>
    </xf>
    <xf numFmtId="0" fontId="31" fillId="0" borderId="56" xfId="2" applyNumberFormat="1" applyFont="1" applyFill="1" applyBorder="1" applyAlignment="1" applyProtection="1">
      <alignment horizontal="left" vertical="center"/>
      <protection hidden="1"/>
    </xf>
    <xf numFmtId="1" fontId="53" fillId="0" borderId="39" xfId="1" applyNumberFormat="1" applyFont="1" applyBorder="1" applyAlignment="1" applyProtection="1">
      <alignment horizontal="center"/>
      <protection hidden="1"/>
    </xf>
    <xf numFmtId="1" fontId="53" fillId="0" borderId="38" xfId="1" applyNumberFormat="1" applyFont="1" applyBorder="1" applyAlignment="1" applyProtection="1">
      <alignment horizontal="center"/>
      <protection hidden="1"/>
    </xf>
    <xf numFmtId="1" fontId="53" fillId="0" borderId="40" xfId="1" applyNumberFormat="1" applyFont="1" applyBorder="1" applyAlignment="1" applyProtection="1">
      <alignment horizontal="center"/>
      <protection hidden="1"/>
    </xf>
    <xf numFmtId="167" fontId="45" fillId="4" borderId="41" xfId="3" applyNumberFormat="1" applyFont="1" applyFill="1" applyBorder="1" applyAlignment="1" applyProtection="1">
      <alignment horizontal="center" vertical="center"/>
      <protection locked="0" hidden="1"/>
    </xf>
    <xf numFmtId="2" fontId="53" fillId="0" borderId="39" xfId="1" applyNumberFormat="1" applyFont="1" applyBorder="1" applyAlignment="1" applyProtection="1">
      <alignment horizontal="center"/>
      <protection hidden="1"/>
    </xf>
    <xf numFmtId="2" fontId="53" fillId="0" borderId="38" xfId="1" applyNumberFormat="1" applyFont="1" applyBorder="1" applyAlignment="1" applyProtection="1">
      <alignment horizontal="center"/>
      <protection hidden="1"/>
    </xf>
    <xf numFmtId="2" fontId="53" fillId="0" borderId="40" xfId="1" applyNumberFormat="1" applyFont="1" applyBorder="1" applyAlignment="1" applyProtection="1">
      <alignment horizontal="center"/>
      <protection hidden="1"/>
    </xf>
    <xf numFmtId="165" fontId="31" fillId="0" borderId="39" xfId="1" applyNumberFormat="1" applyFont="1" applyFill="1" applyBorder="1" applyAlignment="1" applyProtection="1">
      <alignment horizontal="center" vertical="center"/>
      <protection hidden="1"/>
    </xf>
    <xf numFmtId="165" fontId="31" fillId="0" borderId="38" xfId="1" applyNumberFormat="1" applyFont="1" applyFill="1" applyBorder="1" applyAlignment="1" applyProtection="1">
      <alignment horizontal="center" vertical="center"/>
      <protection hidden="1"/>
    </xf>
    <xf numFmtId="165" fontId="31" fillId="0" borderId="40" xfId="1" applyNumberFormat="1" applyFont="1" applyFill="1" applyBorder="1" applyAlignment="1" applyProtection="1">
      <alignment horizontal="center" vertical="center"/>
      <protection hidden="1"/>
    </xf>
    <xf numFmtId="0" fontId="27" fillId="0" borderId="62" xfId="2" applyFont="1" applyFill="1" applyBorder="1" applyAlignment="1" applyProtection="1">
      <alignment horizontal="center" vertical="center"/>
      <protection hidden="1"/>
    </xf>
    <xf numFmtId="0" fontId="27" fillId="0" borderId="71" xfId="2" applyFont="1" applyFill="1" applyBorder="1" applyAlignment="1" applyProtection="1">
      <alignment horizontal="center" vertical="center"/>
      <protection hidden="1"/>
    </xf>
    <xf numFmtId="0" fontId="52" fillId="7" borderId="72" xfId="2" applyFont="1" applyFill="1" applyBorder="1" applyAlignment="1" applyProtection="1">
      <alignment horizontal="left" vertical="center"/>
      <protection hidden="1"/>
    </xf>
    <xf numFmtId="0" fontId="52" fillId="7" borderId="73" xfId="2" applyFont="1" applyFill="1" applyBorder="1" applyAlignment="1" applyProtection="1">
      <alignment horizontal="left" vertical="center"/>
      <protection hidden="1"/>
    </xf>
    <xf numFmtId="0" fontId="52" fillId="7" borderId="74" xfId="2" applyFont="1" applyFill="1" applyBorder="1" applyAlignment="1" applyProtection="1">
      <alignment horizontal="left" vertical="center"/>
      <protection hidden="1"/>
    </xf>
    <xf numFmtId="0" fontId="52" fillId="8" borderId="75" xfId="2" applyFont="1" applyFill="1" applyBorder="1" applyAlignment="1" applyProtection="1">
      <alignment horizontal="left" vertical="center"/>
      <protection hidden="1"/>
    </xf>
    <xf numFmtId="0" fontId="52" fillId="8" borderId="65" xfId="2" applyFont="1" applyFill="1" applyBorder="1" applyAlignment="1" applyProtection="1">
      <alignment horizontal="left" vertical="center"/>
      <protection hidden="1"/>
    </xf>
    <xf numFmtId="0" fontId="52" fillId="8" borderId="66" xfId="2" applyFont="1" applyFill="1" applyBorder="1" applyAlignment="1" applyProtection="1">
      <alignment horizontal="left" vertical="center"/>
      <protection hidden="1"/>
    </xf>
    <xf numFmtId="2" fontId="45" fillId="4" borderId="61" xfId="4" applyNumberFormat="1" applyFont="1" applyFill="1" applyBorder="1" applyAlignment="1" applyProtection="1">
      <alignment horizontal="center" vertical="center"/>
      <protection locked="0" hidden="1"/>
    </xf>
    <xf numFmtId="2" fontId="31" fillId="0" borderId="68" xfId="1" applyNumberFormat="1" applyFont="1" applyFill="1" applyBorder="1" applyAlignment="1" applyProtection="1">
      <alignment horizontal="left" vertical="center"/>
      <protection hidden="1"/>
    </xf>
    <xf numFmtId="2" fontId="31" fillId="0" borderId="69" xfId="1" applyNumberFormat="1" applyFont="1" applyFill="1" applyBorder="1" applyAlignment="1" applyProtection="1">
      <alignment horizontal="left" vertical="center"/>
      <protection hidden="1"/>
    </xf>
    <xf numFmtId="2" fontId="31" fillId="0" borderId="64" xfId="1" applyNumberFormat="1" applyFont="1" applyFill="1" applyBorder="1" applyAlignment="1" applyProtection="1">
      <alignment horizontal="left" vertical="center"/>
      <protection hidden="1"/>
    </xf>
    <xf numFmtId="2" fontId="31" fillId="0" borderId="76" xfId="1" applyNumberFormat="1" applyFont="1" applyFill="1" applyBorder="1" applyAlignment="1" applyProtection="1">
      <alignment horizontal="left" vertical="center"/>
      <protection hidden="1"/>
    </xf>
    <xf numFmtId="2" fontId="31" fillId="0" borderId="34" xfId="1" applyNumberFormat="1" applyFont="1" applyFill="1" applyBorder="1" applyAlignment="1" applyProtection="1">
      <alignment horizontal="left" vertical="center"/>
      <protection hidden="1"/>
    </xf>
    <xf numFmtId="2" fontId="31" fillId="0" borderId="36" xfId="1" applyNumberFormat="1" applyFont="1" applyFill="1" applyBorder="1" applyAlignment="1" applyProtection="1">
      <alignment horizontal="left" vertical="center"/>
      <protection hidden="1"/>
    </xf>
    <xf numFmtId="2" fontId="31" fillId="0" borderId="77" xfId="1" applyNumberFormat="1" applyFont="1" applyFill="1" applyBorder="1" applyAlignment="1" applyProtection="1">
      <alignment horizontal="left" vertical="center"/>
      <protection hidden="1"/>
    </xf>
    <xf numFmtId="2" fontId="31" fillId="0" borderId="31" xfId="1" applyNumberFormat="1" applyFont="1" applyFill="1" applyBorder="1" applyAlignment="1" applyProtection="1">
      <alignment horizontal="left" vertical="center"/>
      <protection hidden="1"/>
    </xf>
    <xf numFmtId="2" fontId="31" fillId="0" borderId="59" xfId="1" applyNumberFormat="1" applyFont="1" applyFill="1" applyBorder="1" applyAlignment="1" applyProtection="1">
      <alignment horizontal="left" vertical="center"/>
      <protection hidden="1"/>
    </xf>
    <xf numFmtId="0" fontId="31" fillId="0" borderId="76" xfId="1" applyFont="1" applyBorder="1" applyAlignment="1" applyProtection="1">
      <alignment horizontal="left" vertical="center"/>
      <protection hidden="1"/>
    </xf>
    <xf numFmtId="0" fontId="31" fillId="0" borderId="34" xfId="1" applyFont="1" applyBorder="1" applyAlignment="1" applyProtection="1">
      <alignment horizontal="left" vertical="center"/>
      <protection hidden="1"/>
    </xf>
    <xf numFmtId="0" fontId="31" fillId="0" borderId="36" xfId="1" applyFont="1" applyBorder="1" applyAlignment="1" applyProtection="1">
      <alignment horizontal="left" vertical="center"/>
      <protection hidden="1"/>
    </xf>
    <xf numFmtId="0" fontId="31" fillId="0" borderId="77" xfId="1" applyFont="1" applyBorder="1" applyAlignment="1" applyProtection="1">
      <alignment horizontal="left" vertical="center"/>
      <protection hidden="1"/>
    </xf>
    <xf numFmtId="0" fontId="31" fillId="0" borderId="31" xfId="1" applyFont="1" applyBorder="1" applyAlignment="1" applyProtection="1">
      <alignment horizontal="left" vertical="center"/>
      <protection hidden="1"/>
    </xf>
    <xf numFmtId="0" fontId="31" fillId="0" borderId="59" xfId="1" applyFont="1" applyBorder="1" applyAlignment="1" applyProtection="1">
      <alignment horizontal="left" vertical="center"/>
      <protection hidden="1"/>
    </xf>
    <xf numFmtId="1" fontId="54" fillId="0" borderId="35" xfId="1" applyNumberFormat="1" applyFont="1" applyBorder="1" applyAlignment="1" applyProtection="1">
      <alignment horizontal="center"/>
      <protection hidden="1"/>
    </xf>
    <xf numFmtId="1" fontId="54" fillId="0" borderId="34" xfId="1" applyNumberFormat="1" applyFont="1" applyBorder="1" applyAlignment="1" applyProtection="1">
      <alignment horizontal="center"/>
      <protection hidden="1"/>
    </xf>
    <xf numFmtId="1" fontId="54" fillId="0" borderId="36" xfId="1" applyNumberFormat="1" applyFont="1" applyBorder="1" applyAlignment="1" applyProtection="1">
      <alignment horizontal="center"/>
      <protection hidden="1"/>
    </xf>
    <xf numFmtId="0" fontId="50" fillId="0" borderId="34" xfId="1" applyFont="1" applyBorder="1" applyAlignment="1" applyProtection="1">
      <alignment horizontal="left"/>
      <protection hidden="1"/>
    </xf>
    <xf numFmtId="0" fontId="50" fillId="0" borderId="33" xfId="1" applyFont="1" applyBorder="1" applyAlignment="1" applyProtection="1">
      <alignment horizontal="left"/>
      <protection hidden="1"/>
    </xf>
    <xf numFmtId="0" fontId="31" fillId="0" borderId="41" xfId="2" applyFont="1" applyFill="1" applyBorder="1" applyAlignment="1" applyProtection="1">
      <alignment horizontal="center" vertical="center"/>
      <protection hidden="1"/>
    </xf>
    <xf numFmtId="0" fontId="31" fillId="0" borderId="47" xfId="2" applyFont="1" applyFill="1" applyBorder="1" applyAlignment="1" applyProtection="1">
      <alignment horizontal="center" vertical="center"/>
      <protection hidden="1"/>
    </xf>
    <xf numFmtId="0" fontId="31" fillId="0" borderId="41" xfId="2" applyNumberFormat="1" applyFont="1" applyFill="1" applyBorder="1" applyAlignment="1" applyProtection="1">
      <alignment horizontal="left" vertical="center"/>
      <protection hidden="1"/>
    </xf>
    <xf numFmtId="0" fontId="27" fillId="0" borderId="55" xfId="2" applyFont="1" applyFill="1" applyBorder="1" applyAlignment="1" applyProtection="1">
      <alignment horizontal="left" vertical="center"/>
      <protection hidden="1"/>
    </xf>
    <xf numFmtId="0" fontId="27" fillId="0" borderId="56" xfId="2" applyFont="1" applyFill="1" applyBorder="1" applyAlignment="1" applyProtection="1">
      <alignment horizontal="left" vertical="center"/>
      <protection hidden="1"/>
    </xf>
    <xf numFmtId="0" fontId="27" fillId="0" borderId="46" xfId="2" applyFont="1" applyFill="1" applyBorder="1" applyAlignment="1" applyProtection="1">
      <alignment horizontal="left" vertical="center"/>
      <protection hidden="1"/>
    </xf>
    <xf numFmtId="0" fontId="27" fillId="0" borderId="38" xfId="2" applyFont="1" applyFill="1" applyBorder="1" applyAlignment="1" applyProtection="1">
      <alignment horizontal="left" vertical="center"/>
      <protection hidden="1"/>
    </xf>
    <xf numFmtId="0" fontId="27" fillId="0" borderId="40" xfId="2" applyFont="1" applyFill="1" applyBorder="1" applyAlignment="1" applyProtection="1">
      <alignment horizontal="left" vertical="center"/>
      <protection hidden="1"/>
    </xf>
    <xf numFmtId="0" fontId="45" fillId="0" borderId="41" xfId="1" applyFont="1" applyFill="1" applyBorder="1" applyAlignment="1" applyProtection="1">
      <alignment horizontal="center" vertical="center"/>
      <protection hidden="1"/>
    </xf>
    <xf numFmtId="0" fontId="45" fillId="0" borderId="47" xfId="1" applyFont="1" applyFill="1" applyBorder="1" applyAlignment="1" applyProtection="1">
      <alignment horizontal="center" vertical="center"/>
      <protection hidden="1"/>
    </xf>
    <xf numFmtId="0" fontId="45" fillId="4" borderId="41" xfId="1" applyFont="1" applyFill="1" applyBorder="1" applyAlignment="1" applyProtection="1">
      <alignment horizontal="center" vertical="center"/>
      <protection locked="0" hidden="1"/>
    </xf>
    <xf numFmtId="0" fontId="27" fillId="0" borderId="41" xfId="2" applyFont="1" applyFill="1" applyBorder="1" applyAlignment="1" applyProtection="1">
      <alignment horizontal="left" vertical="center"/>
      <protection hidden="1"/>
    </xf>
    <xf numFmtId="0" fontId="45" fillId="4" borderId="35" xfId="2" applyFont="1" applyFill="1" applyBorder="1" applyAlignment="1" applyProtection="1">
      <alignment horizontal="left" vertical="center"/>
      <protection locked="0" hidden="1"/>
    </xf>
    <xf numFmtId="0" fontId="45" fillId="4" borderId="34" xfId="2" applyFont="1" applyFill="1" applyBorder="1" applyAlignment="1" applyProtection="1">
      <alignment horizontal="left" vertical="center"/>
      <protection locked="0" hidden="1"/>
    </xf>
    <xf numFmtId="0" fontId="45" fillId="4" borderId="33" xfId="2" applyFont="1" applyFill="1" applyBorder="1" applyAlignment="1" applyProtection="1">
      <alignment horizontal="left" vertical="center"/>
      <protection locked="0" hidden="1"/>
    </xf>
    <xf numFmtId="0" fontId="31" fillId="0" borderId="20" xfId="1" applyFont="1" applyFill="1" applyBorder="1" applyAlignment="1" applyProtection="1">
      <alignment horizontal="left" vertical="center"/>
      <protection hidden="1"/>
    </xf>
    <xf numFmtId="0" fontId="31" fillId="0" borderId="38" xfId="1" applyFont="1" applyFill="1" applyBorder="1" applyAlignment="1" applyProtection="1">
      <alignment horizontal="left" vertical="center"/>
      <protection hidden="1"/>
    </xf>
    <xf numFmtId="0" fontId="31" fillId="0" borderId="40" xfId="1" applyFont="1" applyFill="1" applyBorder="1" applyAlignment="1" applyProtection="1">
      <alignment horizontal="left" vertical="center"/>
      <protection hidden="1"/>
    </xf>
    <xf numFmtId="2" fontId="45" fillId="0" borderId="41" xfId="1" applyNumberFormat="1" applyFont="1" applyFill="1" applyBorder="1" applyAlignment="1" applyProtection="1">
      <alignment horizontal="center" vertical="center"/>
      <protection hidden="1"/>
    </xf>
    <xf numFmtId="0" fontId="3" fillId="0" borderId="35" xfId="1" applyFont="1" applyBorder="1" applyAlignment="1" applyProtection="1">
      <alignment horizontal="left"/>
      <protection hidden="1"/>
    </xf>
    <xf numFmtId="0" fontId="3" fillId="0" borderId="34" xfId="1" applyFont="1" applyBorder="1" applyAlignment="1" applyProtection="1">
      <alignment horizontal="left"/>
      <protection hidden="1"/>
    </xf>
    <xf numFmtId="0" fontId="42" fillId="0" borderId="39" xfId="1" applyFont="1" applyBorder="1" applyAlignment="1" applyProtection="1">
      <alignment horizontal="left"/>
      <protection hidden="1"/>
    </xf>
    <xf numFmtId="0" fontId="42" fillId="0" borderId="38" xfId="1" applyFont="1" applyBorder="1" applyAlignment="1" applyProtection="1">
      <alignment horizontal="left"/>
      <protection hidden="1"/>
    </xf>
    <xf numFmtId="0" fontId="27" fillId="0" borderId="63" xfId="2" applyFont="1" applyFill="1" applyBorder="1" applyAlignment="1" applyProtection="1">
      <alignment horizontal="center" vertical="center"/>
      <protection hidden="1"/>
    </xf>
    <xf numFmtId="0" fontId="27" fillId="0" borderId="70" xfId="2" applyFont="1" applyFill="1" applyBorder="1" applyAlignment="1" applyProtection="1">
      <alignment horizontal="center" vertical="center"/>
      <protection hidden="1"/>
    </xf>
    <xf numFmtId="1" fontId="29" fillId="0" borderId="0" xfId="2" applyNumberFormat="1" applyFont="1" applyFill="1" applyBorder="1" applyAlignment="1" applyProtection="1">
      <alignment horizontal="center" vertical="center"/>
      <protection hidden="1"/>
    </xf>
    <xf numFmtId="2" fontId="29" fillId="0" borderId="0" xfId="2" applyNumberFormat="1" applyFont="1" applyFill="1" applyBorder="1" applyAlignment="1" applyProtection="1">
      <alignment horizontal="center" vertical="center"/>
      <protection hidden="1"/>
    </xf>
    <xf numFmtId="0" fontId="28" fillId="0" borderId="0" xfId="2" applyFont="1" applyFill="1" applyBorder="1" applyAlignment="1" applyProtection="1">
      <alignment horizontal="left" vertical="center"/>
      <protection hidden="1"/>
    </xf>
    <xf numFmtId="0" fontId="29" fillId="0" borderId="0" xfId="2" applyFont="1" applyFill="1" applyBorder="1" applyAlignment="1" applyProtection="1">
      <alignment horizontal="center" vertical="center"/>
      <protection hidden="1"/>
    </xf>
    <xf numFmtId="0" fontId="32" fillId="3" borderId="32" xfId="2" applyFont="1" applyFill="1" applyBorder="1" applyAlignment="1" applyProtection="1">
      <alignment horizontal="left"/>
      <protection hidden="1"/>
    </xf>
    <xf numFmtId="0" fontId="32" fillId="3" borderId="31" xfId="2" applyFont="1" applyFill="1" applyBorder="1" applyAlignment="1" applyProtection="1">
      <alignment horizontal="left"/>
      <protection hidden="1"/>
    </xf>
    <xf numFmtId="0" fontId="32" fillId="3" borderId="30" xfId="2" applyFont="1" applyFill="1" applyBorder="1" applyAlignment="1" applyProtection="1">
      <alignment horizontal="left"/>
      <protection hidden="1"/>
    </xf>
    <xf numFmtId="0" fontId="31" fillId="0" borderId="53" xfId="2" applyNumberFormat="1" applyFont="1" applyFill="1" applyBorder="1" applyAlignment="1" applyProtection="1">
      <alignment horizontal="center" vertical="center"/>
      <protection hidden="1"/>
    </xf>
    <xf numFmtId="0" fontId="31" fillId="0" borderId="52" xfId="2" applyNumberFormat="1" applyFont="1" applyFill="1" applyBorder="1" applyAlignment="1" applyProtection="1">
      <alignment horizontal="center" vertical="center"/>
      <protection hidden="1"/>
    </xf>
    <xf numFmtId="0" fontId="27" fillId="2" borderId="28" xfId="2" applyFont="1" applyFill="1" applyBorder="1" applyAlignment="1" applyProtection="1">
      <alignment horizontal="center" vertical="center" wrapText="1"/>
      <protection hidden="1"/>
    </xf>
    <xf numFmtId="0" fontId="32" fillId="0" borderId="0" xfId="2" applyFont="1" applyFill="1" applyBorder="1" applyAlignment="1" applyProtection="1">
      <alignment horizontal="left"/>
      <protection hidden="1"/>
    </xf>
    <xf numFmtId="0" fontId="27" fillId="2" borderId="0" xfId="2" applyFont="1" applyFill="1" applyBorder="1" applyAlignment="1" applyProtection="1">
      <alignment horizontal="center" vertical="center" wrapText="1"/>
      <protection hidden="1"/>
    </xf>
    <xf numFmtId="0" fontId="29" fillId="0" borderId="0" xfId="2" applyFont="1" applyFill="1" applyBorder="1" applyAlignment="1" applyProtection="1">
      <alignment horizontal="left" vertical="center"/>
      <protection hidden="1"/>
    </xf>
    <xf numFmtId="0" fontId="28" fillId="0" borderId="0" xfId="2" applyFont="1" applyFill="1" applyBorder="1" applyAlignment="1" applyProtection="1">
      <alignment horizontal="left" vertical="center" wrapText="1"/>
      <protection hidden="1"/>
    </xf>
    <xf numFmtId="0" fontId="30" fillId="0" borderId="0" xfId="2" applyFont="1" applyFill="1" applyBorder="1" applyAlignment="1" applyProtection="1">
      <alignment horizontal="left" vertical="center" wrapText="1"/>
      <protection hidden="1"/>
    </xf>
    <xf numFmtId="0" fontId="29" fillId="0" borderId="27" xfId="2" applyNumberFormat="1" applyFont="1" applyFill="1" applyBorder="1" applyAlignment="1" applyProtection="1">
      <alignment horizontal="left" vertical="center"/>
      <protection locked="0" hidden="1"/>
    </xf>
    <xf numFmtId="0" fontId="29" fillId="0" borderId="27" xfId="2" applyFont="1" applyFill="1" applyBorder="1" applyAlignment="1" applyProtection="1">
      <alignment horizontal="left" vertical="center"/>
      <protection locked="0" hidden="1"/>
    </xf>
    <xf numFmtId="0" fontId="29" fillId="0" borderId="21" xfId="2" applyFont="1" applyFill="1" applyBorder="1" applyAlignment="1" applyProtection="1">
      <alignment horizontal="left" vertical="center"/>
      <protection locked="0" hidden="1"/>
    </xf>
    <xf numFmtId="0" fontId="29" fillId="0" borderId="34" xfId="2" applyFont="1" applyFill="1" applyBorder="1" applyAlignment="1" applyProtection="1">
      <alignment horizontal="left" vertical="center"/>
      <protection locked="0" hidden="1"/>
    </xf>
    <xf numFmtId="0" fontId="29" fillId="0" borderId="33" xfId="2" applyFont="1" applyFill="1" applyBorder="1" applyAlignment="1" applyProtection="1">
      <alignment horizontal="left" vertical="center"/>
      <protection locked="0" hidden="1"/>
    </xf>
    <xf numFmtId="0" fontId="31" fillId="0" borderId="47" xfId="2" applyNumberFormat="1" applyFont="1" applyFill="1" applyBorder="1" applyAlignment="1" applyProtection="1">
      <alignment horizontal="center" vertical="center"/>
      <protection hidden="1"/>
    </xf>
    <xf numFmtId="0" fontId="31" fillId="0" borderId="53" xfId="1" applyFont="1" applyFill="1" applyBorder="1" applyAlignment="1" applyProtection="1">
      <alignment horizontal="center"/>
      <protection hidden="1"/>
    </xf>
    <xf numFmtId="0" fontId="27" fillId="0" borderId="51" xfId="2" applyFont="1" applyFill="1" applyBorder="1" applyAlignment="1" applyProtection="1">
      <alignment horizontal="left" vertical="center"/>
      <protection hidden="1"/>
    </xf>
    <xf numFmtId="0" fontId="27" fillId="0" borderId="49" xfId="2" applyFont="1" applyFill="1" applyBorder="1" applyAlignment="1" applyProtection="1">
      <alignment horizontal="left" vertical="center"/>
      <protection hidden="1"/>
    </xf>
    <xf numFmtId="0" fontId="35" fillId="0" borderId="29" xfId="2" applyFont="1" applyBorder="1" applyAlignment="1" applyProtection="1">
      <alignment horizontal="left"/>
      <protection hidden="1"/>
    </xf>
    <xf numFmtId="0" fontId="36" fillId="2" borderId="31" xfId="2" applyFont="1" applyFill="1" applyBorder="1" applyAlignment="1" applyProtection="1">
      <alignment horizontal="left" vertical="center" indent="2"/>
      <protection hidden="1"/>
    </xf>
    <xf numFmtId="0" fontId="36" fillId="2" borderId="30" xfId="2" applyFont="1" applyFill="1" applyBorder="1" applyAlignment="1" applyProtection="1">
      <alignment horizontal="left" vertical="center" indent="2"/>
      <protection hidden="1"/>
    </xf>
    <xf numFmtId="14" fontId="36" fillId="2" borderId="31" xfId="2" applyNumberFormat="1" applyFont="1" applyFill="1" applyBorder="1" applyAlignment="1" applyProtection="1">
      <alignment horizontal="right" vertical="center" indent="2"/>
      <protection hidden="1"/>
    </xf>
    <xf numFmtId="14" fontId="36" fillId="2" borderId="30" xfId="2" applyNumberFormat="1" applyFont="1" applyFill="1" applyBorder="1" applyAlignment="1" applyProtection="1">
      <alignment horizontal="right" vertical="center" indent="2"/>
      <protection hidden="1"/>
    </xf>
    <xf numFmtId="0" fontId="30" fillId="2" borderId="32" xfId="2" applyFont="1" applyFill="1" applyBorder="1" applyAlignment="1" applyProtection="1">
      <alignment horizontal="left" vertical="center"/>
      <protection hidden="1"/>
    </xf>
    <xf numFmtId="0" fontId="30" fillId="2" borderId="31" xfId="2" applyFont="1" applyFill="1" applyBorder="1" applyAlignment="1" applyProtection="1">
      <alignment horizontal="left" vertical="center"/>
      <protection hidden="1"/>
    </xf>
    <xf numFmtId="0" fontId="32" fillId="3" borderId="44" xfId="2" applyFont="1" applyFill="1" applyBorder="1" applyAlignment="1" applyProtection="1">
      <alignment horizontal="left"/>
      <protection hidden="1"/>
    </xf>
    <xf numFmtId="0" fontId="32" fillId="3" borderId="43" xfId="2" applyFont="1" applyFill="1" applyBorder="1" applyAlignment="1" applyProtection="1">
      <alignment horizontal="left"/>
      <protection hidden="1"/>
    </xf>
    <xf numFmtId="0" fontId="32" fillId="3" borderId="42" xfId="2" applyFont="1" applyFill="1" applyBorder="1" applyAlignment="1" applyProtection="1">
      <alignment horizontal="left"/>
      <protection hidden="1"/>
    </xf>
    <xf numFmtId="1" fontId="53" fillId="0" borderId="39" xfId="3" applyNumberFormat="1" applyFont="1" applyBorder="1" applyAlignment="1" applyProtection="1">
      <alignment horizontal="center"/>
      <protection hidden="1"/>
    </xf>
    <xf numFmtId="1" fontId="53" fillId="0" borderId="38" xfId="3" applyNumberFormat="1" applyFont="1" applyBorder="1" applyAlignment="1" applyProtection="1">
      <alignment horizontal="center"/>
      <protection hidden="1"/>
    </xf>
    <xf numFmtId="1" fontId="53" fillId="0" borderId="40" xfId="3" applyNumberFormat="1" applyFont="1" applyBorder="1" applyAlignment="1" applyProtection="1">
      <alignment horizontal="center"/>
      <protection hidden="1"/>
    </xf>
    <xf numFmtId="0" fontId="51" fillId="2" borderId="0" xfId="2" applyFont="1" applyFill="1" applyAlignment="1" applyProtection="1">
      <alignment horizontal="right" vertical="top" wrapText="1"/>
      <protection hidden="1"/>
    </xf>
    <xf numFmtId="0" fontId="51" fillId="2" borderId="0" xfId="2" applyFont="1" applyFill="1" applyAlignment="1" applyProtection="1">
      <alignment horizontal="left" vertical="top" wrapText="1"/>
      <protection hidden="1"/>
    </xf>
    <xf numFmtId="0" fontId="31" fillId="0" borderId="53" xfId="2" applyNumberFormat="1" applyFont="1" applyFill="1" applyBorder="1" applyAlignment="1" applyProtection="1">
      <alignment horizontal="left" vertical="center"/>
      <protection hidden="1"/>
    </xf>
    <xf numFmtId="0" fontId="1" fillId="2" borderId="0" xfId="2" applyFont="1" applyFill="1" applyAlignment="1" applyProtection="1">
      <alignment horizontal="left" vertical="center"/>
      <protection hidden="1"/>
    </xf>
    <xf numFmtId="0" fontId="1" fillId="2" borderId="0" xfId="2" applyFont="1" applyFill="1" applyBorder="1" applyAlignment="1" applyProtection="1">
      <alignment horizontal="left" vertical="center"/>
      <protection hidden="1"/>
    </xf>
    <xf numFmtId="0" fontId="29" fillId="2" borderId="31" xfId="2" applyFont="1" applyFill="1" applyBorder="1" applyAlignment="1" applyProtection="1">
      <alignment horizontal="left" vertical="center"/>
      <protection locked="0" hidden="1"/>
    </xf>
    <xf numFmtId="0" fontId="29" fillId="2" borderId="30" xfId="2" applyFont="1" applyFill="1" applyBorder="1" applyAlignment="1" applyProtection="1">
      <alignment horizontal="left" vertical="center"/>
      <protection locked="0" hidden="1"/>
    </xf>
    <xf numFmtId="0" fontId="45" fillId="4" borderId="53" xfId="1" applyFont="1" applyFill="1" applyBorder="1" applyAlignment="1" applyProtection="1">
      <alignment horizontal="center"/>
      <protection locked="0" hidden="1"/>
    </xf>
    <xf numFmtId="0" fontId="27" fillId="0" borderId="54" xfId="2" applyFont="1" applyFill="1" applyBorder="1" applyAlignment="1" applyProtection="1">
      <alignment horizontal="left" vertical="center"/>
      <protection hidden="1"/>
    </xf>
    <xf numFmtId="0" fontId="27" fillId="0" borderId="53" xfId="2" applyFont="1" applyFill="1" applyBorder="1" applyAlignment="1" applyProtection="1">
      <alignment horizontal="left" vertical="center"/>
      <protection hidden="1"/>
    </xf>
    <xf numFmtId="0" fontId="31" fillId="0" borderId="53" xfId="1" applyFont="1" applyBorder="1" applyAlignment="1" applyProtection="1">
      <alignment horizontal="center"/>
      <protection hidden="1"/>
    </xf>
    <xf numFmtId="0" fontId="28" fillId="0" borderId="31" xfId="2" applyFont="1" applyFill="1" applyBorder="1" applyAlignment="1" applyProtection="1">
      <alignment horizontal="center" vertical="center"/>
      <protection locked="0" hidden="1"/>
    </xf>
    <xf numFmtId="0" fontId="28" fillId="0" borderId="30" xfId="2" applyFont="1" applyFill="1" applyBorder="1" applyAlignment="1" applyProtection="1">
      <alignment horizontal="center" vertical="center"/>
      <protection locked="0" hidden="1"/>
    </xf>
    <xf numFmtId="0" fontId="12" fillId="2" borderId="15" xfId="0" applyFont="1" applyFill="1" applyBorder="1" applyAlignment="1" applyProtection="1">
      <alignment horizontal="center" vertical="center"/>
      <protection hidden="1"/>
    </xf>
    <xf numFmtId="164" fontId="9" fillId="0" borderId="9" xfId="1" applyNumberFormat="1" applyFont="1" applyBorder="1" applyAlignment="1" applyProtection="1">
      <alignment horizontal="center" vertical="center" wrapText="1"/>
      <protection hidden="1"/>
    </xf>
    <xf numFmtId="164" fontId="9" fillId="0" borderId="4" xfId="1" applyNumberFormat="1" applyFont="1" applyBorder="1" applyAlignment="1" applyProtection="1">
      <alignment horizontal="center" vertical="center" wrapText="1"/>
      <protection hidden="1"/>
    </xf>
    <xf numFmtId="164" fontId="9" fillId="0" borderId="5" xfId="1" applyNumberFormat="1" applyFont="1" applyBorder="1" applyAlignment="1" applyProtection="1">
      <alignment horizontal="center" vertical="center" wrapText="1"/>
      <protection hidden="1"/>
    </xf>
    <xf numFmtId="164" fontId="4" fillId="0" borderId="3" xfId="1" applyNumberFormat="1" applyFont="1" applyBorder="1" applyAlignment="1" applyProtection="1">
      <alignment horizontal="center" vertical="center" wrapText="1"/>
      <protection hidden="1"/>
    </xf>
    <xf numFmtId="164" fontId="4" fillId="0" borderId="4" xfId="1" applyNumberFormat="1" applyFont="1" applyBorder="1" applyAlignment="1" applyProtection="1">
      <alignment horizontal="center" vertical="center" wrapText="1"/>
      <protection hidden="1"/>
    </xf>
    <xf numFmtId="164" fontId="4" fillId="0" borderId="5" xfId="1" applyNumberFormat="1" applyFont="1" applyBorder="1" applyAlignment="1" applyProtection="1">
      <alignment horizontal="center" vertical="center" wrapText="1"/>
      <protection hidden="1"/>
    </xf>
  </cellXfs>
  <cellStyles count="5">
    <cellStyle name="Čárka 2" xfId="4"/>
    <cellStyle name="Normální" xfId="0" builtinId="0"/>
    <cellStyle name="Normální 2" xfId="1"/>
    <cellStyle name="Normální 3" xfId="2"/>
    <cellStyle name="Procenta 2" xfId="3"/>
  </cellStyles>
  <dxfs count="1">
    <dxf>
      <fill>
        <patternFill>
          <bgColor theme="6" tint="0.39994506668294322"/>
        </patternFill>
      </fill>
    </dxf>
  </dxfs>
  <tableStyles count="0" defaultTableStyle="TableStyleMedium2" defaultPivotStyle="PivotStyleLight16"/>
  <colors>
    <mruColors>
      <color rgb="FFB5CD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5" Type="http://schemas.openxmlformats.org/officeDocument/2006/relationships/externalLink" Target="externalLinks/externalLink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trlProps/ctrlProp1.xml><?xml version="1.0" encoding="utf-8"?>
<formControlPr xmlns="http://schemas.microsoft.com/office/spreadsheetml/2009/9/main" objectType="Drop" dropLines="4" dropStyle="combo" dx="16" fmlaLink="List1!$O$4" fmlaRange="List1!$K$5:$K$8" noThreeD="1" sel="2" val="0"/>
</file>

<file path=xl/ctrlProps/ctrlProp10.xml><?xml version="1.0" encoding="utf-8"?>
<formControlPr xmlns="http://schemas.microsoft.com/office/spreadsheetml/2009/9/main" objectType="Drop" dropLines="3" dropStyle="combo" dx="22" fmlaLink="$S$23" fmlaRange="$S$24:$S$26" noThreeD="1" sel="3" val="0"/>
</file>

<file path=xl/ctrlProps/ctrlProp11.xml><?xml version="1.0" encoding="utf-8"?>
<formControlPr xmlns="http://schemas.microsoft.com/office/spreadsheetml/2009/9/main" objectType="Drop" dropLines="7" dropStyle="combo" dx="22" fmlaLink="$O$23" fmlaRange="$O$24:$O$30" noThreeD="1" sel="1" val="0"/>
</file>

<file path=xl/ctrlProps/ctrlProp12.xml><?xml version="1.0" encoding="utf-8"?>
<formControlPr xmlns="http://schemas.microsoft.com/office/spreadsheetml/2009/9/main" objectType="Drop" dropLines="7" dropStyle="combo" dx="22" fmlaLink="$P$23" fmlaRange="$P$24:$P$30" noThreeD="1" sel="1" val="0"/>
</file>

<file path=xl/ctrlProps/ctrlProp2.xml><?xml version="1.0" encoding="utf-8"?>
<formControlPr xmlns="http://schemas.microsoft.com/office/spreadsheetml/2009/9/main" objectType="Drop" dropStyle="combo" dx="16" fmlaLink="List1!$L$23" fmlaRange="List1!$L$24:$L$30" noThreeD="1" sel="1" val="0"/>
</file>

<file path=xl/ctrlProps/ctrlProp3.xml><?xml version="1.0" encoding="utf-8"?>
<formControlPr xmlns="http://schemas.microsoft.com/office/spreadsheetml/2009/9/main" objectType="Drop" dropStyle="combo" dx="16" fmlaLink="List1!$K$23" fmlaRange="List1!$K$24:$K$30" noThreeD="1" sel="1" val="0"/>
</file>

<file path=xl/ctrlProps/ctrlProp4.xml><?xml version="1.0" encoding="utf-8"?>
<formControlPr xmlns="http://schemas.microsoft.com/office/spreadsheetml/2009/9/main" objectType="Drop" dropStyle="combo" dx="16" fmlaLink="List1!$P$23" fmlaRange="List1!$P$24:$P$30" noThreeD="1" sel="1" val="0"/>
</file>

<file path=xl/ctrlProps/ctrlProp5.xml><?xml version="1.0" encoding="utf-8"?>
<formControlPr xmlns="http://schemas.microsoft.com/office/spreadsheetml/2009/9/main" objectType="Drop" dropStyle="combo" dx="16" fmlaLink="List1!$O$23" fmlaRange="List1!$O$24:$O$30" noThreeD="1" sel="1" val="0"/>
</file>

<file path=xl/ctrlProps/ctrlProp6.xml><?xml version="1.0" encoding="utf-8"?>
<formControlPr xmlns="http://schemas.microsoft.com/office/spreadsheetml/2009/9/main" objectType="Drop" dropLines="2" dropStyle="combo" dx="16" fmlaLink="List1!$Q$4" fmlaRange="List1!$Q$5:$Q$6" noThreeD="1" sel="1" val="0"/>
</file>

<file path=xl/ctrlProps/ctrlProp7.xml><?xml version="1.0" encoding="utf-8"?>
<formControlPr xmlns="http://schemas.microsoft.com/office/spreadsheetml/2009/9/main" objectType="Drop" dropLines="3" dropStyle="combo" dx="16" fmlaLink="List1!$S$23" fmlaRange="List1!$S$24:$S$26" noThreeD="1" sel="3" val="0"/>
</file>

<file path=xl/ctrlProps/ctrlProp8.xml><?xml version="1.0" encoding="utf-8"?>
<formControlPr xmlns="http://schemas.microsoft.com/office/spreadsheetml/2009/9/main" objectType="Drop" dropLines="7" dropStyle="combo" dx="22" fmlaLink="$K$23" fmlaRange="$K$24:$K$30" noThreeD="1" sel="1" val="0"/>
</file>

<file path=xl/ctrlProps/ctrlProp9.xml><?xml version="1.0" encoding="utf-8"?>
<formControlPr xmlns="http://schemas.microsoft.com/office/spreadsheetml/2009/9/main" objectType="Drop" dropLines="7" dropStyle="combo" dx="22" fmlaLink="$L$23" fmlaRange="$L$24:$L$30" noThreeD="1" sel="1" val="0"/>
</file>

<file path=xl/drawings/_rels/vmlDrawing2.v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16</xdr:col>
          <xdr:colOff>9525</xdr:colOff>
          <xdr:row>17</xdr:row>
          <xdr:rowOff>9525</xdr:rowOff>
        </xdr:from>
        <xdr:to>
          <xdr:col>33</xdr:col>
          <xdr:colOff>9525</xdr:colOff>
          <xdr:row>18</xdr:row>
          <xdr:rowOff>0</xdr:rowOff>
        </xdr:to>
        <xdr:sp macro="" textlink="">
          <xdr:nvSpPr>
            <xdr:cNvPr id="2049" name="Drop Down 1" hidden="1">
              <a:extLst>
                <a:ext uri="{63B3BB69-23CF-44E3-9099-C40C66FF867C}">
                  <a14:compatExt spid="_x0000_s204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161925</xdr:colOff>
          <xdr:row>25</xdr:row>
          <xdr:rowOff>190500</xdr:rowOff>
        </xdr:from>
        <xdr:to>
          <xdr:col>16</xdr:col>
          <xdr:colOff>9525</xdr:colOff>
          <xdr:row>27</xdr:row>
          <xdr:rowOff>0</xdr:rowOff>
        </xdr:to>
        <xdr:sp macro="" textlink="">
          <xdr:nvSpPr>
            <xdr:cNvPr id="2057" name="Drop Down 9" hidden="1">
              <a:extLst>
                <a:ext uri="{63B3BB69-23CF-44E3-9099-C40C66FF867C}">
                  <a14:compatExt spid="_x0000_s2057"/>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171450</xdr:colOff>
          <xdr:row>27</xdr:row>
          <xdr:rowOff>0</xdr:rowOff>
        </xdr:from>
        <xdr:to>
          <xdr:col>16</xdr:col>
          <xdr:colOff>9525</xdr:colOff>
          <xdr:row>28</xdr:row>
          <xdr:rowOff>0</xdr:rowOff>
        </xdr:to>
        <xdr:sp macro="" textlink="">
          <xdr:nvSpPr>
            <xdr:cNvPr id="2059" name="Drop Down 11" hidden="1">
              <a:extLst>
                <a:ext uri="{63B3BB69-23CF-44E3-9099-C40C66FF867C}">
                  <a14:compatExt spid="_x0000_s205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29</xdr:col>
          <xdr:colOff>0</xdr:colOff>
          <xdr:row>26</xdr:row>
          <xdr:rowOff>0</xdr:rowOff>
        </xdr:from>
        <xdr:to>
          <xdr:col>32</xdr:col>
          <xdr:colOff>9525</xdr:colOff>
          <xdr:row>27</xdr:row>
          <xdr:rowOff>0</xdr:rowOff>
        </xdr:to>
        <xdr:sp macro="" textlink="">
          <xdr:nvSpPr>
            <xdr:cNvPr id="2060" name="Drop Down 12" hidden="1">
              <a:extLst>
                <a:ext uri="{63B3BB69-23CF-44E3-9099-C40C66FF867C}">
                  <a14:compatExt spid="_x0000_s206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29</xdr:col>
          <xdr:colOff>0</xdr:colOff>
          <xdr:row>27</xdr:row>
          <xdr:rowOff>0</xdr:rowOff>
        </xdr:from>
        <xdr:to>
          <xdr:col>32</xdr:col>
          <xdr:colOff>9525</xdr:colOff>
          <xdr:row>28</xdr:row>
          <xdr:rowOff>0</xdr:rowOff>
        </xdr:to>
        <xdr:sp macro="" textlink="">
          <xdr:nvSpPr>
            <xdr:cNvPr id="2061" name="Drop Down 13" hidden="1">
              <a:extLst>
                <a:ext uri="{63B3BB69-23CF-44E3-9099-C40C66FF867C}">
                  <a14:compatExt spid="_x0000_s206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19050</xdr:colOff>
          <xdr:row>11</xdr:row>
          <xdr:rowOff>0</xdr:rowOff>
        </xdr:from>
        <xdr:to>
          <xdr:col>15</xdr:col>
          <xdr:colOff>142875</xdr:colOff>
          <xdr:row>12</xdr:row>
          <xdr:rowOff>0</xdr:rowOff>
        </xdr:to>
        <xdr:sp macro="" textlink="">
          <xdr:nvSpPr>
            <xdr:cNvPr id="2062" name="Drop Down 14" hidden="1">
              <a:extLst>
                <a:ext uri="{63B3BB69-23CF-44E3-9099-C40C66FF867C}">
                  <a14:compatExt spid="_x0000_s206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9525</xdr:colOff>
          <xdr:row>24</xdr:row>
          <xdr:rowOff>9525</xdr:rowOff>
        </xdr:from>
        <xdr:to>
          <xdr:col>33</xdr:col>
          <xdr:colOff>0</xdr:colOff>
          <xdr:row>24</xdr:row>
          <xdr:rowOff>190500</xdr:rowOff>
        </xdr:to>
        <xdr:sp macro="" textlink="">
          <xdr:nvSpPr>
            <xdr:cNvPr id="2063" name="Drop Down 15" hidden="1">
              <a:extLst>
                <a:ext uri="{63B3BB69-23CF-44E3-9099-C40C66FF867C}">
                  <a14:compatExt spid="_x0000_s2063"/>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714375</xdr:colOff>
          <xdr:row>21</xdr:row>
          <xdr:rowOff>0</xdr:rowOff>
        </xdr:from>
        <xdr:to>
          <xdr:col>6</xdr:col>
          <xdr:colOff>0</xdr:colOff>
          <xdr:row>22</xdr:row>
          <xdr:rowOff>0</xdr:rowOff>
        </xdr:to>
        <xdr:sp macro="" textlink="">
          <xdr:nvSpPr>
            <xdr:cNvPr id="1025" name="Drop Down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4</xdr:col>
          <xdr:colOff>714375</xdr:colOff>
          <xdr:row>22</xdr:row>
          <xdr:rowOff>0</xdr:rowOff>
        </xdr:from>
        <xdr:to>
          <xdr:col>6</xdr:col>
          <xdr:colOff>0</xdr:colOff>
          <xdr:row>23</xdr:row>
          <xdr:rowOff>0</xdr:rowOff>
        </xdr:to>
        <xdr:sp macro="" textlink="">
          <xdr:nvSpPr>
            <xdr:cNvPr id="1026" name="Drop Down 2"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26</xdr:row>
          <xdr:rowOff>0</xdr:rowOff>
        </xdr:from>
        <xdr:to>
          <xdr:col>4</xdr:col>
          <xdr:colOff>0</xdr:colOff>
          <xdr:row>27</xdr:row>
          <xdr:rowOff>0</xdr:rowOff>
        </xdr:to>
        <xdr:sp macro="" textlink="">
          <xdr:nvSpPr>
            <xdr:cNvPr id="1028" name="Drop Down 4" hidden="1">
              <a:extLst>
                <a:ext uri="{63B3BB69-23CF-44E3-9099-C40C66FF867C}">
                  <a14:compatExt spid="_x0000_s1028"/>
                </a:ext>
                <a:ext uri="{FF2B5EF4-FFF2-40B4-BE49-F238E27FC236}">
                  <a16:creationId xmlns:a16="http://schemas.microsoft.com/office/drawing/2014/main" id="{00000000-0008-0000-0000-000004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21</xdr:row>
          <xdr:rowOff>0</xdr:rowOff>
        </xdr:from>
        <xdr:to>
          <xdr:col>7</xdr:col>
          <xdr:colOff>0</xdr:colOff>
          <xdr:row>22</xdr:row>
          <xdr:rowOff>0</xdr:rowOff>
        </xdr:to>
        <xdr:sp macro="" textlink="">
          <xdr:nvSpPr>
            <xdr:cNvPr id="1029" name="Drop Down 5" hidden="1">
              <a:extLst>
                <a:ext uri="{63B3BB69-23CF-44E3-9099-C40C66FF867C}">
                  <a14:compatExt spid="_x0000_s1029"/>
                </a:ext>
                <a:ext uri="{FF2B5EF4-FFF2-40B4-BE49-F238E27FC236}">
                  <a16:creationId xmlns:a16="http://schemas.microsoft.com/office/drawing/2014/main" id="{00000000-0008-0000-0000-000005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22</xdr:row>
          <xdr:rowOff>0</xdr:rowOff>
        </xdr:from>
        <xdr:to>
          <xdr:col>7</xdr:col>
          <xdr:colOff>0</xdr:colOff>
          <xdr:row>23</xdr:row>
          <xdr:rowOff>0</xdr:rowOff>
        </xdr:to>
        <xdr:sp macro="" textlink="">
          <xdr:nvSpPr>
            <xdr:cNvPr id="1030" name="Drop Down 6" hidden="1">
              <a:extLst>
                <a:ext uri="{63B3BB69-23CF-44E3-9099-C40C66FF867C}">
                  <a14:compatExt spid="_x0000_s1030"/>
                </a:ext>
                <a:ext uri="{FF2B5EF4-FFF2-40B4-BE49-F238E27FC236}">
                  <a16:creationId xmlns:a16="http://schemas.microsoft.com/office/drawing/2014/main" id="{00000000-0008-0000-0000-000006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LocksWithSheet="0"/>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mkotera/Desktop/Kalkula&#269;ky/V&#253;po&#269;etn&#237;%20n&#225;stroj%20pro%20bilancov&#225;n&#237;%20sol&#225;rn&#237;ch%20termick&#253;ch%20syst&#233;m&#367;%20-%203.%20v&#253;zva%20-%20Rodinn&#233;%20domy%20(3.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mkotera/Desktop/Kalkula&#269;ky/Vypocetni%20nastroj_bilancovani%20solarnich%20fotovoltaickych%20systemu_3V_RD%20(1.1)_ope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1"/>
      <sheetName val="Změnový list"/>
      <sheetName val="Zadání"/>
      <sheetName val="Výpočtová část"/>
      <sheetName val="data solar"/>
      <sheetName val="data"/>
    </sheetNames>
    <sheetDataSet>
      <sheetData sheetId="0"/>
      <sheetData sheetId="1"/>
      <sheetData sheetId="2">
        <row r="19">
          <cell r="D19">
            <v>10</v>
          </cell>
        </row>
        <row r="22">
          <cell r="D22" t="str">
            <v/>
          </cell>
        </row>
        <row r="41">
          <cell r="D41" t="str">
            <v/>
          </cell>
        </row>
      </sheetData>
      <sheetData sheetId="3">
        <row r="18">
          <cell r="K18" t="e">
            <v>#VALUE!</v>
          </cell>
        </row>
      </sheetData>
      <sheetData sheetId="4"/>
      <sheetData sheetId="5"/>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1"/>
      <sheetName val="Změnový list"/>
      <sheetName val="Zadání"/>
      <sheetName val="Výpočtová část"/>
      <sheetName val="data solar"/>
      <sheetName val="data"/>
    </sheetNames>
    <sheetDataSet>
      <sheetData sheetId="0"/>
      <sheetData sheetId="1"/>
      <sheetData sheetId="2"/>
      <sheetData sheetId="3">
        <row r="16">
          <cell r="Q16" t="str">
            <v/>
          </cell>
        </row>
      </sheetData>
      <sheetData sheetId="4"/>
      <sheetData sheetId="5">
        <row r="24">
          <cell r="C24">
            <v>1000</v>
          </cell>
        </row>
        <row r="25">
          <cell r="C25">
            <v>25</v>
          </cell>
        </row>
        <row r="26">
          <cell r="C26">
            <v>800</v>
          </cell>
        </row>
        <row r="27">
          <cell r="C27">
            <v>20</v>
          </cell>
        </row>
      </sheetData>
    </sheetDataSet>
  </externalBook>
</externalLink>
</file>

<file path=xl/theme/theme1.xml><?xml version="1.0" encoding="utf-8"?>
<a:theme xmlns:a="http://schemas.openxmlformats.org/drawingml/2006/main" name="Motiv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4.xml"/><Relationship Id="rId3" Type="http://schemas.openxmlformats.org/officeDocument/2006/relationships/vmlDrawing" Target="../drawings/vmlDrawing1.vml"/><Relationship Id="rId7" Type="http://schemas.openxmlformats.org/officeDocument/2006/relationships/ctrlProp" Target="../ctrlProps/ctrlProp3.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2.xml"/><Relationship Id="rId11" Type="http://schemas.openxmlformats.org/officeDocument/2006/relationships/ctrlProp" Target="../ctrlProps/ctrlProp7.xml"/><Relationship Id="rId5" Type="http://schemas.openxmlformats.org/officeDocument/2006/relationships/ctrlProp" Target="../ctrlProps/ctrlProp1.xml"/><Relationship Id="rId10" Type="http://schemas.openxmlformats.org/officeDocument/2006/relationships/ctrlProp" Target="../ctrlProps/ctrlProp6.xml"/><Relationship Id="rId4" Type="http://schemas.openxmlformats.org/officeDocument/2006/relationships/vmlDrawing" Target="../drawings/vmlDrawing2.vml"/><Relationship Id="rId9" Type="http://schemas.openxmlformats.org/officeDocument/2006/relationships/ctrlProp" Target="../ctrlProps/ctrlProp5.xm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12.xml"/><Relationship Id="rId3" Type="http://schemas.openxmlformats.org/officeDocument/2006/relationships/vmlDrawing" Target="../drawings/vmlDrawing3.vml"/><Relationship Id="rId7" Type="http://schemas.openxmlformats.org/officeDocument/2006/relationships/ctrlProp" Target="../ctrlProps/ctrlProp11.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10.xml"/><Relationship Id="rId5" Type="http://schemas.openxmlformats.org/officeDocument/2006/relationships/ctrlProp" Target="../ctrlProps/ctrlProp9.xml"/><Relationship Id="rId4" Type="http://schemas.openxmlformats.org/officeDocument/2006/relationships/ctrlProp" Target="../ctrlProps/ctrlProp8.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List1"/>
  <dimension ref="A1:BL345"/>
  <sheetViews>
    <sheetView showGridLines="0" tabSelected="1" view="pageLayout" topLeftCell="A22" zoomScale="115" zoomScaleNormal="100" zoomScalePageLayoutView="115" workbookViewId="0">
      <selection activeCell="N15" sqref="N15:P15"/>
    </sheetView>
  </sheetViews>
  <sheetFormatPr defaultColWidth="0" defaultRowHeight="0" customHeight="1" zeroHeight="1"/>
  <cols>
    <col min="1" max="1" width="2.5703125" style="46" customWidth="1"/>
    <col min="2" max="33" width="2.5703125" style="44" customWidth="1"/>
    <col min="34" max="34" width="2.5703125" style="45" customWidth="1"/>
    <col min="35" max="35" width="3" style="44" hidden="1" customWidth="1"/>
    <col min="36" max="36" width="35.140625" style="44" hidden="1" customWidth="1"/>
    <col min="37" max="37" width="8.85546875" style="44" hidden="1" customWidth="1"/>
    <col min="38" max="41" width="2.42578125" style="44" hidden="1" customWidth="1"/>
    <col min="42" max="42" width="3.85546875" style="44" hidden="1" customWidth="1"/>
    <col min="43" max="43" width="4.7109375" style="44" hidden="1" customWidth="1"/>
    <col min="44" max="44" width="7" style="44" hidden="1" customWidth="1"/>
    <col min="45" max="16384" width="2.42578125" style="44" hidden="1"/>
  </cols>
  <sheetData>
    <row r="1" spans="1:34" s="127" customFormat="1" ht="25.5" customHeight="1">
      <c r="B1" s="279" t="s">
        <v>252</v>
      </c>
      <c r="C1" s="279"/>
      <c r="D1" s="279"/>
      <c r="E1" s="279"/>
      <c r="F1" s="279"/>
      <c r="G1" s="279"/>
      <c r="H1" s="279"/>
      <c r="I1" s="279"/>
      <c r="J1" s="279"/>
      <c r="K1" s="279"/>
      <c r="L1" s="279"/>
      <c r="M1" s="279"/>
      <c r="N1" s="279"/>
      <c r="O1" s="279"/>
      <c r="P1" s="279"/>
      <c r="Q1" s="279"/>
      <c r="R1" s="279"/>
      <c r="S1" s="279"/>
      <c r="T1" s="279"/>
      <c r="U1" s="279"/>
      <c r="V1" s="279"/>
      <c r="W1" s="279"/>
      <c r="X1" s="279"/>
      <c r="Y1" s="279"/>
      <c r="Z1" s="279"/>
      <c r="AA1" s="279"/>
      <c r="AB1" s="278" t="s">
        <v>251</v>
      </c>
      <c r="AC1" s="278"/>
      <c r="AD1" s="278"/>
      <c r="AE1" s="278"/>
      <c r="AF1" s="278"/>
      <c r="AG1" s="278"/>
      <c r="AH1" s="278"/>
    </row>
    <row r="2" spans="1:34" s="127" customFormat="1" ht="23.25" customHeight="1">
      <c r="B2" s="279"/>
      <c r="C2" s="279"/>
      <c r="D2" s="279"/>
      <c r="E2" s="279"/>
      <c r="F2" s="279"/>
      <c r="G2" s="279"/>
      <c r="H2" s="279"/>
      <c r="I2" s="279"/>
      <c r="J2" s="279"/>
      <c r="K2" s="279"/>
      <c r="L2" s="279"/>
      <c r="M2" s="279"/>
      <c r="N2" s="279"/>
      <c r="O2" s="279"/>
      <c r="P2" s="279"/>
      <c r="Q2" s="279"/>
      <c r="R2" s="279"/>
      <c r="S2" s="279"/>
      <c r="T2" s="279"/>
      <c r="U2" s="279"/>
      <c r="V2" s="279"/>
      <c r="W2" s="279"/>
      <c r="X2" s="279"/>
      <c r="Y2" s="279"/>
      <c r="Z2" s="279"/>
      <c r="AA2" s="279"/>
      <c r="AB2" s="278"/>
      <c r="AC2" s="278"/>
      <c r="AD2" s="278"/>
      <c r="AE2" s="278"/>
      <c r="AF2" s="278"/>
      <c r="AG2" s="278"/>
      <c r="AH2" s="278"/>
    </row>
    <row r="3" spans="1:34" s="127" customFormat="1" ht="18.75" customHeight="1">
      <c r="A3" s="129"/>
      <c r="AH3" s="128"/>
    </row>
    <row r="4" spans="1:34" ht="15">
      <c r="B4" s="281" t="s">
        <v>239</v>
      </c>
      <c r="C4" s="281"/>
      <c r="D4" s="281"/>
      <c r="E4" s="281"/>
      <c r="F4" s="281"/>
      <c r="G4" s="281"/>
      <c r="H4" s="281"/>
      <c r="I4" s="281"/>
      <c r="J4" s="281"/>
      <c r="K4" s="281"/>
      <c r="L4" s="281"/>
      <c r="M4" s="281"/>
      <c r="N4" s="281"/>
      <c r="O4" s="281"/>
      <c r="P4" s="281"/>
      <c r="Q4" s="281"/>
      <c r="R4" s="281"/>
      <c r="S4" s="281"/>
      <c r="T4" s="281"/>
      <c r="U4" s="281"/>
      <c r="V4" s="281"/>
      <c r="W4" s="281"/>
      <c r="X4" s="281"/>
      <c r="Y4" s="281"/>
      <c r="Z4" s="281"/>
      <c r="AA4" s="281"/>
      <c r="AB4" s="281"/>
      <c r="AC4" s="281"/>
      <c r="AD4" s="281"/>
      <c r="AE4" s="281"/>
      <c r="AF4" s="281"/>
      <c r="AG4" s="281"/>
      <c r="AH4" s="126"/>
    </row>
    <row r="5" spans="1:34" ht="7.5" customHeight="1">
      <c r="B5" s="282"/>
      <c r="C5" s="282"/>
      <c r="D5" s="282"/>
      <c r="E5" s="282"/>
      <c r="F5" s="282"/>
      <c r="G5" s="282"/>
      <c r="H5" s="282"/>
      <c r="I5" s="282"/>
      <c r="J5" s="282"/>
      <c r="K5" s="282"/>
      <c r="L5" s="282"/>
      <c r="M5" s="282"/>
      <c r="N5" s="282"/>
      <c r="O5" s="282"/>
      <c r="P5" s="282"/>
      <c r="Q5" s="282"/>
      <c r="R5" s="282"/>
      <c r="S5" s="282"/>
      <c r="T5" s="282"/>
      <c r="U5" s="282"/>
      <c r="V5" s="282"/>
      <c r="W5" s="282"/>
      <c r="X5" s="282"/>
      <c r="Y5" s="282"/>
      <c r="Z5" s="282"/>
      <c r="AA5" s="282"/>
      <c r="AB5" s="282"/>
      <c r="AC5" s="282"/>
      <c r="AD5" s="282"/>
      <c r="AE5" s="282"/>
      <c r="AF5" s="282"/>
      <c r="AG5" s="282"/>
      <c r="AH5" s="125"/>
    </row>
    <row r="6" spans="1:34" ht="15">
      <c r="B6" s="245" t="s">
        <v>238</v>
      </c>
      <c r="C6" s="246"/>
      <c r="D6" s="246"/>
      <c r="E6" s="246"/>
      <c r="F6" s="246"/>
      <c r="G6" s="246"/>
      <c r="H6" s="246"/>
      <c r="I6" s="246"/>
      <c r="J6" s="246"/>
      <c r="K6" s="246"/>
      <c r="L6" s="246"/>
      <c r="M6" s="246"/>
      <c r="N6" s="246"/>
      <c r="O6" s="246"/>
      <c r="P6" s="246"/>
      <c r="Q6" s="246"/>
      <c r="R6" s="246"/>
      <c r="S6" s="246"/>
      <c r="T6" s="246"/>
      <c r="U6" s="246"/>
      <c r="V6" s="246"/>
      <c r="W6" s="246"/>
      <c r="X6" s="246"/>
      <c r="Y6" s="246"/>
      <c r="Z6" s="246"/>
      <c r="AA6" s="246"/>
      <c r="AB6" s="246"/>
      <c r="AC6" s="246"/>
      <c r="AD6" s="246"/>
      <c r="AE6" s="246"/>
      <c r="AF6" s="246"/>
      <c r="AG6" s="247"/>
      <c r="AH6" s="136"/>
    </row>
    <row r="7" spans="1:34" ht="15">
      <c r="A7" s="105">
        <v>2</v>
      </c>
      <c r="B7" s="124" t="s">
        <v>237</v>
      </c>
      <c r="C7" s="124"/>
      <c r="D7" s="123"/>
      <c r="E7" s="123"/>
      <c r="F7" s="123"/>
      <c r="G7" s="123"/>
      <c r="H7" s="283"/>
      <c r="I7" s="283"/>
      <c r="J7" s="283"/>
      <c r="K7" s="283"/>
      <c r="L7" s="283"/>
      <c r="M7" s="283"/>
      <c r="N7" s="283"/>
      <c r="O7" s="283"/>
      <c r="P7" s="283"/>
      <c r="Q7" s="283"/>
      <c r="R7" s="283"/>
      <c r="S7" s="283"/>
      <c r="T7" s="283"/>
      <c r="U7" s="283"/>
      <c r="V7" s="283"/>
      <c r="W7" s="283"/>
      <c r="X7" s="123" t="s">
        <v>236</v>
      </c>
      <c r="Y7" s="123"/>
      <c r="Z7" s="123"/>
      <c r="AA7" s="283"/>
      <c r="AB7" s="283"/>
      <c r="AC7" s="283"/>
      <c r="AD7" s="283"/>
      <c r="AE7" s="283"/>
      <c r="AF7" s="283"/>
      <c r="AG7" s="284"/>
      <c r="AH7" s="138"/>
    </row>
    <row r="8" spans="1:34" ht="11.25" customHeight="1"/>
    <row r="9" spans="1:34" ht="15">
      <c r="B9" s="245" t="s">
        <v>235</v>
      </c>
      <c r="C9" s="246"/>
      <c r="D9" s="246"/>
      <c r="E9" s="246"/>
      <c r="F9" s="246"/>
      <c r="G9" s="246"/>
      <c r="H9" s="246"/>
      <c r="I9" s="246"/>
      <c r="J9" s="246"/>
      <c r="K9" s="246"/>
      <c r="L9" s="246"/>
      <c r="M9" s="246"/>
      <c r="N9" s="246"/>
      <c r="O9" s="246"/>
      <c r="P9" s="246"/>
      <c r="Q9" s="246"/>
      <c r="R9" s="246"/>
      <c r="S9" s="246"/>
      <c r="T9" s="246"/>
      <c r="U9" s="246"/>
      <c r="V9" s="246"/>
      <c r="W9" s="246"/>
      <c r="X9" s="246"/>
      <c r="Y9" s="246"/>
      <c r="Z9" s="246"/>
      <c r="AA9" s="246"/>
      <c r="AB9" s="246"/>
      <c r="AC9" s="246"/>
      <c r="AD9" s="246"/>
      <c r="AE9" s="246"/>
      <c r="AF9" s="246"/>
      <c r="AG9" s="247"/>
      <c r="AH9" s="136"/>
    </row>
    <row r="10" spans="1:34" ht="15">
      <c r="A10" s="105">
        <v>3</v>
      </c>
      <c r="B10" s="122" t="s">
        <v>234</v>
      </c>
      <c r="C10" s="121"/>
      <c r="D10" s="121"/>
      <c r="E10" s="121"/>
      <c r="F10" s="121"/>
      <c r="G10" s="121"/>
      <c r="H10" s="121"/>
      <c r="I10" s="120"/>
      <c r="J10" s="256"/>
      <c r="K10" s="256"/>
      <c r="L10" s="256"/>
      <c r="M10" s="256"/>
      <c r="N10" s="256"/>
      <c r="O10" s="256"/>
      <c r="P10" s="256"/>
      <c r="Q10" s="256"/>
      <c r="R10" s="256"/>
      <c r="S10" s="256"/>
      <c r="T10" s="256"/>
      <c r="U10" s="256"/>
      <c r="V10" s="256"/>
      <c r="W10" s="256"/>
      <c r="X10" s="119" t="s">
        <v>233</v>
      </c>
      <c r="Y10" s="118"/>
      <c r="Z10" s="118"/>
      <c r="AA10" s="118"/>
      <c r="AB10" s="118"/>
      <c r="AC10" s="118"/>
      <c r="AD10" s="118"/>
      <c r="AE10" s="257"/>
      <c r="AF10" s="257"/>
      <c r="AG10" s="258"/>
      <c r="AH10" s="138"/>
    </row>
    <row r="11" spans="1:34" ht="15">
      <c r="A11" s="105">
        <v>4</v>
      </c>
      <c r="B11" s="117" t="s">
        <v>232</v>
      </c>
      <c r="C11" s="116"/>
      <c r="D11" s="116"/>
      <c r="E11" s="116"/>
      <c r="F11" s="116"/>
      <c r="G11" s="259"/>
      <c r="H11" s="259"/>
      <c r="I11" s="259"/>
      <c r="J11" s="259"/>
      <c r="K11" s="259"/>
      <c r="L11" s="259"/>
      <c r="M11" s="259"/>
      <c r="N11" s="259"/>
      <c r="O11" s="259"/>
      <c r="P11" s="259"/>
      <c r="Q11" s="259"/>
      <c r="R11" s="259"/>
      <c r="S11" s="259"/>
      <c r="T11" s="259"/>
      <c r="U11" s="259"/>
      <c r="V11" s="259"/>
      <c r="W11" s="259"/>
      <c r="X11" s="116" t="s">
        <v>231</v>
      </c>
      <c r="Y11" s="116"/>
      <c r="Z11" s="116"/>
      <c r="AA11" s="115"/>
      <c r="AB11" s="115"/>
      <c r="AC11" s="259"/>
      <c r="AD11" s="259"/>
      <c r="AE11" s="259"/>
      <c r="AF11" s="259"/>
      <c r="AG11" s="260"/>
      <c r="AH11" s="138"/>
    </row>
    <row r="12" spans="1:34" ht="15">
      <c r="A12" s="105">
        <v>5</v>
      </c>
      <c r="B12" s="117" t="s">
        <v>241</v>
      </c>
      <c r="C12" s="116"/>
      <c r="D12" s="116"/>
      <c r="E12" s="116"/>
      <c r="F12" s="116"/>
      <c r="G12" s="259"/>
      <c r="H12" s="259"/>
      <c r="I12" s="259"/>
      <c r="J12" s="259"/>
      <c r="K12" s="259"/>
      <c r="L12" s="259"/>
      <c r="M12" s="259"/>
      <c r="N12" s="259"/>
      <c r="O12" s="259"/>
      <c r="P12" s="259"/>
      <c r="Q12" s="259"/>
      <c r="R12" s="259"/>
      <c r="S12" s="259"/>
      <c r="T12" s="259"/>
      <c r="U12" s="259"/>
      <c r="V12" s="259"/>
      <c r="W12" s="259"/>
      <c r="X12" s="289"/>
      <c r="Y12" s="289"/>
      <c r="Z12" s="289"/>
      <c r="AA12" s="289"/>
      <c r="AB12" s="289"/>
      <c r="AC12" s="289"/>
      <c r="AD12" s="289"/>
      <c r="AE12" s="289"/>
      <c r="AF12" s="289"/>
      <c r="AG12" s="290"/>
      <c r="AH12" s="138"/>
    </row>
    <row r="13" spans="1:34" ht="11.25" customHeight="1"/>
    <row r="14" spans="1:34" ht="15">
      <c r="B14" s="245" t="s">
        <v>230</v>
      </c>
      <c r="C14" s="246"/>
      <c r="D14" s="246"/>
      <c r="E14" s="246"/>
      <c r="F14" s="246"/>
      <c r="G14" s="246"/>
      <c r="H14" s="246"/>
      <c r="I14" s="246"/>
      <c r="J14" s="246"/>
      <c r="K14" s="246"/>
      <c r="L14" s="246"/>
      <c r="M14" s="246"/>
      <c r="N14" s="246"/>
      <c r="O14" s="246"/>
      <c r="P14" s="246"/>
      <c r="Q14" s="246"/>
      <c r="R14" s="246"/>
      <c r="S14" s="246"/>
      <c r="T14" s="246"/>
      <c r="U14" s="246"/>
      <c r="V14" s="246"/>
      <c r="W14" s="246"/>
      <c r="X14" s="246"/>
      <c r="Y14" s="246"/>
      <c r="Z14" s="246"/>
      <c r="AA14" s="246"/>
      <c r="AB14" s="246"/>
      <c r="AC14" s="246"/>
      <c r="AD14" s="246"/>
      <c r="AE14" s="246"/>
      <c r="AF14" s="246"/>
      <c r="AG14" s="247"/>
      <c r="AH14" s="136"/>
    </row>
    <row r="15" spans="1:34" ht="15">
      <c r="A15" s="105">
        <v>6</v>
      </c>
      <c r="B15" s="286" t="s">
        <v>229</v>
      </c>
      <c r="C15" s="287"/>
      <c r="D15" s="287"/>
      <c r="E15" s="287"/>
      <c r="F15" s="287"/>
      <c r="G15" s="287"/>
      <c r="H15" s="287"/>
      <c r="I15" s="287"/>
      <c r="J15" s="287"/>
      <c r="K15" s="287"/>
      <c r="L15" s="287"/>
      <c r="M15" s="287"/>
      <c r="N15" s="285"/>
      <c r="O15" s="285"/>
      <c r="P15" s="285"/>
      <c r="Q15" s="262" t="s">
        <v>228</v>
      </c>
      <c r="R15" s="262"/>
      <c r="S15" s="262"/>
      <c r="T15" s="280" t="s">
        <v>227</v>
      </c>
      <c r="U15" s="280"/>
      <c r="V15" s="280"/>
      <c r="W15" s="280"/>
      <c r="X15" s="280"/>
      <c r="Y15" s="280"/>
      <c r="Z15" s="280"/>
      <c r="AA15" s="280"/>
      <c r="AB15" s="288">
        <f>List1!F5</f>
        <v>40</v>
      </c>
      <c r="AC15" s="288"/>
      <c r="AD15" s="288"/>
      <c r="AE15" s="248" t="s">
        <v>77</v>
      </c>
      <c r="AF15" s="248"/>
      <c r="AG15" s="249"/>
      <c r="AH15" s="114"/>
    </row>
    <row r="16" spans="1:34" ht="15">
      <c r="A16" s="105">
        <f>A15+1</f>
        <v>7</v>
      </c>
      <c r="B16" s="221" t="s">
        <v>226</v>
      </c>
      <c r="C16" s="227"/>
      <c r="D16" s="227"/>
      <c r="E16" s="227"/>
      <c r="F16" s="227"/>
      <c r="G16" s="227"/>
      <c r="H16" s="227"/>
      <c r="I16" s="227"/>
      <c r="J16" s="227"/>
      <c r="K16" s="227"/>
      <c r="L16" s="227"/>
      <c r="M16" s="227"/>
      <c r="N16" s="154">
        <f>List1!F6</f>
        <v>10</v>
      </c>
      <c r="O16" s="154"/>
      <c r="P16" s="154"/>
      <c r="Q16" s="168" t="s">
        <v>16</v>
      </c>
      <c r="R16" s="168"/>
      <c r="S16" s="168"/>
      <c r="T16" s="218" t="s">
        <v>225</v>
      </c>
      <c r="U16" s="218"/>
      <c r="V16" s="218"/>
      <c r="W16" s="218"/>
      <c r="X16" s="218"/>
      <c r="Y16" s="218"/>
      <c r="Z16" s="218"/>
      <c r="AA16" s="218"/>
      <c r="AB16" s="154">
        <f>List1!F7</f>
        <v>55</v>
      </c>
      <c r="AC16" s="154"/>
      <c r="AD16" s="154"/>
      <c r="AE16" s="216" t="s">
        <v>16</v>
      </c>
      <c r="AF16" s="216"/>
      <c r="AG16" s="217"/>
      <c r="AH16" s="113"/>
    </row>
    <row r="17" spans="1:34" ht="15">
      <c r="A17" s="105">
        <f>A16+1</f>
        <v>8</v>
      </c>
      <c r="B17" s="221" t="s">
        <v>224</v>
      </c>
      <c r="C17" s="227"/>
      <c r="D17" s="227"/>
      <c r="E17" s="227"/>
      <c r="F17" s="227"/>
      <c r="G17" s="227"/>
      <c r="H17" s="227"/>
      <c r="I17" s="227"/>
      <c r="J17" s="227"/>
      <c r="K17" s="227"/>
      <c r="L17" s="227"/>
      <c r="M17" s="227"/>
      <c r="N17" s="227"/>
      <c r="O17" s="227"/>
      <c r="P17" s="227"/>
      <c r="Q17" s="227"/>
      <c r="R17" s="227"/>
      <c r="S17" s="227"/>
      <c r="T17" s="227"/>
      <c r="U17" s="227"/>
      <c r="V17" s="227"/>
      <c r="W17" s="227"/>
      <c r="X17" s="227"/>
      <c r="Y17" s="227"/>
      <c r="Z17" s="227"/>
      <c r="AA17" s="227"/>
      <c r="AB17" s="226"/>
      <c r="AC17" s="226"/>
      <c r="AD17" s="226"/>
      <c r="AE17" s="224" t="s">
        <v>115</v>
      </c>
      <c r="AF17" s="224"/>
      <c r="AG17" s="225"/>
      <c r="AH17" s="112"/>
    </row>
    <row r="18" spans="1:34" s="110" customFormat="1" ht="16.5" customHeight="1">
      <c r="A18" s="105">
        <f>A17+1</f>
        <v>9</v>
      </c>
      <c r="B18" s="231" t="s">
        <v>223</v>
      </c>
      <c r="C18" s="232"/>
      <c r="D18" s="232"/>
      <c r="E18" s="232"/>
      <c r="F18" s="232"/>
      <c r="G18" s="232"/>
      <c r="H18" s="232"/>
      <c r="I18" s="232"/>
      <c r="J18" s="232"/>
      <c r="K18" s="232"/>
      <c r="L18" s="232"/>
      <c r="M18" s="232"/>
      <c r="N18" s="232"/>
      <c r="O18" s="232"/>
      <c r="P18" s="233"/>
      <c r="Q18" s="141"/>
      <c r="R18" s="141"/>
      <c r="S18" s="142"/>
      <c r="T18" s="143"/>
      <c r="U18" s="143"/>
      <c r="V18" s="143"/>
      <c r="W18" s="143"/>
      <c r="X18" s="143"/>
      <c r="Y18" s="143"/>
      <c r="Z18" s="143"/>
      <c r="AA18" s="143"/>
      <c r="AB18" s="143"/>
      <c r="AC18" s="143"/>
      <c r="AD18" s="143"/>
      <c r="AE18" s="143"/>
      <c r="AF18" s="144">
        <f>+CHOOSE(AG18,"",0.15,0.3,1)</f>
        <v>0.15</v>
      </c>
      <c r="AG18" s="145">
        <v>2</v>
      </c>
      <c r="AH18" s="111"/>
    </row>
    <row r="19" spans="1:34" ht="15">
      <c r="A19" s="105">
        <f>A18+1</f>
        <v>10</v>
      </c>
      <c r="B19" s="109" t="s">
        <v>222</v>
      </c>
      <c r="C19" s="108"/>
      <c r="D19" s="108"/>
      <c r="E19" s="108"/>
      <c r="F19" s="108"/>
      <c r="G19" s="108"/>
      <c r="H19" s="108"/>
      <c r="I19" s="108"/>
      <c r="J19" s="108"/>
      <c r="K19" s="108"/>
      <c r="L19" s="108"/>
      <c r="M19" s="108"/>
      <c r="N19" s="108"/>
      <c r="O19" s="108"/>
      <c r="P19" s="108"/>
      <c r="Q19" s="228"/>
      <c r="R19" s="229"/>
      <c r="S19" s="229"/>
      <c r="T19" s="229"/>
      <c r="U19" s="229"/>
      <c r="V19" s="229"/>
      <c r="W19" s="229"/>
      <c r="X19" s="229"/>
      <c r="Y19" s="229"/>
      <c r="Z19" s="229"/>
      <c r="AA19" s="229"/>
      <c r="AB19" s="229"/>
      <c r="AC19" s="229"/>
      <c r="AD19" s="229"/>
      <c r="AE19" s="229"/>
      <c r="AF19" s="229"/>
      <c r="AG19" s="230"/>
      <c r="AH19" s="107"/>
    </row>
    <row r="20" spans="1:34" ht="15.75" customHeight="1"/>
    <row r="21" spans="1:34" ht="15">
      <c r="B21" s="245" t="s">
        <v>221</v>
      </c>
      <c r="C21" s="246"/>
      <c r="D21" s="246"/>
      <c r="E21" s="246"/>
      <c r="F21" s="246"/>
      <c r="G21" s="246"/>
      <c r="H21" s="246"/>
      <c r="I21" s="246"/>
      <c r="J21" s="246"/>
      <c r="K21" s="246"/>
      <c r="L21" s="246"/>
      <c r="M21" s="246"/>
      <c r="N21" s="246"/>
      <c r="O21" s="246"/>
      <c r="P21" s="246"/>
      <c r="Q21" s="246"/>
      <c r="R21" s="246"/>
      <c r="S21" s="246"/>
      <c r="T21" s="246"/>
      <c r="U21" s="246"/>
      <c r="V21" s="246"/>
      <c r="W21" s="246"/>
      <c r="X21" s="246"/>
      <c r="Y21" s="246"/>
      <c r="Z21" s="246"/>
      <c r="AA21" s="246"/>
      <c r="AB21" s="246"/>
      <c r="AC21" s="246"/>
      <c r="AD21" s="246"/>
      <c r="AE21" s="246"/>
      <c r="AF21" s="246"/>
      <c r="AG21" s="247"/>
      <c r="AH21" s="136"/>
    </row>
    <row r="22" spans="1:34" ht="15">
      <c r="A22" s="105">
        <f>A19+1</f>
        <v>11</v>
      </c>
      <c r="B22" s="263" t="s">
        <v>220</v>
      </c>
      <c r="C22" s="264"/>
      <c r="D22" s="264"/>
      <c r="E22" s="264"/>
      <c r="F22" s="264"/>
      <c r="G22" s="264"/>
      <c r="H22" s="264"/>
      <c r="I22" s="264"/>
      <c r="J22" s="264"/>
      <c r="K22" s="264"/>
      <c r="L22" s="264"/>
      <c r="M22" s="264"/>
      <c r="N22" s="164"/>
      <c r="O22" s="165"/>
      <c r="P22" s="165"/>
      <c r="Q22" s="165"/>
      <c r="R22" s="165"/>
      <c r="S22" s="165"/>
      <c r="T22" s="165"/>
      <c r="U22" s="165"/>
      <c r="V22" s="165"/>
      <c r="W22" s="165"/>
      <c r="X22" s="165"/>
      <c r="Y22" s="165"/>
      <c r="Z22" s="165"/>
      <c r="AA22" s="165"/>
      <c r="AB22" s="165"/>
      <c r="AC22" s="165"/>
      <c r="AD22" s="165"/>
      <c r="AE22" s="165"/>
      <c r="AF22" s="165"/>
      <c r="AG22" s="166"/>
      <c r="AH22" s="134"/>
    </row>
    <row r="23" spans="1:34" ht="15">
      <c r="A23" s="105">
        <f>1+A22</f>
        <v>12</v>
      </c>
      <c r="B23" s="221" t="s">
        <v>219</v>
      </c>
      <c r="C23" s="227"/>
      <c r="D23" s="227"/>
      <c r="E23" s="227"/>
      <c r="F23" s="227"/>
      <c r="G23" s="227"/>
      <c r="H23" s="227"/>
      <c r="I23" s="227"/>
      <c r="J23" s="227"/>
      <c r="K23" s="227"/>
      <c r="L23" s="227"/>
      <c r="M23" s="227"/>
      <c r="N23" s="172"/>
      <c r="O23" s="172"/>
      <c r="P23" s="172"/>
      <c r="Q23" s="168" t="s">
        <v>16</v>
      </c>
      <c r="R23" s="168"/>
      <c r="S23" s="168"/>
      <c r="T23" s="218" t="s">
        <v>218</v>
      </c>
      <c r="U23" s="218"/>
      <c r="V23" s="218"/>
      <c r="W23" s="218"/>
      <c r="X23" s="218"/>
      <c r="Y23" s="218"/>
      <c r="Z23" s="218"/>
      <c r="AA23" s="218"/>
      <c r="AB23" s="234" t="str">
        <f>IF(OR(ISNUMBER(M29),ISNUMBER(AC29)),M29+AC29,"")</f>
        <v/>
      </c>
      <c r="AC23" s="234"/>
      <c r="AD23" s="234"/>
      <c r="AE23" s="169" t="s">
        <v>217</v>
      </c>
      <c r="AF23" s="169"/>
      <c r="AG23" s="169"/>
      <c r="AH23" s="106"/>
    </row>
    <row r="24" spans="1:34" ht="15">
      <c r="A24" s="105">
        <f>1+A23</f>
        <v>13</v>
      </c>
      <c r="B24" s="221" t="s">
        <v>216</v>
      </c>
      <c r="C24" s="222"/>
      <c r="D24" s="222"/>
      <c r="E24" s="222"/>
      <c r="F24" s="222"/>
      <c r="G24" s="222"/>
      <c r="H24" s="222"/>
      <c r="I24" s="222"/>
      <c r="J24" s="222"/>
      <c r="K24" s="222"/>
      <c r="L24" s="222"/>
      <c r="M24" s="223"/>
      <c r="N24" s="171"/>
      <c r="O24" s="171"/>
      <c r="P24" s="171"/>
      <c r="Q24" s="168"/>
      <c r="R24" s="168"/>
      <c r="S24" s="168"/>
      <c r="T24" s="218" t="s">
        <v>215</v>
      </c>
      <c r="U24" s="218"/>
      <c r="V24" s="218"/>
      <c r="W24" s="218"/>
      <c r="X24" s="218"/>
      <c r="Y24" s="218"/>
      <c r="Z24" s="218"/>
      <c r="AA24" s="218"/>
      <c r="AB24" s="180"/>
      <c r="AC24" s="180"/>
      <c r="AD24" s="180"/>
      <c r="AE24" s="168"/>
      <c r="AF24" s="168"/>
      <c r="AG24" s="261"/>
      <c r="AH24" s="106"/>
    </row>
    <row r="25" spans="1:34" ht="15.75" thickBot="1">
      <c r="A25" s="105">
        <f>1+A24</f>
        <v>14</v>
      </c>
      <c r="B25" s="219" t="s">
        <v>214</v>
      </c>
      <c r="C25" s="220"/>
      <c r="D25" s="220"/>
      <c r="E25" s="220"/>
      <c r="F25" s="220"/>
      <c r="G25" s="220"/>
      <c r="H25" s="220"/>
      <c r="I25" s="220"/>
      <c r="J25" s="220"/>
      <c r="K25" s="220"/>
      <c r="L25" s="220"/>
      <c r="M25" s="220"/>
      <c r="N25" s="170"/>
      <c r="O25" s="170"/>
      <c r="P25" s="170"/>
      <c r="Q25" s="167" t="s">
        <v>55</v>
      </c>
      <c r="R25" s="167"/>
      <c r="S25" s="167"/>
      <c r="T25" s="176" t="s">
        <v>213</v>
      </c>
      <c r="U25" s="176"/>
      <c r="V25" s="176"/>
      <c r="W25" s="176"/>
      <c r="X25" s="176"/>
      <c r="Y25" s="176"/>
      <c r="Z25" s="176"/>
      <c r="AA25" s="176"/>
      <c r="AB25" s="146"/>
      <c r="AC25" s="147"/>
      <c r="AD25" s="147"/>
      <c r="AE25" s="147"/>
      <c r="AF25" s="147"/>
      <c r="AG25" s="148"/>
      <c r="AH25" s="106"/>
    </row>
    <row r="26" spans="1:34" ht="15">
      <c r="A26" s="105"/>
      <c r="B26" s="189" t="s">
        <v>242</v>
      </c>
      <c r="C26" s="190"/>
      <c r="D26" s="190"/>
      <c r="E26" s="190"/>
      <c r="F26" s="190"/>
      <c r="G26" s="190"/>
      <c r="H26" s="190"/>
      <c r="I26" s="190"/>
      <c r="J26" s="190"/>
      <c r="K26" s="190"/>
      <c r="L26" s="190"/>
      <c r="M26" s="190"/>
      <c r="N26" s="190"/>
      <c r="O26" s="190"/>
      <c r="P26" s="190"/>
      <c r="Q26" s="191"/>
      <c r="R26" s="192" t="s">
        <v>243</v>
      </c>
      <c r="S26" s="193"/>
      <c r="T26" s="193"/>
      <c r="U26" s="193"/>
      <c r="V26" s="193"/>
      <c r="W26" s="193"/>
      <c r="X26" s="193"/>
      <c r="Y26" s="193"/>
      <c r="Z26" s="193"/>
      <c r="AA26" s="193"/>
      <c r="AB26" s="193"/>
      <c r="AC26" s="193"/>
      <c r="AD26" s="193"/>
      <c r="AE26" s="193"/>
      <c r="AF26" s="193"/>
      <c r="AG26" s="194"/>
      <c r="AH26" s="106"/>
    </row>
    <row r="27" spans="1:34" ht="15">
      <c r="A27" s="105">
        <f>1+A25</f>
        <v>15</v>
      </c>
      <c r="B27" s="199" t="s">
        <v>256</v>
      </c>
      <c r="C27" s="200"/>
      <c r="D27" s="200"/>
      <c r="E27" s="200"/>
      <c r="F27" s="200"/>
      <c r="G27" s="200"/>
      <c r="H27" s="200"/>
      <c r="I27" s="200"/>
      <c r="J27" s="200"/>
      <c r="K27" s="200"/>
      <c r="L27" s="200"/>
      <c r="M27" s="201"/>
      <c r="N27" s="149"/>
      <c r="O27" s="149"/>
      <c r="P27" s="149"/>
      <c r="Q27" s="150"/>
      <c r="R27" s="205" t="s">
        <v>257</v>
      </c>
      <c r="S27" s="206"/>
      <c r="T27" s="206"/>
      <c r="U27" s="206"/>
      <c r="V27" s="206"/>
      <c r="W27" s="206"/>
      <c r="X27" s="206"/>
      <c r="Y27" s="206"/>
      <c r="Z27" s="206"/>
      <c r="AA27" s="206"/>
      <c r="AB27" s="206"/>
      <c r="AC27" s="207"/>
      <c r="AD27" s="151"/>
      <c r="AE27" s="151"/>
      <c r="AF27" s="104"/>
      <c r="AG27" s="152"/>
      <c r="AH27" s="103"/>
    </row>
    <row r="28" spans="1:34" ht="15">
      <c r="A28" s="105">
        <f>1+A27</f>
        <v>16</v>
      </c>
      <c r="B28" s="202" t="s">
        <v>255</v>
      </c>
      <c r="C28" s="203"/>
      <c r="D28" s="203"/>
      <c r="E28" s="203"/>
      <c r="F28" s="203"/>
      <c r="G28" s="203"/>
      <c r="H28" s="203"/>
      <c r="I28" s="203"/>
      <c r="J28" s="203"/>
      <c r="K28" s="203"/>
      <c r="L28" s="203"/>
      <c r="M28" s="204"/>
      <c r="N28" s="149"/>
      <c r="O28" s="149"/>
      <c r="P28" s="149"/>
      <c r="Q28" s="150"/>
      <c r="R28" s="208" t="s">
        <v>255</v>
      </c>
      <c r="S28" s="209"/>
      <c r="T28" s="209"/>
      <c r="U28" s="209"/>
      <c r="V28" s="209"/>
      <c r="W28" s="209"/>
      <c r="X28" s="209"/>
      <c r="Y28" s="209"/>
      <c r="Z28" s="209"/>
      <c r="AA28" s="209"/>
      <c r="AB28" s="209"/>
      <c r="AC28" s="210"/>
      <c r="AD28" s="151"/>
      <c r="AE28" s="151"/>
      <c r="AF28" s="132"/>
      <c r="AG28" s="153"/>
      <c r="AH28" s="103"/>
    </row>
    <row r="29" spans="1:34" ht="15.75" thickBot="1">
      <c r="A29" s="105">
        <f>1+A28</f>
        <v>17</v>
      </c>
      <c r="B29" s="196" t="s">
        <v>244</v>
      </c>
      <c r="C29" s="197"/>
      <c r="D29" s="197"/>
      <c r="E29" s="197"/>
      <c r="F29" s="197"/>
      <c r="G29" s="197"/>
      <c r="H29" s="197"/>
      <c r="I29" s="197"/>
      <c r="J29" s="197"/>
      <c r="K29" s="197"/>
      <c r="L29" s="198"/>
      <c r="M29" s="195"/>
      <c r="N29" s="195"/>
      <c r="O29" s="195"/>
      <c r="P29" s="239" t="s">
        <v>113</v>
      </c>
      <c r="Q29" s="240"/>
      <c r="R29" s="196" t="s">
        <v>245</v>
      </c>
      <c r="S29" s="197"/>
      <c r="T29" s="197"/>
      <c r="U29" s="197"/>
      <c r="V29" s="197"/>
      <c r="W29" s="197"/>
      <c r="X29" s="197"/>
      <c r="Y29" s="197"/>
      <c r="Z29" s="197"/>
      <c r="AA29" s="197"/>
      <c r="AB29" s="197"/>
      <c r="AC29" s="195"/>
      <c r="AD29" s="195"/>
      <c r="AE29" s="195"/>
      <c r="AF29" s="187" t="s">
        <v>113</v>
      </c>
      <c r="AG29" s="188"/>
      <c r="AH29" s="103"/>
    </row>
    <row r="30" spans="1:34" ht="15.75" customHeight="1"/>
    <row r="31" spans="1:34" ht="15">
      <c r="B31" s="272" t="s">
        <v>212</v>
      </c>
      <c r="C31" s="273"/>
      <c r="D31" s="273"/>
      <c r="E31" s="273"/>
      <c r="F31" s="273"/>
      <c r="G31" s="273"/>
      <c r="H31" s="273"/>
      <c r="I31" s="273"/>
      <c r="J31" s="273"/>
      <c r="K31" s="273"/>
      <c r="L31" s="273"/>
      <c r="M31" s="273"/>
      <c r="N31" s="273"/>
      <c r="O31" s="273"/>
      <c r="P31" s="273"/>
      <c r="Q31" s="273"/>
      <c r="R31" s="273"/>
      <c r="S31" s="273"/>
      <c r="T31" s="273"/>
      <c r="U31" s="273"/>
      <c r="V31" s="273"/>
      <c r="W31" s="273"/>
      <c r="X31" s="273"/>
      <c r="Y31" s="273"/>
      <c r="Z31" s="273"/>
      <c r="AA31" s="273"/>
      <c r="AB31" s="273"/>
      <c r="AC31" s="273"/>
      <c r="AD31" s="273"/>
      <c r="AE31" s="273"/>
      <c r="AF31" s="273"/>
      <c r="AG31" s="274"/>
      <c r="AH31" s="136"/>
    </row>
    <row r="32" spans="1:34" ht="15" hidden="1">
      <c r="B32" s="161" t="s">
        <v>211</v>
      </c>
      <c r="C32" s="162"/>
      <c r="D32" s="162"/>
      <c r="E32" s="162"/>
      <c r="F32" s="162"/>
      <c r="G32" s="162"/>
      <c r="H32" s="162"/>
      <c r="I32" s="162"/>
      <c r="J32" s="162"/>
      <c r="K32" s="162"/>
      <c r="L32" s="162"/>
      <c r="M32" s="162"/>
      <c r="N32" s="163"/>
      <c r="O32" s="175" t="s">
        <v>240</v>
      </c>
      <c r="P32" s="175"/>
      <c r="Q32" s="175"/>
      <c r="R32" s="159" t="s">
        <v>210</v>
      </c>
      <c r="S32" s="160"/>
      <c r="T32" s="160"/>
      <c r="U32" s="157"/>
      <c r="V32" s="157"/>
      <c r="W32" s="157"/>
      <c r="X32" s="157"/>
      <c r="Y32" s="157"/>
      <c r="Z32" s="157"/>
      <c r="AA32" s="157"/>
      <c r="AB32" s="157"/>
      <c r="AC32" s="157"/>
      <c r="AD32" s="157"/>
      <c r="AE32" s="157"/>
      <c r="AF32" s="157"/>
      <c r="AG32" s="158"/>
      <c r="AH32" s="136"/>
    </row>
    <row r="33" spans="1:35" ht="15" hidden="1">
      <c r="B33" s="161" t="s">
        <v>209</v>
      </c>
      <c r="C33" s="162"/>
      <c r="D33" s="162"/>
      <c r="E33" s="162"/>
      <c r="F33" s="162"/>
      <c r="G33" s="162"/>
      <c r="H33" s="162"/>
      <c r="I33" s="162"/>
      <c r="J33" s="162"/>
      <c r="K33" s="162"/>
      <c r="L33" s="162"/>
      <c r="M33" s="162"/>
      <c r="N33" s="163"/>
      <c r="O33" s="184" t="str">
        <f>IF(ISNUMBER(Snížení_účinnosti_1000na200_ΔηG),(-Snížení_účinnosti_1000na200_ΔηG/(LN(200/1000))),"")</f>
        <v/>
      </c>
      <c r="P33" s="185"/>
      <c r="Q33" s="186"/>
      <c r="R33" s="159" t="s">
        <v>13</v>
      </c>
      <c r="S33" s="160"/>
      <c r="T33" s="160"/>
      <c r="U33" s="139"/>
      <c r="V33" s="139"/>
      <c r="W33" s="139"/>
      <c r="X33" s="139"/>
      <c r="Y33" s="139"/>
      <c r="Z33" s="139"/>
      <c r="AA33" s="139"/>
      <c r="AB33" s="139"/>
      <c r="AC33" s="139"/>
      <c r="AD33" s="139"/>
      <c r="AE33" s="139"/>
      <c r="AF33" s="139"/>
      <c r="AG33" s="140"/>
      <c r="AH33" s="136"/>
    </row>
    <row r="34" spans="1:35" ht="15" hidden="1">
      <c r="B34" s="161" t="s">
        <v>208</v>
      </c>
      <c r="C34" s="162"/>
      <c r="D34" s="162"/>
      <c r="E34" s="162"/>
      <c r="F34" s="162"/>
      <c r="G34" s="162"/>
      <c r="H34" s="162"/>
      <c r="I34" s="162"/>
      <c r="J34" s="162"/>
      <c r="K34" s="162"/>
      <c r="L34" s="162"/>
      <c r="M34" s="162"/>
      <c r="N34" s="163"/>
      <c r="O34" s="154">
        <v>0.95</v>
      </c>
      <c r="P34" s="154"/>
      <c r="Q34" s="154"/>
      <c r="R34" s="159" t="s">
        <v>13</v>
      </c>
      <c r="S34" s="160"/>
      <c r="T34" s="160"/>
      <c r="U34" s="139"/>
      <c r="V34" s="139"/>
      <c r="W34" s="139"/>
      <c r="X34" s="139"/>
      <c r="Y34" s="139"/>
      <c r="Z34" s="139"/>
      <c r="AA34" s="139"/>
      <c r="AB34" s="139"/>
      <c r="AC34" s="139"/>
      <c r="AD34" s="139"/>
      <c r="AE34" s="139"/>
      <c r="AF34" s="139"/>
      <c r="AG34" s="140"/>
      <c r="AH34" s="136"/>
    </row>
    <row r="35" spans="1:35" ht="15">
      <c r="A35" s="93">
        <f>1+A29</f>
        <v>18</v>
      </c>
      <c r="B35" s="161" t="s">
        <v>258</v>
      </c>
      <c r="C35" s="162"/>
      <c r="D35" s="162"/>
      <c r="E35" s="162"/>
      <c r="F35" s="162"/>
      <c r="G35" s="162"/>
      <c r="H35" s="162"/>
      <c r="I35" s="162"/>
      <c r="J35" s="162"/>
      <c r="K35" s="162"/>
      <c r="L35" s="162"/>
      <c r="M35" s="162"/>
      <c r="N35" s="163"/>
      <c r="O35" s="181" t="str">
        <f>IF(AND(ISNUMBER(Ref_účinnost_href),ISNUMBER(M29)),List1!F24,"")</f>
        <v/>
      </c>
      <c r="P35" s="182"/>
      <c r="Q35" s="183"/>
      <c r="R35" s="155" t="s">
        <v>207</v>
      </c>
      <c r="S35" s="156"/>
      <c r="T35" s="156"/>
      <c r="U35" s="157"/>
      <c r="V35" s="157"/>
      <c r="W35" s="157"/>
      <c r="X35" s="157"/>
      <c r="Y35" s="157"/>
      <c r="Z35" s="157"/>
      <c r="AA35" s="157"/>
      <c r="AB35" s="157"/>
      <c r="AC35" s="157"/>
      <c r="AD35" s="157"/>
      <c r="AE35" s="157"/>
      <c r="AF35" s="157"/>
      <c r="AG35" s="158"/>
      <c r="AH35" s="136"/>
    </row>
    <row r="36" spans="1:35" s="2" customFormat="1" ht="16.5" customHeight="1">
      <c r="A36" s="99">
        <f>1+A35</f>
        <v>19</v>
      </c>
      <c r="B36" s="101" t="s">
        <v>206</v>
      </c>
      <c r="C36" s="100"/>
      <c r="D36" s="100"/>
      <c r="E36" s="100"/>
      <c r="F36" s="100"/>
      <c r="G36" s="100"/>
      <c r="H36" s="100"/>
      <c r="I36" s="100"/>
      <c r="J36" s="100"/>
      <c r="K36" s="100"/>
      <c r="L36" s="100"/>
      <c r="M36" s="100"/>
      <c r="N36" s="100"/>
      <c r="O36" s="177" t="str">
        <f>IF(AND(ISNUMBER(Zadání!AF18),ISNUMBER(osoby)),List1!F47,"")</f>
        <v/>
      </c>
      <c r="P36" s="178"/>
      <c r="Q36" s="179"/>
      <c r="R36" s="155" t="s">
        <v>202</v>
      </c>
      <c r="S36" s="156"/>
      <c r="T36" s="156"/>
      <c r="U36" s="157"/>
      <c r="V36" s="157"/>
      <c r="W36" s="157"/>
      <c r="X36" s="157"/>
      <c r="Y36" s="157"/>
      <c r="Z36" s="157"/>
      <c r="AA36" s="157"/>
      <c r="AB36" s="157"/>
      <c r="AC36" s="157"/>
      <c r="AD36" s="157"/>
      <c r="AE36" s="157"/>
      <c r="AF36" s="157"/>
      <c r="AG36" s="158"/>
      <c r="AH36" s="102"/>
    </row>
    <row r="37" spans="1:35" s="2" customFormat="1" ht="16.5" customHeight="1">
      <c r="A37" s="99">
        <f>1+A36</f>
        <v>20</v>
      </c>
      <c r="B37" s="101" t="s">
        <v>205</v>
      </c>
      <c r="C37" s="100"/>
      <c r="D37" s="100"/>
      <c r="E37" s="100"/>
      <c r="F37" s="100"/>
      <c r="G37" s="100"/>
      <c r="H37" s="100"/>
      <c r="I37" s="100"/>
      <c r="J37" s="100"/>
      <c r="K37" s="100"/>
      <c r="L37" s="100"/>
      <c r="M37" s="100"/>
      <c r="N37" s="100"/>
      <c r="O37" s="177" t="str">
        <f>IF(AND(ISNUMBER(osoby),ISNUMBER(Objem_AKU),ISNUMBER(Špičkový_výkon_systému_Ppk),ISNUMBER(Ref_účinnost_href),ISNUMBER(Snížení_účinnosti_1000na200_ΔηG),ISNUMBER(Pohltivost_FV_α),ISNUMBER(Výkonový_teplotní_součinitel_βγ),ISNUMBER(List1!F31)),List1!F31,"")</f>
        <v/>
      </c>
      <c r="P37" s="178"/>
      <c r="Q37" s="179"/>
      <c r="R37" s="155" t="s">
        <v>204</v>
      </c>
      <c r="S37" s="156"/>
      <c r="T37" s="156"/>
      <c r="U37" s="157"/>
      <c r="V37" s="157"/>
      <c r="W37" s="157"/>
      <c r="X37" s="157"/>
      <c r="Y37" s="157"/>
      <c r="Z37" s="157"/>
      <c r="AA37" s="157"/>
      <c r="AB37" s="157"/>
      <c r="AC37" s="157"/>
      <c r="AD37" s="157"/>
      <c r="AE37" s="157"/>
      <c r="AF37" s="157"/>
      <c r="AG37" s="158"/>
      <c r="AH37" s="102"/>
    </row>
    <row r="38" spans="1:35" s="2" customFormat="1" ht="16.5" customHeight="1">
      <c r="A38" s="99">
        <f>1+A37</f>
        <v>21</v>
      </c>
      <c r="B38" s="101" t="s">
        <v>203</v>
      </c>
      <c r="C38" s="100"/>
      <c r="D38" s="100"/>
      <c r="E38" s="100"/>
      <c r="F38" s="100"/>
      <c r="G38" s="100"/>
      <c r="H38" s="100"/>
      <c r="I38" s="100"/>
      <c r="J38" s="100"/>
      <c r="K38" s="100"/>
      <c r="L38" s="100"/>
      <c r="M38" s="100"/>
      <c r="N38" s="100"/>
      <c r="O38" s="177" t="str">
        <f>IF(AND(ISNUMBER(osoby),ISNUMBER(Objem_AKU),ISNUMBER(Špičkový_výkon_systému_Ppk),ISNUMBER(Ref_účinnost_href),ISNUMBER(Snížení_účinnosti_1000na200_ΔηG),ISNUMBER(Pohltivost_FV_α),ISNUMBER(Výkonový_teplotní_součinitel_βγ),ISNUMBER(List1!H47)),List1!H47,"")</f>
        <v/>
      </c>
      <c r="P38" s="178"/>
      <c r="Q38" s="179"/>
      <c r="R38" s="155" t="s">
        <v>202</v>
      </c>
      <c r="S38" s="156"/>
      <c r="T38" s="156"/>
      <c r="U38" s="173" t="str">
        <f>IF(List1!Q4=1,IF(O38&gt;=1400,"Vyhovuje požadavkům pro rodinné domy","NEVYHOVUJE požadavkům prorodinné domy"),"")</f>
        <v>Vyhovuje požadavkům pro rodinné domy</v>
      </c>
      <c r="V38" s="173"/>
      <c r="W38" s="173"/>
      <c r="X38" s="173"/>
      <c r="Y38" s="173"/>
      <c r="Z38" s="173"/>
      <c r="AA38" s="173"/>
      <c r="AB38" s="173"/>
      <c r="AC38" s="173"/>
      <c r="AD38" s="173"/>
      <c r="AE38" s="173"/>
      <c r="AF38" s="173"/>
      <c r="AG38" s="174"/>
      <c r="AH38" s="102"/>
    </row>
    <row r="39" spans="1:35" s="2" customFormat="1" ht="16.5" customHeight="1">
      <c r="A39" s="99">
        <f>1+A38</f>
        <v>22</v>
      </c>
      <c r="B39" s="101" t="s">
        <v>248</v>
      </c>
      <c r="C39" s="100"/>
      <c r="D39" s="100"/>
      <c r="E39" s="100"/>
      <c r="F39" s="100"/>
      <c r="G39" s="100"/>
      <c r="H39" s="100"/>
      <c r="I39" s="100"/>
      <c r="J39" s="100"/>
      <c r="K39" s="100"/>
      <c r="L39" s="100"/>
      <c r="M39" s="100"/>
      <c r="N39" s="100"/>
      <c r="O39" s="275" t="str">
        <f>IF(AND(ISNUMBER(osoby),ISNUMBER(Objem_AKU),ISNUMBER(Špičkový_výkon_systému_Ppk),ISNUMBER(Ref_účinnost_href),ISNUMBER(Snížení_účinnosti_1000na200_ΔηG),ISNUMBER(Pohltivost_FV_α),ISNUMBER(Výkonový_teplotní_součinitel_βγ),ISNUMBER(List1!F30)),List1!F30,"")</f>
        <v/>
      </c>
      <c r="P39" s="276"/>
      <c r="Q39" s="277"/>
      <c r="R39" s="237" t="s">
        <v>17</v>
      </c>
      <c r="S39" s="238"/>
      <c r="T39" s="238"/>
      <c r="U39" s="173"/>
      <c r="V39" s="173"/>
      <c r="W39" s="173"/>
      <c r="X39" s="173"/>
      <c r="Y39" s="173"/>
      <c r="Z39" s="173"/>
      <c r="AA39" s="173"/>
      <c r="AB39" s="173"/>
      <c r="AC39" s="173"/>
      <c r="AD39" s="173"/>
      <c r="AE39" s="173"/>
      <c r="AF39" s="173"/>
      <c r="AG39" s="174"/>
      <c r="AH39" s="96"/>
      <c r="AI39" s="2">
        <f>IF(ISNUMBER(O39),IF(O39&gt;=50%,2,1),-10)</f>
        <v>-10</v>
      </c>
    </row>
    <row r="40" spans="1:35" s="2" customFormat="1" ht="16.5" customHeight="1">
      <c r="A40" s="99">
        <f>1+A39</f>
        <v>23</v>
      </c>
      <c r="B40" s="98" t="s">
        <v>201</v>
      </c>
      <c r="C40" s="97"/>
      <c r="D40" s="97"/>
      <c r="E40" s="97"/>
      <c r="F40" s="97"/>
      <c r="G40" s="97"/>
      <c r="H40" s="97"/>
      <c r="I40" s="97"/>
      <c r="J40" s="97"/>
      <c r="K40" s="97"/>
      <c r="L40" s="97"/>
      <c r="M40" s="97"/>
      <c r="N40" s="97"/>
      <c r="O40" s="211" t="str">
        <f>IF(AND(ISNUMBER(Objem_AKU),ISNUMBER(Špičkový_výkon_systému_Ppk)),List1!L18*Špičkový_výkon_systému_Ppk,"")</f>
        <v/>
      </c>
      <c r="P40" s="212"/>
      <c r="Q40" s="213"/>
      <c r="R40" s="235" t="s">
        <v>115</v>
      </c>
      <c r="S40" s="236"/>
      <c r="T40" s="236"/>
      <c r="U40" s="214" t="str">
        <f>IF(ISNUMBER(O40),IF(O40&gt;0,IF(O40&lt;=ROUND(Objem_AKU,0),"Vyhovuje požadavkům pro opatření C.2: FV","NEVYHOVUJE požadavkům pro opatření C.2: FV")),"")</f>
        <v/>
      </c>
      <c r="V40" s="214"/>
      <c r="W40" s="214"/>
      <c r="X40" s="214"/>
      <c r="Y40" s="214"/>
      <c r="Z40" s="214"/>
      <c r="AA40" s="214"/>
      <c r="AB40" s="214"/>
      <c r="AC40" s="214"/>
      <c r="AD40" s="214"/>
      <c r="AE40" s="214"/>
      <c r="AF40" s="214"/>
      <c r="AG40" s="215"/>
      <c r="AH40" s="96"/>
      <c r="AI40" s="2">
        <f>IF(ISNUMBER(O40),IF(O40&gt;0,IF(O40&lt;=Zadání!AB17,2,1),""),-10)</f>
        <v>-10</v>
      </c>
    </row>
    <row r="41" spans="1:35" s="2" customFormat="1" ht="16.5" customHeight="1">
      <c r="A41" s="93"/>
      <c r="M41" s="95"/>
      <c r="N41" s="95"/>
      <c r="O41" s="95"/>
      <c r="P41" s="95"/>
      <c r="Q41" s="95"/>
      <c r="R41" s="95"/>
      <c r="S41" s="95"/>
      <c r="T41" s="95"/>
      <c r="U41" s="95"/>
      <c r="AH41" s="94"/>
      <c r="AI41" s="2">
        <f>SUM(Zadání!AI39:AI40)</f>
        <v>-20</v>
      </c>
    </row>
    <row r="42" spans="1:35" ht="22.5" customHeight="1">
      <c r="A42" s="46">
        <v>22</v>
      </c>
      <c r="B42" s="270" t="s">
        <v>200</v>
      </c>
      <c r="C42" s="271"/>
      <c r="D42" s="271"/>
      <c r="E42" s="271"/>
      <c r="F42" s="271"/>
      <c r="G42" s="268">
        <f ca="1">NOW()</f>
        <v>44460.448818865741</v>
      </c>
      <c r="H42" s="268"/>
      <c r="I42" s="268"/>
      <c r="J42" s="268"/>
      <c r="K42" s="268"/>
      <c r="L42" s="268"/>
      <c r="M42" s="268"/>
      <c r="N42" s="268"/>
      <c r="O42" s="269"/>
    </row>
    <row r="43" spans="1:35" ht="15" customHeight="1">
      <c r="B43" s="92"/>
      <c r="C43" s="86"/>
      <c r="D43" s="86"/>
      <c r="E43" s="86"/>
      <c r="F43" s="86"/>
      <c r="G43" s="86"/>
      <c r="H43" s="86"/>
      <c r="I43" s="86"/>
      <c r="J43" s="91"/>
      <c r="K43" s="91"/>
      <c r="L43" s="90"/>
      <c r="M43" s="86"/>
      <c r="N43" s="86"/>
      <c r="O43" s="86"/>
      <c r="P43" s="86"/>
      <c r="Q43" s="86"/>
      <c r="R43" s="86"/>
    </row>
    <row r="44" spans="1:35" ht="21.75" customHeight="1">
      <c r="A44" s="46">
        <v>24</v>
      </c>
      <c r="B44" s="89" t="s">
        <v>199</v>
      </c>
      <c r="C44" s="88"/>
      <c r="D44" s="88"/>
      <c r="E44" s="88"/>
      <c r="F44" s="88"/>
      <c r="G44" s="88"/>
      <c r="H44" s="88"/>
      <c r="I44" s="88"/>
      <c r="J44" s="87"/>
      <c r="K44" s="266"/>
      <c r="L44" s="266"/>
      <c r="M44" s="266"/>
      <c r="N44" s="266"/>
      <c r="O44" s="267"/>
      <c r="P44" s="86"/>
      <c r="Q44" s="86"/>
      <c r="R44" s="86"/>
      <c r="T44" s="265"/>
      <c r="U44" s="265"/>
      <c r="V44" s="265"/>
      <c r="W44" s="265"/>
      <c r="X44" s="265"/>
      <c r="Y44" s="265"/>
      <c r="Z44" s="265"/>
      <c r="AA44" s="265"/>
      <c r="AB44" s="265"/>
      <c r="AC44" s="265"/>
      <c r="AD44" s="265"/>
      <c r="AE44" s="265"/>
      <c r="AF44" s="265"/>
      <c r="AG44" s="265"/>
      <c r="AH44" s="85"/>
    </row>
    <row r="45" spans="1:35" ht="21.75" customHeight="1">
      <c r="B45" s="252"/>
      <c r="C45" s="252"/>
      <c r="D45" s="252"/>
      <c r="E45" s="252"/>
      <c r="F45" s="252"/>
      <c r="G45" s="252"/>
      <c r="H45" s="252"/>
      <c r="I45" s="252"/>
      <c r="J45" s="252"/>
      <c r="K45" s="252"/>
      <c r="L45" s="252"/>
      <c r="M45" s="252"/>
      <c r="N45" s="252"/>
      <c r="O45" s="252"/>
      <c r="T45" s="250" t="s">
        <v>198</v>
      </c>
      <c r="U45" s="250"/>
      <c r="V45" s="250"/>
      <c r="W45" s="250"/>
      <c r="X45" s="250"/>
      <c r="Y45" s="250"/>
      <c r="Z45" s="250"/>
      <c r="AA45" s="250"/>
      <c r="AB45" s="250"/>
      <c r="AC45" s="250"/>
      <c r="AD45" s="250"/>
      <c r="AE45" s="250"/>
      <c r="AF45" s="250"/>
      <c r="AG45" s="250"/>
      <c r="AH45" s="84"/>
    </row>
    <row r="46" spans="1:35" ht="15">
      <c r="T46" s="137"/>
      <c r="U46" s="137"/>
      <c r="V46" s="137"/>
      <c r="W46" s="137"/>
      <c r="X46" s="137"/>
      <c r="Y46" s="137"/>
      <c r="Z46" s="137"/>
      <c r="AA46" s="137"/>
      <c r="AB46" s="137"/>
      <c r="AC46" s="137"/>
      <c r="AD46" s="137"/>
      <c r="AE46" s="137"/>
      <c r="AF46" s="137"/>
      <c r="AG46" s="137"/>
      <c r="AH46" s="84"/>
    </row>
    <row r="47" spans="1:35" ht="15">
      <c r="T47" s="137"/>
      <c r="U47" s="137"/>
      <c r="V47" s="137"/>
      <c r="W47" s="137"/>
      <c r="X47" s="137"/>
      <c r="Y47" s="137"/>
      <c r="Z47" s="137"/>
      <c r="AA47" s="137"/>
      <c r="AB47" s="137"/>
      <c r="AC47" s="137"/>
      <c r="AD47" s="137"/>
      <c r="AE47" s="137"/>
      <c r="AF47" s="137"/>
      <c r="AG47" s="137"/>
      <c r="AH47" s="84"/>
    </row>
    <row r="48" spans="1:35" ht="15" hidden="1">
      <c r="AH48" s="84"/>
    </row>
    <row r="49" spans="20:64" ht="15" hidden="1">
      <c r="T49" s="137"/>
      <c r="U49" s="137"/>
      <c r="V49" s="137"/>
      <c r="W49" s="137"/>
      <c r="X49" s="137"/>
      <c r="Y49" s="137"/>
      <c r="Z49" s="137"/>
      <c r="AA49" s="137"/>
      <c r="AB49" s="137"/>
      <c r="AC49" s="137"/>
      <c r="AD49" s="137"/>
      <c r="AE49" s="137"/>
      <c r="AF49" s="137"/>
      <c r="AG49" s="137"/>
      <c r="AH49" s="84"/>
    </row>
    <row r="50" spans="20:64" ht="15" hidden="1">
      <c r="T50" s="137"/>
      <c r="U50" s="137"/>
      <c r="V50" s="137"/>
      <c r="W50" s="137"/>
      <c r="X50" s="137"/>
      <c r="Y50" s="137"/>
      <c r="Z50" s="137"/>
      <c r="AA50" s="137"/>
      <c r="AB50" s="137"/>
      <c r="AC50" s="137"/>
      <c r="AD50" s="137"/>
      <c r="AE50" s="137"/>
      <c r="AF50" s="137"/>
      <c r="AG50" s="137"/>
      <c r="AH50" s="84"/>
    </row>
    <row r="51" spans="20:64" ht="15" hidden="1">
      <c r="T51" s="137"/>
      <c r="U51" s="137"/>
      <c r="V51" s="137"/>
      <c r="W51" s="137"/>
      <c r="X51" s="137"/>
      <c r="Y51" s="137"/>
      <c r="Z51" s="137"/>
      <c r="AA51" s="137"/>
      <c r="AB51" s="137"/>
      <c r="AC51" s="137"/>
      <c r="AD51" s="137"/>
      <c r="AE51" s="137"/>
      <c r="AF51" s="137"/>
      <c r="AG51" s="137"/>
      <c r="AH51" s="84"/>
    </row>
    <row r="52" spans="20:64" ht="15" hidden="1">
      <c r="T52" s="137"/>
      <c r="U52" s="137"/>
      <c r="V52" s="137"/>
      <c r="W52" s="137"/>
      <c r="X52" s="137"/>
      <c r="Y52" s="137"/>
      <c r="Z52" s="137"/>
      <c r="AA52" s="137"/>
      <c r="AB52" s="137"/>
      <c r="AC52" s="137"/>
      <c r="AD52" s="137"/>
      <c r="AE52" s="137"/>
      <c r="AF52" s="137"/>
      <c r="AG52" s="137"/>
      <c r="AH52" s="84"/>
    </row>
    <row r="53" spans="20:64" ht="15" hidden="1">
      <c r="T53" s="137"/>
      <c r="U53" s="137"/>
      <c r="V53" s="137"/>
      <c r="W53" s="137"/>
      <c r="X53" s="137"/>
      <c r="Y53" s="137"/>
      <c r="Z53" s="137"/>
      <c r="AA53" s="137"/>
      <c r="AB53" s="137"/>
      <c r="AC53" s="137"/>
      <c r="AD53" s="137"/>
      <c r="AE53" s="137"/>
      <c r="AF53" s="137"/>
      <c r="AG53" s="137"/>
      <c r="AH53" s="84"/>
    </row>
    <row r="54" spans="20:64" ht="15" hidden="1">
      <c r="T54" s="137"/>
      <c r="U54" s="137"/>
      <c r="V54" s="137"/>
      <c r="W54" s="137"/>
      <c r="X54" s="137"/>
      <c r="Y54" s="137"/>
      <c r="Z54" s="137"/>
      <c r="AA54" s="137"/>
      <c r="AB54" s="137"/>
      <c r="AC54" s="137"/>
      <c r="AD54" s="137"/>
      <c r="AE54" s="137"/>
      <c r="AF54" s="137"/>
      <c r="AG54" s="137"/>
      <c r="AH54" s="84"/>
    </row>
    <row r="55" spans="20:64" ht="15" hidden="1">
      <c r="T55" s="137"/>
      <c r="U55" s="137"/>
      <c r="V55" s="137"/>
      <c r="W55" s="137"/>
      <c r="X55" s="137"/>
      <c r="Y55" s="137"/>
      <c r="Z55" s="137"/>
      <c r="AA55" s="137"/>
      <c r="AB55" s="137"/>
      <c r="AC55" s="137"/>
      <c r="AD55" s="137"/>
      <c r="AE55" s="137"/>
      <c r="AF55" s="137"/>
      <c r="AG55" s="137"/>
      <c r="AH55" s="84"/>
    </row>
    <row r="56" spans="20:64" ht="15" hidden="1">
      <c r="T56" s="137"/>
      <c r="U56" s="137"/>
      <c r="V56" s="137"/>
      <c r="W56" s="137"/>
      <c r="X56" s="137"/>
      <c r="Y56" s="137"/>
      <c r="Z56" s="137"/>
      <c r="AA56" s="137"/>
      <c r="AB56" s="137"/>
      <c r="AC56" s="137"/>
      <c r="AD56" s="137"/>
      <c r="AE56" s="137"/>
      <c r="AF56" s="137"/>
      <c r="AG56" s="137"/>
      <c r="AH56" s="84"/>
    </row>
    <row r="57" spans="20:64" ht="15" hidden="1">
      <c r="T57" s="137"/>
      <c r="U57" s="137"/>
      <c r="V57" s="137"/>
      <c r="W57" s="137"/>
      <c r="X57" s="137"/>
      <c r="Y57" s="137"/>
      <c r="Z57" s="137"/>
      <c r="AA57" s="137"/>
      <c r="AB57" s="137"/>
      <c r="AC57" s="137"/>
      <c r="AD57" s="137"/>
      <c r="AE57" s="137"/>
      <c r="AF57" s="137"/>
      <c r="AG57" s="137"/>
      <c r="AH57" s="84"/>
    </row>
    <row r="58" spans="20:64" ht="15" hidden="1">
      <c r="T58" s="137"/>
      <c r="U58" s="137"/>
      <c r="V58" s="137"/>
      <c r="W58" s="137"/>
      <c r="X58" s="137"/>
      <c r="Y58" s="137"/>
      <c r="Z58" s="137"/>
      <c r="AA58" s="137"/>
      <c r="AB58" s="137"/>
      <c r="AC58" s="137"/>
      <c r="AD58" s="137"/>
      <c r="AE58" s="137"/>
      <c r="AF58" s="137"/>
      <c r="AG58" s="137"/>
      <c r="AH58" s="84"/>
    </row>
    <row r="59" spans="20:64" ht="15" hidden="1">
      <c r="T59" s="137"/>
      <c r="U59" s="137"/>
      <c r="V59" s="137"/>
      <c r="W59" s="137"/>
      <c r="X59" s="137"/>
      <c r="Y59" s="137"/>
      <c r="Z59" s="137"/>
      <c r="AA59" s="137"/>
      <c r="AB59" s="137"/>
      <c r="AC59" s="137"/>
      <c r="AD59" s="137"/>
      <c r="AE59" s="137"/>
      <c r="AF59" s="137"/>
      <c r="AG59" s="137"/>
      <c r="AH59" s="84"/>
    </row>
    <row r="60" spans="20:64" ht="15" hidden="1">
      <c r="T60" s="137"/>
      <c r="U60" s="137"/>
      <c r="V60" s="137"/>
      <c r="W60" s="137"/>
      <c r="X60" s="137"/>
      <c r="Y60" s="137"/>
      <c r="Z60" s="137"/>
      <c r="AA60" s="137"/>
      <c r="AB60" s="137"/>
      <c r="AC60" s="137"/>
      <c r="AD60" s="137"/>
      <c r="AE60" s="137"/>
      <c r="AF60" s="137"/>
      <c r="AG60" s="137"/>
      <c r="AH60" s="84"/>
    </row>
    <row r="61" spans="20:64" ht="15" hidden="1">
      <c r="AJ61" s="74"/>
      <c r="AK61" s="66"/>
      <c r="AL61" s="66"/>
      <c r="AM61" s="66"/>
      <c r="AN61" s="66"/>
      <c r="AO61" s="66"/>
      <c r="AP61" s="66"/>
      <c r="AQ61" s="66"/>
      <c r="AR61" s="66"/>
      <c r="AS61" s="66"/>
      <c r="AT61" s="66"/>
      <c r="AU61" s="66"/>
      <c r="AV61" s="66"/>
      <c r="AW61" s="66"/>
      <c r="AX61" s="66"/>
      <c r="AY61" s="66"/>
      <c r="AZ61" s="66"/>
      <c r="BA61" s="66"/>
      <c r="BB61" s="66"/>
      <c r="BC61" s="66"/>
      <c r="BD61" s="66"/>
      <c r="BE61" s="66"/>
      <c r="BF61" s="66"/>
      <c r="BG61" s="66"/>
      <c r="BH61" s="66"/>
      <c r="BI61" s="66"/>
      <c r="BJ61" s="66"/>
      <c r="BK61" s="66"/>
      <c r="BL61" s="56"/>
    </row>
    <row r="62" spans="20:64" ht="15" hidden="1">
      <c r="AJ62" s="79" t="s">
        <v>197</v>
      </c>
      <c r="AK62" s="50"/>
      <c r="AL62" s="50"/>
      <c r="AM62" s="50"/>
      <c r="AN62" s="50"/>
      <c r="AO62" s="50"/>
      <c r="AP62" s="50"/>
      <c r="AQ62" s="50"/>
      <c r="AR62" s="50"/>
      <c r="AS62" s="50"/>
      <c r="AT62" s="50"/>
      <c r="AU62" s="50"/>
      <c r="AV62" s="50"/>
      <c r="AW62" s="50"/>
      <c r="AX62" s="50"/>
      <c r="AY62" s="50"/>
      <c r="AZ62" s="50"/>
      <c r="BA62" s="50"/>
      <c r="BB62" s="50"/>
      <c r="BC62" s="50"/>
      <c r="BD62" s="50"/>
      <c r="BE62" s="50"/>
      <c r="BF62" s="50"/>
      <c r="BG62" s="50"/>
      <c r="BH62" s="50"/>
      <c r="BI62" s="50"/>
      <c r="BJ62" s="50"/>
      <c r="BK62" s="50"/>
      <c r="BL62" s="54"/>
    </row>
    <row r="63" spans="20:64" ht="15" hidden="1">
      <c r="AJ63" s="79" t="s">
        <v>196</v>
      </c>
      <c r="AK63" s="50"/>
      <c r="AL63" s="50"/>
      <c r="AM63" s="50"/>
      <c r="AN63" s="50"/>
      <c r="AO63" s="50"/>
      <c r="AP63" s="50"/>
      <c r="AQ63" s="50"/>
      <c r="AR63" s="50"/>
      <c r="AS63" s="50"/>
      <c r="AT63" s="50"/>
      <c r="AU63" s="50"/>
      <c r="AV63" s="50"/>
      <c r="AW63" s="50"/>
      <c r="AX63" s="50"/>
      <c r="AY63" s="50"/>
      <c r="AZ63" s="50"/>
      <c r="BA63" s="50"/>
      <c r="BB63" s="50"/>
      <c r="BC63" s="50"/>
      <c r="BD63" s="50"/>
      <c r="BE63" s="50"/>
      <c r="BF63" s="50"/>
      <c r="BG63" s="50"/>
      <c r="BH63" s="50"/>
      <c r="BI63" s="50"/>
      <c r="BJ63" s="50"/>
      <c r="BK63" s="50"/>
      <c r="BL63" s="54"/>
    </row>
    <row r="64" spans="20:64" ht="15" hidden="1">
      <c r="AJ64" s="83" t="s">
        <v>195</v>
      </c>
      <c r="AK64" s="50"/>
      <c r="AL64" s="50"/>
      <c r="AM64" s="50"/>
      <c r="AN64" s="50"/>
      <c r="AO64" s="50"/>
      <c r="AP64" s="50"/>
      <c r="AQ64" s="50"/>
      <c r="AR64" s="50"/>
      <c r="AS64" s="50"/>
      <c r="AT64" s="50"/>
      <c r="AU64" s="50"/>
      <c r="AV64" s="50"/>
      <c r="AW64" s="50"/>
      <c r="AX64" s="50"/>
      <c r="AY64" s="50"/>
      <c r="AZ64" s="50"/>
      <c r="BA64" s="50"/>
      <c r="BB64" s="50"/>
      <c r="BC64" s="50"/>
      <c r="BD64" s="50"/>
      <c r="BE64" s="50"/>
      <c r="BF64" s="50"/>
      <c r="BG64" s="50"/>
      <c r="BH64" s="50"/>
      <c r="BI64" s="50"/>
      <c r="BJ64" s="50"/>
      <c r="BK64" s="50"/>
      <c r="BL64" s="54"/>
    </row>
    <row r="65" spans="36:64" ht="15" hidden="1">
      <c r="AJ65" s="83" t="s">
        <v>194</v>
      </c>
      <c r="AK65" s="50"/>
      <c r="AL65" s="50"/>
      <c r="AM65" s="50"/>
      <c r="AN65" s="50"/>
      <c r="AO65" s="50"/>
      <c r="AP65" s="50"/>
      <c r="AQ65" s="50"/>
      <c r="AR65" s="50"/>
      <c r="AS65" s="50"/>
      <c r="AT65" s="50"/>
      <c r="AU65" s="50"/>
      <c r="AV65" s="50"/>
      <c r="AW65" s="50"/>
      <c r="AX65" s="50"/>
      <c r="AY65" s="50"/>
      <c r="AZ65" s="50"/>
      <c r="BA65" s="50"/>
      <c r="BB65" s="50"/>
      <c r="BC65" s="50"/>
      <c r="BD65" s="50"/>
      <c r="BE65" s="50"/>
      <c r="BF65" s="50"/>
      <c r="BG65" s="50"/>
      <c r="BH65" s="50"/>
      <c r="BI65" s="50"/>
      <c r="BJ65" s="50"/>
      <c r="BK65" s="50"/>
      <c r="BL65" s="54"/>
    </row>
    <row r="66" spans="36:64" ht="15" hidden="1">
      <c r="AJ66" s="79" t="s">
        <v>193</v>
      </c>
      <c r="AK66" s="50"/>
      <c r="AL66" s="50"/>
      <c r="AM66" s="50"/>
      <c r="AN66" s="50"/>
      <c r="AO66" s="50"/>
      <c r="AP66" s="50"/>
      <c r="AQ66" s="50"/>
      <c r="AR66" s="50"/>
      <c r="AS66" s="50"/>
      <c r="AT66" s="50"/>
      <c r="AU66" s="50"/>
      <c r="AV66" s="50"/>
      <c r="AW66" s="50"/>
      <c r="AX66" s="50"/>
      <c r="AY66" s="50"/>
      <c r="AZ66" s="50"/>
      <c r="BA66" s="50"/>
      <c r="BB66" s="50"/>
      <c r="BC66" s="50"/>
      <c r="BD66" s="50"/>
      <c r="BE66" s="50"/>
      <c r="BF66" s="50"/>
      <c r="BG66" s="50"/>
      <c r="BH66" s="50"/>
      <c r="BI66" s="50"/>
      <c r="BJ66" s="50"/>
      <c r="BK66" s="50"/>
      <c r="BL66" s="54"/>
    </row>
    <row r="67" spans="36:64" ht="15" hidden="1">
      <c r="AJ67" s="79" t="s">
        <v>192</v>
      </c>
      <c r="AK67" s="50"/>
      <c r="AL67" s="50"/>
      <c r="AM67" s="50"/>
      <c r="AN67" s="50"/>
      <c r="AO67" s="50"/>
      <c r="AP67" s="50"/>
      <c r="AQ67" s="50"/>
      <c r="AR67" s="50"/>
      <c r="AS67" s="50"/>
      <c r="AT67" s="50"/>
      <c r="AU67" s="50"/>
      <c r="AV67" s="50"/>
      <c r="AW67" s="50"/>
      <c r="AX67" s="50"/>
      <c r="AY67" s="50"/>
      <c r="AZ67" s="50"/>
      <c r="BA67" s="50"/>
      <c r="BB67" s="50"/>
      <c r="BC67" s="50"/>
      <c r="BD67" s="50"/>
      <c r="BE67" s="50"/>
      <c r="BF67" s="50"/>
      <c r="BG67" s="50"/>
      <c r="BH67" s="50"/>
      <c r="BI67" s="50"/>
      <c r="BJ67" s="50"/>
      <c r="BK67" s="50"/>
      <c r="BL67" s="54"/>
    </row>
    <row r="68" spans="36:64" ht="15" hidden="1">
      <c r="AJ68" s="79" t="s">
        <v>191</v>
      </c>
      <c r="AK68" s="50"/>
      <c r="AL68" s="50"/>
      <c r="AM68" s="50"/>
      <c r="AN68" s="50"/>
      <c r="AO68" s="50"/>
      <c r="AP68" s="50"/>
      <c r="AQ68" s="50"/>
      <c r="AR68" s="50"/>
      <c r="AS68" s="50"/>
      <c r="AT68" s="50"/>
      <c r="AU68" s="50"/>
      <c r="AV68" s="50"/>
      <c r="AW68" s="50"/>
      <c r="AX68" s="50"/>
      <c r="AY68" s="50"/>
      <c r="AZ68" s="50"/>
      <c r="BA68" s="50"/>
      <c r="BB68" s="50"/>
      <c r="BC68" s="50"/>
      <c r="BD68" s="50"/>
      <c r="BE68" s="50"/>
      <c r="BF68" s="50"/>
      <c r="BG68" s="50"/>
      <c r="BH68" s="50"/>
      <c r="BI68" s="50"/>
      <c r="BJ68" s="50"/>
      <c r="BK68" s="50"/>
      <c r="BL68" s="54"/>
    </row>
    <row r="69" spans="36:64" ht="15" hidden="1">
      <c r="AJ69" s="79" t="s">
        <v>190</v>
      </c>
      <c r="AK69" s="50"/>
      <c r="AL69" s="50"/>
      <c r="AM69" s="50"/>
      <c r="AN69" s="50"/>
      <c r="AO69" s="50"/>
      <c r="AP69" s="50"/>
      <c r="AQ69" s="50"/>
      <c r="AR69" s="50"/>
      <c r="AS69" s="50"/>
      <c r="AT69" s="50"/>
      <c r="AU69" s="50"/>
      <c r="AV69" s="50"/>
      <c r="AW69" s="50"/>
      <c r="AX69" s="50"/>
      <c r="AY69" s="50"/>
      <c r="AZ69" s="50"/>
      <c r="BA69" s="50"/>
      <c r="BB69" s="50"/>
      <c r="BC69" s="50"/>
      <c r="BD69" s="50"/>
      <c r="BE69" s="50"/>
      <c r="BF69" s="50"/>
      <c r="BG69" s="50"/>
      <c r="BH69" s="50"/>
      <c r="BI69" s="50"/>
      <c r="BJ69" s="50"/>
      <c r="BK69" s="50"/>
      <c r="BL69" s="54"/>
    </row>
    <row r="70" spans="36:64" ht="15" hidden="1">
      <c r="AJ70" s="78" t="s">
        <v>189</v>
      </c>
      <c r="AK70" s="63"/>
      <c r="AL70" s="63"/>
      <c r="AM70" s="63"/>
      <c r="AN70" s="63"/>
      <c r="AO70" s="63"/>
      <c r="AP70" s="63"/>
      <c r="AQ70" s="63"/>
      <c r="AR70" s="63"/>
      <c r="AS70" s="63"/>
      <c r="AT70" s="63"/>
      <c r="AU70" s="63"/>
      <c r="AV70" s="63"/>
      <c r="AW70" s="63"/>
      <c r="AX70" s="63"/>
      <c r="AY70" s="63"/>
      <c r="AZ70" s="63"/>
      <c r="BA70" s="63"/>
      <c r="BB70" s="63"/>
      <c r="BC70" s="63"/>
      <c r="BD70" s="63"/>
      <c r="BE70" s="63"/>
      <c r="BF70" s="63"/>
      <c r="BG70" s="63"/>
      <c r="BH70" s="63"/>
      <c r="BI70" s="63"/>
      <c r="BJ70" s="63"/>
      <c r="BK70" s="63"/>
      <c r="BL70" s="52"/>
    </row>
    <row r="71" spans="36:64" ht="15" hidden="1">
      <c r="AJ71" s="82"/>
      <c r="AK71" s="50"/>
      <c r="AL71" s="50"/>
      <c r="AM71" s="50"/>
      <c r="AN71" s="50"/>
      <c r="AO71" s="50"/>
      <c r="AP71" s="50"/>
      <c r="AQ71" s="50"/>
      <c r="AR71" s="50"/>
      <c r="AS71" s="50"/>
      <c r="AT71" s="50"/>
      <c r="AU71" s="50"/>
      <c r="AV71" s="50"/>
      <c r="AW71" s="50"/>
      <c r="AX71" s="50"/>
      <c r="AY71" s="50"/>
      <c r="AZ71" s="50"/>
      <c r="BA71" s="50"/>
      <c r="BB71" s="50"/>
      <c r="BC71" s="50"/>
      <c r="BD71" s="50"/>
      <c r="BE71" s="50"/>
      <c r="BF71" s="50"/>
      <c r="BG71" s="50"/>
      <c r="BH71" s="50"/>
      <c r="BI71" s="50"/>
      <c r="BJ71" s="50"/>
      <c r="BK71" s="50"/>
      <c r="BL71" s="50"/>
    </row>
    <row r="72" spans="36:64" ht="15" hidden="1">
      <c r="AJ72" s="81"/>
      <c r="AK72" s="50"/>
      <c r="AL72" s="50"/>
      <c r="AM72" s="50"/>
      <c r="AN72" s="50"/>
      <c r="AO72" s="50"/>
      <c r="AP72" s="50"/>
      <c r="AQ72" s="50"/>
      <c r="AR72" s="50"/>
      <c r="AS72" s="50"/>
      <c r="AT72" s="50"/>
      <c r="AU72" s="50"/>
      <c r="AV72" s="50"/>
      <c r="AW72" s="50"/>
      <c r="AX72" s="50"/>
      <c r="AY72" s="50"/>
      <c r="AZ72" s="50"/>
      <c r="BA72" s="50"/>
      <c r="BB72" s="50"/>
      <c r="BC72" s="50"/>
      <c r="BD72" s="50"/>
      <c r="BE72" s="50"/>
      <c r="BF72" s="50"/>
      <c r="BG72" s="50"/>
      <c r="BH72" s="50"/>
      <c r="BI72" s="50"/>
      <c r="BJ72" s="50"/>
      <c r="BK72" s="50"/>
      <c r="BL72" s="50"/>
    </row>
    <row r="73" spans="36:64" ht="15" hidden="1">
      <c r="AJ73" s="80"/>
      <c r="AK73" s="66"/>
      <c r="AL73" s="66"/>
      <c r="AM73" s="66"/>
      <c r="AN73" s="66"/>
      <c r="AO73" s="66"/>
      <c r="AP73" s="56"/>
    </row>
    <row r="74" spans="36:64" ht="15" hidden="1">
      <c r="AJ74" s="79" t="s">
        <v>188</v>
      </c>
      <c r="AK74" s="50"/>
      <c r="AL74" s="50"/>
      <c r="AM74" s="50"/>
      <c r="AN74" s="50"/>
      <c r="AO74" s="50"/>
      <c r="AP74" s="54"/>
    </row>
    <row r="75" spans="36:64" ht="15" hidden="1">
      <c r="AJ75" s="78" t="s">
        <v>187</v>
      </c>
      <c r="AK75" s="63"/>
      <c r="AL75" s="63"/>
      <c r="AM75" s="63"/>
      <c r="AN75" s="63"/>
      <c r="AO75" s="63"/>
      <c r="AP75" s="52"/>
    </row>
    <row r="76" spans="36:64" ht="15" hidden="1">
      <c r="AJ76" s="77"/>
    </row>
    <row r="77" spans="36:64" ht="15" hidden="1">
      <c r="AJ77" s="74"/>
      <c r="AK77" s="66"/>
      <c r="AL77" s="66"/>
      <c r="AM77" s="66"/>
      <c r="AN77" s="66"/>
      <c r="AO77" s="66"/>
      <c r="AP77" s="66"/>
      <c r="AQ77" s="66"/>
      <c r="AR77" s="56"/>
    </row>
    <row r="78" spans="36:64" ht="15" hidden="1">
      <c r="AJ78" s="65" t="s">
        <v>186</v>
      </c>
      <c r="AK78" s="50"/>
      <c r="AL78" s="50"/>
      <c r="AM78" s="50"/>
      <c r="AN78" s="50"/>
      <c r="AO78" s="50"/>
      <c r="AP78" s="50"/>
      <c r="AQ78" s="50"/>
      <c r="AR78" s="54"/>
    </row>
    <row r="79" spans="36:64" ht="15" hidden="1">
      <c r="AJ79" s="65" t="s">
        <v>185</v>
      </c>
      <c r="AK79" s="50"/>
      <c r="AL79" s="50"/>
      <c r="AM79" s="50"/>
      <c r="AN79" s="50"/>
      <c r="AO79" s="50"/>
      <c r="AP79" s="50"/>
      <c r="AQ79" s="50"/>
      <c r="AR79" s="54"/>
    </row>
    <row r="80" spans="36:64" ht="15" hidden="1" customHeight="1">
      <c r="AJ80" s="65" t="s">
        <v>184</v>
      </c>
      <c r="AK80" s="50"/>
      <c r="AL80" s="50"/>
      <c r="AM80" s="50"/>
      <c r="AN80" s="50"/>
      <c r="AO80" s="50"/>
      <c r="AP80" s="50"/>
      <c r="AQ80" s="50"/>
      <c r="AR80" s="54"/>
    </row>
    <row r="81" spans="36:44" ht="15" hidden="1">
      <c r="AJ81" s="65" t="s">
        <v>183</v>
      </c>
      <c r="AK81" s="50"/>
      <c r="AL81" s="50"/>
      <c r="AM81" s="50"/>
      <c r="AN81" s="50"/>
      <c r="AO81" s="50"/>
      <c r="AP81" s="50"/>
      <c r="AQ81" s="50"/>
      <c r="AR81" s="54"/>
    </row>
    <row r="82" spans="36:44" ht="15" hidden="1" customHeight="1">
      <c r="AJ82" s="65" t="s">
        <v>182</v>
      </c>
      <c r="AK82" s="50"/>
      <c r="AL82" s="50"/>
      <c r="AM82" s="50"/>
      <c r="AN82" s="50"/>
      <c r="AO82" s="50"/>
      <c r="AP82" s="50"/>
      <c r="AQ82" s="50"/>
      <c r="AR82" s="54"/>
    </row>
    <row r="83" spans="36:44" ht="15" hidden="1">
      <c r="AJ83" s="65" t="s">
        <v>181</v>
      </c>
      <c r="AK83" s="50"/>
      <c r="AL83" s="50"/>
      <c r="AM83" s="50"/>
      <c r="AN83" s="50"/>
      <c r="AO83" s="50"/>
      <c r="AP83" s="50"/>
      <c r="AQ83" s="50"/>
      <c r="AR83" s="54"/>
    </row>
    <row r="84" spans="36:44" ht="15" hidden="1" customHeight="1">
      <c r="AJ84" s="65" t="s">
        <v>180</v>
      </c>
      <c r="AK84" s="50"/>
      <c r="AL84" s="50"/>
      <c r="AM84" s="50"/>
      <c r="AN84" s="50"/>
      <c r="AO84" s="50"/>
      <c r="AP84" s="50"/>
      <c r="AQ84" s="50"/>
      <c r="AR84" s="54"/>
    </row>
    <row r="85" spans="36:44" ht="15" hidden="1" customHeight="1">
      <c r="AJ85" s="65" t="s">
        <v>179</v>
      </c>
      <c r="AK85" s="50"/>
      <c r="AL85" s="50"/>
      <c r="AM85" s="50"/>
      <c r="AN85" s="50"/>
      <c r="AO85" s="50"/>
      <c r="AP85" s="50"/>
      <c r="AQ85" s="50"/>
      <c r="AR85" s="54"/>
    </row>
    <row r="86" spans="36:44" ht="15" hidden="1">
      <c r="AJ86" s="65" t="s">
        <v>178</v>
      </c>
      <c r="AK86" s="50"/>
      <c r="AL86" s="50"/>
      <c r="AM86" s="50"/>
      <c r="AN86" s="50"/>
      <c r="AO86" s="50"/>
      <c r="AP86" s="50"/>
      <c r="AQ86" s="50"/>
      <c r="AR86" s="54"/>
    </row>
    <row r="87" spans="36:44" ht="15" hidden="1">
      <c r="AJ87" s="65" t="s">
        <v>177</v>
      </c>
      <c r="AK87" s="50"/>
      <c r="AL87" s="50"/>
      <c r="AM87" s="50"/>
      <c r="AN87" s="50"/>
      <c r="AO87" s="50"/>
      <c r="AP87" s="50"/>
      <c r="AQ87" s="50"/>
      <c r="AR87" s="54"/>
    </row>
    <row r="88" spans="36:44" ht="15" hidden="1">
      <c r="AJ88" s="65" t="s">
        <v>176</v>
      </c>
      <c r="AK88" s="50"/>
      <c r="AL88" s="50"/>
      <c r="AM88" s="50"/>
      <c r="AN88" s="50"/>
      <c r="AO88" s="50"/>
      <c r="AP88" s="50"/>
      <c r="AQ88" s="50"/>
      <c r="AR88" s="54"/>
    </row>
    <row r="89" spans="36:44" ht="15" hidden="1">
      <c r="AJ89" s="65" t="s">
        <v>175</v>
      </c>
      <c r="AK89" s="50"/>
      <c r="AL89" s="50"/>
      <c r="AM89" s="50"/>
      <c r="AN89" s="50"/>
      <c r="AO89" s="50"/>
      <c r="AP89" s="50"/>
      <c r="AQ89" s="50"/>
      <c r="AR89" s="54"/>
    </row>
    <row r="90" spans="36:44" ht="15" hidden="1">
      <c r="AJ90" s="65" t="s">
        <v>174</v>
      </c>
      <c r="AK90" s="50"/>
      <c r="AL90" s="50"/>
      <c r="AM90" s="50"/>
      <c r="AN90" s="50"/>
      <c r="AO90" s="50"/>
      <c r="AP90" s="50"/>
      <c r="AQ90" s="50"/>
      <c r="AR90" s="54"/>
    </row>
    <row r="91" spans="36:44" ht="15" hidden="1">
      <c r="AJ91" s="65" t="s">
        <v>173</v>
      </c>
      <c r="AK91" s="50"/>
      <c r="AL91" s="50"/>
      <c r="AM91" s="50"/>
      <c r="AN91" s="50"/>
      <c r="AO91" s="50"/>
      <c r="AP91" s="50"/>
      <c r="AQ91" s="50"/>
      <c r="AR91" s="54"/>
    </row>
    <row r="92" spans="36:44" ht="15" hidden="1">
      <c r="AJ92" s="65" t="s">
        <v>172</v>
      </c>
      <c r="AK92" s="50"/>
      <c r="AL92" s="50"/>
      <c r="AM92" s="50"/>
      <c r="AN92" s="50"/>
      <c r="AO92" s="50"/>
      <c r="AP92" s="50"/>
      <c r="AQ92" s="50"/>
      <c r="AR92" s="54"/>
    </row>
    <row r="93" spans="36:44" ht="15" hidden="1">
      <c r="AJ93" s="64" t="s">
        <v>171</v>
      </c>
      <c r="AK93" s="63"/>
      <c r="AL93" s="63"/>
      <c r="AM93" s="63"/>
      <c r="AN93" s="63"/>
      <c r="AO93" s="63"/>
      <c r="AP93" s="63"/>
      <c r="AQ93" s="63"/>
      <c r="AR93" s="52"/>
    </row>
    <row r="94" spans="36:44" ht="15" hidden="1">
      <c r="AJ94" s="50"/>
    </row>
    <row r="95" spans="36:44" ht="15" hidden="1">
      <c r="AJ95" s="70"/>
    </row>
    <row r="96" spans="36:44" ht="15" hidden="1">
      <c r="AJ96" s="76" t="s">
        <v>170</v>
      </c>
    </row>
    <row r="97" spans="36:56" ht="15" hidden="1">
      <c r="AJ97" s="76" t="s">
        <v>169</v>
      </c>
    </row>
    <row r="98" spans="36:56" ht="15" hidden="1">
      <c r="AJ98" s="76" t="s">
        <v>168</v>
      </c>
    </row>
    <row r="99" spans="36:56" ht="15" hidden="1">
      <c r="AJ99" s="75" t="s">
        <v>167</v>
      </c>
    </row>
    <row r="100" spans="36:56" ht="15" hidden="1">
      <c r="AJ100" s="50"/>
    </row>
    <row r="101" spans="36:56" ht="15" hidden="1">
      <c r="AJ101" s="74"/>
      <c r="AK101" s="66"/>
      <c r="AL101" s="66"/>
      <c r="AM101" s="66"/>
      <c r="AN101" s="66"/>
      <c r="AO101" s="66"/>
      <c r="AP101" s="66"/>
      <c r="AQ101" s="66"/>
      <c r="AR101" s="66"/>
      <c r="AS101" s="66"/>
      <c r="AT101" s="66"/>
      <c r="AU101" s="66"/>
      <c r="AV101" s="66"/>
      <c r="AW101" s="66"/>
      <c r="AX101" s="66"/>
      <c r="AY101" s="66"/>
      <c r="AZ101" s="66"/>
      <c r="BA101" s="66"/>
      <c r="BB101" s="66"/>
      <c r="BC101" s="66"/>
      <c r="BD101" s="56"/>
    </row>
    <row r="102" spans="36:56" ht="15" hidden="1">
      <c r="AJ102" s="65" t="s">
        <v>166</v>
      </c>
      <c r="AK102" s="50"/>
      <c r="AL102" s="50"/>
      <c r="AM102" s="50"/>
      <c r="AN102" s="50"/>
      <c r="AO102" s="50"/>
      <c r="AP102" s="50"/>
      <c r="AQ102" s="50"/>
      <c r="AR102" s="50"/>
      <c r="AS102" s="50"/>
      <c r="AT102" s="50"/>
      <c r="AU102" s="50"/>
      <c r="AV102" s="50"/>
      <c r="AW102" s="50"/>
      <c r="AX102" s="50"/>
      <c r="AY102" s="50"/>
      <c r="AZ102" s="50"/>
      <c r="BA102" s="50"/>
      <c r="BB102" s="50"/>
      <c r="BC102" s="50"/>
      <c r="BD102" s="54"/>
    </row>
    <row r="103" spans="36:56" ht="15" hidden="1">
      <c r="AJ103" s="65" t="s">
        <v>165</v>
      </c>
      <c r="AK103" s="50"/>
      <c r="AL103" s="50"/>
      <c r="AM103" s="50"/>
      <c r="AN103" s="50"/>
      <c r="AO103" s="50"/>
      <c r="AP103" s="50"/>
      <c r="AQ103" s="50"/>
      <c r="AR103" s="50"/>
      <c r="AS103" s="50"/>
      <c r="AT103" s="50"/>
      <c r="AU103" s="50"/>
      <c r="AV103" s="50"/>
      <c r="AW103" s="50"/>
      <c r="AX103" s="50"/>
      <c r="AY103" s="50"/>
      <c r="AZ103" s="50"/>
      <c r="BA103" s="50"/>
      <c r="BB103" s="50"/>
      <c r="BC103" s="50"/>
      <c r="BD103" s="54"/>
    </row>
    <row r="104" spans="36:56" ht="15" hidden="1">
      <c r="AJ104" s="65" t="s">
        <v>164</v>
      </c>
      <c r="AK104" s="50"/>
      <c r="AL104" s="50"/>
      <c r="AM104" s="50"/>
      <c r="AN104" s="50"/>
      <c r="AO104" s="50"/>
      <c r="AP104" s="50"/>
      <c r="AQ104" s="50"/>
      <c r="AR104" s="50"/>
      <c r="AS104" s="50"/>
      <c r="AT104" s="50"/>
      <c r="AU104" s="50"/>
      <c r="AV104" s="50"/>
      <c r="AW104" s="50"/>
      <c r="AX104" s="50"/>
      <c r="AY104" s="50"/>
      <c r="AZ104" s="50"/>
      <c r="BA104" s="50"/>
      <c r="BB104" s="50"/>
      <c r="BC104" s="50"/>
      <c r="BD104" s="54"/>
    </row>
    <row r="105" spans="36:56" ht="15" hidden="1">
      <c r="AJ105" s="65" t="s">
        <v>163</v>
      </c>
      <c r="AK105" s="50"/>
      <c r="AL105" s="50"/>
      <c r="AM105" s="50"/>
      <c r="AN105" s="50"/>
      <c r="AO105" s="50"/>
      <c r="AP105" s="50"/>
      <c r="AQ105" s="50"/>
      <c r="AR105" s="50"/>
      <c r="AS105" s="50"/>
      <c r="AT105" s="50"/>
      <c r="AU105" s="50"/>
      <c r="AV105" s="50"/>
      <c r="AW105" s="50"/>
      <c r="AX105" s="50"/>
      <c r="AY105" s="50"/>
      <c r="AZ105" s="50"/>
      <c r="BA105" s="50"/>
      <c r="BB105" s="50"/>
      <c r="BC105" s="50"/>
      <c r="BD105" s="54"/>
    </row>
    <row r="106" spans="36:56" ht="15" hidden="1">
      <c r="AJ106" s="65" t="s">
        <v>162</v>
      </c>
      <c r="AK106" s="50"/>
      <c r="AL106" s="50"/>
      <c r="AM106" s="50"/>
      <c r="AN106" s="50"/>
      <c r="AO106" s="50"/>
      <c r="AP106" s="50"/>
      <c r="AQ106" s="50"/>
      <c r="AR106" s="50"/>
      <c r="AS106" s="50"/>
      <c r="AT106" s="50"/>
      <c r="AU106" s="50"/>
      <c r="AV106" s="50"/>
      <c r="AW106" s="50"/>
      <c r="AX106" s="50"/>
      <c r="AY106" s="50"/>
      <c r="AZ106" s="50"/>
      <c r="BA106" s="50"/>
      <c r="BB106" s="50"/>
      <c r="BC106" s="50"/>
      <c r="BD106" s="54"/>
    </row>
    <row r="107" spans="36:56" ht="15" hidden="1">
      <c r="AJ107" s="65" t="s">
        <v>161</v>
      </c>
      <c r="AK107" s="50"/>
      <c r="AL107" s="50"/>
      <c r="AM107" s="50"/>
      <c r="AN107" s="50"/>
      <c r="AO107" s="50"/>
      <c r="AP107" s="50"/>
      <c r="AQ107" s="50"/>
      <c r="AR107" s="50"/>
      <c r="AS107" s="50"/>
      <c r="AT107" s="50"/>
      <c r="AU107" s="50"/>
      <c r="AV107" s="50"/>
      <c r="AW107" s="50"/>
      <c r="AX107" s="50"/>
      <c r="AY107" s="50"/>
      <c r="AZ107" s="50"/>
      <c r="BA107" s="50"/>
      <c r="BB107" s="50"/>
      <c r="BC107" s="50"/>
      <c r="BD107" s="54"/>
    </row>
    <row r="108" spans="36:56" ht="15" hidden="1">
      <c r="AJ108" s="64" t="s">
        <v>160</v>
      </c>
      <c r="AK108" s="63"/>
      <c r="AL108" s="63"/>
      <c r="AM108" s="63"/>
      <c r="AN108" s="63"/>
      <c r="AO108" s="63"/>
      <c r="AP108" s="63"/>
      <c r="AQ108" s="63"/>
      <c r="AR108" s="63"/>
      <c r="AS108" s="63"/>
      <c r="AT108" s="63"/>
      <c r="AU108" s="63"/>
      <c r="AV108" s="63"/>
      <c r="AW108" s="63"/>
      <c r="AX108" s="63"/>
      <c r="AY108" s="63"/>
      <c r="AZ108" s="63"/>
      <c r="BA108" s="63"/>
      <c r="BB108" s="63"/>
      <c r="BC108" s="63"/>
      <c r="BD108" s="52"/>
    </row>
    <row r="109" spans="36:56" ht="15" hidden="1">
      <c r="AJ109" s="50"/>
    </row>
    <row r="110" spans="36:56" ht="15" hidden="1">
      <c r="AJ110" s="73"/>
      <c r="AK110" s="66"/>
      <c r="AL110" s="66"/>
      <c r="AM110" s="66"/>
      <c r="AN110" s="66"/>
      <c r="AO110" s="66"/>
      <c r="AP110" s="66">
        <v>0</v>
      </c>
      <c r="AQ110" s="56">
        <v>0</v>
      </c>
    </row>
    <row r="111" spans="36:56" ht="15" hidden="1">
      <c r="AJ111" s="72" t="s">
        <v>159</v>
      </c>
      <c r="AK111" s="50"/>
      <c r="AL111" s="50"/>
      <c r="AM111" s="50"/>
      <c r="AN111" s="50"/>
      <c r="AO111" s="50"/>
      <c r="AP111" s="50">
        <v>1.2</v>
      </c>
      <c r="AQ111" s="54">
        <v>1.2</v>
      </c>
    </row>
    <row r="112" spans="36:56" ht="15" hidden="1">
      <c r="AJ112" s="72" t="s">
        <v>158</v>
      </c>
      <c r="AK112" s="50"/>
      <c r="AL112" s="50"/>
      <c r="AM112" s="50"/>
      <c r="AN112" s="50"/>
      <c r="AO112" s="50"/>
      <c r="AP112" s="50">
        <v>1.1000000000000001</v>
      </c>
      <c r="AQ112" s="54">
        <v>1.1000000000000001</v>
      </c>
    </row>
    <row r="113" spans="36:43" ht="15" hidden="1">
      <c r="AJ113" s="72" t="s">
        <v>157</v>
      </c>
      <c r="AK113" s="50"/>
      <c r="AL113" s="50"/>
      <c r="AM113" s="50"/>
      <c r="AN113" s="50"/>
      <c r="AO113" s="50"/>
      <c r="AP113" s="50">
        <v>1.1000000000000001</v>
      </c>
      <c r="AQ113" s="54">
        <v>1.1000000000000001</v>
      </c>
    </row>
    <row r="114" spans="36:43" ht="15" hidden="1">
      <c r="AJ114" s="72" t="s">
        <v>156</v>
      </c>
      <c r="AK114" s="50"/>
      <c r="AL114" s="50"/>
      <c r="AM114" s="50"/>
      <c r="AN114" s="50"/>
      <c r="AO114" s="50"/>
      <c r="AP114" s="50">
        <v>1.1000000000000001</v>
      </c>
      <c r="AQ114" s="54">
        <v>1.1000000000000001</v>
      </c>
    </row>
    <row r="115" spans="36:43" ht="15" hidden="1">
      <c r="AJ115" s="72" t="s">
        <v>155</v>
      </c>
      <c r="AK115" s="50"/>
      <c r="AL115" s="50"/>
      <c r="AM115" s="50"/>
      <c r="AN115" s="50"/>
      <c r="AO115" s="50"/>
      <c r="AP115" s="50">
        <v>3.2</v>
      </c>
      <c r="AQ115" s="54">
        <v>3</v>
      </c>
    </row>
    <row r="116" spans="36:43" ht="15" hidden="1">
      <c r="AJ116" s="72" t="s">
        <v>154</v>
      </c>
      <c r="AK116" s="50"/>
      <c r="AL116" s="50"/>
      <c r="AM116" s="50"/>
      <c r="AN116" s="50"/>
      <c r="AO116" s="50"/>
      <c r="AP116" s="50">
        <v>1.2</v>
      </c>
      <c r="AQ116" s="54">
        <v>0.2</v>
      </c>
    </row>
    <row r="117" spans="36:43" ht="15" hidden="1">
      <c r="AJ117" s="72" t="s">
        <v>153</v>
      </c>
      <c r="AK117" s="50"/>
      <c r="AL117" s="50"/>
      <c r="AM117" s="50"/>
      <c r="AN117" s="50"/>
      <c r="AO117" s="50"/>
      <c r="AP117" s="50">
        <v>1.1000000000000001</v>
      </c>
      <c r="AQ117" s="54">
        <v>0.1</v>
      </c>
    </row>
    <row r="118" spans="36:43" ht="15" hidden="1">
      <c r="AJ118" s="72" t="s">
        <v>152</v>
      </c>
      <c r="AK118" s="50"/>
      <c r="AL118" s="50"/>
      <c r="AM118" s="50"/>
      <c r="AN118" s="50"/>
      <c r="AO118" s="50"/>
      <c r="AP118" s="50">
        <v>1</v>
      </c>
      <c r="AQ118" s="54">
        <v>0</v>
      </c>
    </row>
    <row r="119" spans="36:43" ht="15" hidden="1">
      <c r="AJ119" s="72" t="s">
        <v>151</v>
      </c>
      <c r="AK119" s="50"/>
      <c r="AL119" s="50"/>
      <c r="AM119" s="50"/>
      <c r="AN119" s="50"/>
      <c r="AO119" s="50"/>
      <c r="AP119" s="50">
        <v>1.2</v>
      </c>
      <c r="AQ119" s="54">
        <v>1.2</v>
      </c>
    </row>
    <row r="120" spans="36:43" ht="15" hidden="1">
      <c r="AJ120" s="72" t="s">
        <v>150</v>
      </c>
      <c r="AK120" s="50"/>
      <c r="AL120" s="50"/>
      <c r="AM120" s="50"/>
      <c r="AN120" s="50"/>
      <c r="AO120" s="50"/>
      <c r="AP120" s="50">
        <v>1.2</v>
      </c>
      <c r="AQ120" s="54">
        <v>1.2</v>
      </c>
    </row>
    <row r="121" spans="36:43" ht="15" hidden="1">
      <c r="AJ121" s="72" t="s">
        <v>149</v>
      </c>
      <c r="AK121" s="50"/>
      <c r="AL121" s="50"/>
      <c r="AM121" s="50"/>
      <c r="AN121" s="50"/>
      <c r="AO121" s="50"/>
      <c r="AP121" s="50">
        <v>-3.2</v>
      </c>
      <c r="AQ121" s="54">
        <v>-3</v>
      </c>
    </row>
    <row r="122" spans="36:43" ht="15" hidden="1">
      <c r="AJ122" s="72" t="s">
        <v>148</v>
      </c>
      <c r="AK122" s="50"/>
      <c r="AL122" s="50"/>
      <c r="AM122" s="50"/>
      <c r="AN122" s="50"/>
      <c r="AO122" s="50"/>
      <c r="AP122" s="50">
        <v>-1.1000000000000001</v>
      </c>
      <c r="AQ122" s="54">
        <v>-1</v>
      </c>
    </row>
    <row r="123" spans="36:43" ht="15" hidden="1">
      <c r="AJ123" s="72" t="s">
        <v>147</v>
      </c>
      <c r="AK123" s="50"/>
      <c r="AL123" s="50"/>
      <c r="AM123" s="50"/>
      <c r="AN123" s="50"/>
      <c r="AO123" s="50"/>
      <c r="AP123" s="50">
        <v>1.1000000000000001</v>
      </c>
      <c r="AQ123" s="54">
        <v>0.1</v>
      </c>
    </row>
    <row r="124" spans="36:43" ht="15" hidden="1">
      <c r="AJ124" s="72" t="s">
        <v>146</v>
      </c>
      <c r="AK124" s="50"/>
      <c r="AL124" s="50"/>
      <c r="AM124" s="50"/>
      <c r="AN124" s="50"/>
      <c r="AO124" s="50"/>
      <c r="AP124" s="50">
        <v>1.1000000000000001</v>
      </c>
      <c r="AQ124" s="54">
        <v>0.3</v>
      </c>
    </row>
    <row r="125" spans="36:43" ht="15" hidden="1">
      <c r="AJ125" s="71" t="s">
        <v>145</v>
      </c>
      <c r="AK125" s="63"/>
      <c r="AL125" s="63"/>
      <c r="AM125" s="63"/>
      <c r="AN125" s="63"/>
      <c r="AO125" s="63"/>
      <c r="AP125" s="63">
        <v>1.1000000000000001</v>
      </c>
      <c r="AQ125" s="52">
        <v>1</v>
      </c>
    </row>
    <row r="126" spans="36:43" ht="15" hidden="1">
      <c r="AJ126" s="50"/>
    </row>
    <row r="127" spans="36:43" ht="15" hidden="1">
      <c r="AJ127" s="70"/>
    </row>
    <row r="128" spans="36:43" ht="15" hidden="1">
      <c r="AJ128" s="69" t="s">
        <v>144</v>
      </c>
    </row>
    <row r="129" spans="36:50" ht="15" hidden="1">
      <c r="AJ129" s="69" t="s">
        <v>143</v>
      </c>
    </row>
    <row r="130" spans="36:50" ht="15" hidden="1">
      <c r="AJ130" s="69" t="s">
        <v>142</v>
      </c>
    </row>
    <row r="131" spans="36:50" ht="15" hidden="1">
      <c r="AJ131" s="69" t="s">
        <v>141</v>
      </c>
    </row>
    <row r="132" spans="36:50" ht="15" hidden="1">
      <c r="AJ132" s="69" t="s">
        <v>140</v>
      </c>
    </row>
    <row r="133" spans="36:50" ht="15" hidden="1">
      <c r="AJ133" s="69" t="s">
        <v>139</v>
      </c>
    </row>
    <row r="134" spans="36:50" ht="15" hidden="1">
      <c r="AJ134" s="68" t="s">
        <v>138</v>
      </c>
    </row>
    <row r="135" spans="36:50" ht="15" hidden="1" customHeight="1"/>
    <row r="136" spans="36:50" ht="15" hidden="1">
      <c r="AJ136" s="67"/>
      <c r="AK136" s="66"/>
      <c r="AL136" s="66"/>
      <c r="AM136" s="66"/>
      <c r="AN136" s="66"/>
      <c r="AO136" s="66"/>
      <c r="AP136" s="66"/>
      <c r="AQ136" s="66"/>
      <c r="AR136" s="56"/>
      <c r="AS136" s="50"/>
      <c r="AT136" s="50"/>
      <c r="AU136" s="50"/>
      <c r="AV136" s="50"/>
      <c r="AW136" s="50"/>
      <c r="AX136" s="50"/>
    </row>
    <row r="137" spans="36:50" ht="15" hidden="1">
      <c r="AJ137" s="65" t="s">
        <v>137</v>
      </c>
      <c r="AK137" s="50"/>
      <c r="AL137" s="50"/>
      <c r="AM137" s="50"/>
      <c r="AN137" s="50"/>
      <c r="AO137" s="50"/>
      <c r="AP137" s="50"/>
      <c r="AQ137" s="50"/>
      <c r="AR137" s="54"/>
      <c r="AS137" s="50"/>
      <c r="AT137" s="50"/>
      <c r="AU137" s="50"/>
      <c r="AV137" s="50"/>
      <c r="AW137" s="50"/>
      <c r="AX137" s="50"/>
    </row>
    <row r="138" spans="36:50" ht="15" hidden="1">
      <c r="AJ138" s="65" t="s">
        <v>136</v>
      </c>
      <c r="AK138" s="50"/>
      <c r="AL138" s="50"/>
      <c r="AM138" s="50"/>
      <c r="AN138" s="50"/>
      <c r="AO138" s="50"/>
      <c r="AP138" s="50"/>
      <c r="AQ138" s="50"/>
      <c r="AR138" s="54"/>
      <c r="AS138" s="50"/>
      <c r="AT138" s="50"/>
      <c r="AU138" s="50"/>
      <c r="AV138" s="50"/>
      <c r="AW138" s="50"/>
      <c r="AX138" s="50"/>
    </row>
    <row r="139" spans="36:50" ht="15" hidden="1">
      <c r="AJ139" s="65" t="s">
        <v>135</v>
      </c>
      <c r="AK139" s="50"/>
      <c r="AL139" s="50"/>
      <c r="AM139" s="50"/>
      <c r="AN139" s="50"/>
      <c r="AO139" s="50"/>
      <c r="AP139" s="50"/>
      <c r="AQ139" s="50"/>
      <c r="AR139" s="54"/>
      <c r="AS139" s="50"/>
      <c r="AT139" s="50"/>
      <c r="AU139" s="50"/>
      <c r="AV139" s="50"/>
      <c r="AW139" s="50"/>
      <c r="AX139" s="50"/>
    </row>
    <row r="140" spans="36:50" ht="15" hidden="1">
      <c r="AJ140" s="65" t="s">
        <v>134</v>
      </c>
      <c r="AK140" s="50"/>
      <c r="AL140" s="50"/>
      <c r="AM140" s="50"/>
      <c r="AN140" s="50"/>
      <c r="AO140" s="50"/>
      <c r="AP140" s="50"/>
      <c r="AQ140" s="50"/>
      <c r="AR140" s="54"/>
      <c r="AS140" s="50"/>
      <c r="AT140" s="50"/>
      <c r="AU140" s="50"/>
      <c r="AV140" s="50"/>
      <c r="AW140" s="50"/>
      <c r="AX140" s="50"/>
    </row>
    <row r="141" spans="36:50" ht="15" hidden="1">
      <c r="AJ141" s="65" t="s">
        <v>133</v>
      </c>
      <c r="AK141" s="50"/>
      <c r="AL141" s="50"/>
      <c r="AM141" s="50"/>
      <c r="AN141" s="50"/>
      <c r="AO141" s="50"/>
      <c r="AP141" s="50"/>
      <c r="AQ141" s="50"/>
      <c r="AR141" s="54"/>
      <c r="AS141" s="50"/>
      <c r="AT141" s="50"/>
      <c r="AU141" s="50"/>
      <c r="AV141" s="50"/>
      <c r="AW141" s="50"/>
      <c r="AX141" s="50"/>
    </row>
    <row r="142" spans="36:50" ht="15" hidden="1">
      <c r="AJ142" s="65" t="s">
        <v>132</v>
      </c>
      <c r="AK142" s="50"/>
      <c r="AL142" s="50"/>
      <c r="AM142" s="50"/>
      <c r="AN142" s="50"/>
      <c r="AO142" s="50"/>
      <c r="AP142" s="50"/>
      <c r="AQ142" s="50"/>
      <c r="AR142" s="54"/>
      <c r="AS142" s="50"/>
      <c r="AT142" s="50"/>
      <c r="AU142" s="50"/>
      <c r="AV142" s="50"/>
      <c r="AW142" s="50"/>
      <c r="AX142" s="50"/>
    </row>
    <row r="143" spans="36:50" ht="15" hidden="1">
      <c r="AJ143" s="65" t="s">
        <v>131</v>
      </c>
      <c r="AK143" s="50"/>
      <c r="AL143" s="50"/>
      <c r="AM143" s="50"/>
      <c r="AN143" s="50"/>
      <c r="AO143" s="50"/>
      <c r="AP143" s="50"/>
      <c r="AQ143" s="50"/>
      <c r="AR143" s="54"/>
      <c r="AS143" s="50"/>
      <c r="AT143" s="50"/>
      <c r="AU143" s="50"/>
      <c r="AV143" s="50"/>
      <c r="AW143" s="50"/>
      <c r="AX143" s="50"/>
    </row>
    <row r="144" spans="36:50" ht="15" hidden="1">
      <c r="AJ144" s="65" t="s">
        <v>130</v>
      </c>
      <c r="AK144" s="50"/>
      <c r="AL144" s="50"/>
      <c r="AM144" s="50"/>
      <c r="AN144" s="50"/>
      <c r="AO144" s="50"/>
      <c r="AP144" s="50"/>
      <c r="AQ144" s="50"/>
      <c r="AR144" s="54"/>
      <c r="AS144" s="50"/>
      <c r="AT144" s="50"/>
      <c r="AU144" s="50"/>
      <c r="AV144" s="50"/>
      <c r="AW144" s="50"/>
      <c r="AX144" s="50"/>
    </row>
    <row r="145" spans="36:50" ht="15" hidden="1">
      <c r="AJ145" s="65" t="s">
        <v>129</v>
      </c>
      <c r="AK145" s="50"/>
      <c r="AL145" s="50"/>
      <c r="AM145" s="50"/>
      <c r="AN145" s="50"/>
      <c r="AO145" s="50"/>
      <c r="AP145" s="50"/>
      <c r="AQ145" s="50"/>
      <c r="AR145" s="54"/>
      <c r="AS145" s="50"/>
      <c r="AT145" s="50"/>
      <c r="AU145" s="50"/>
      <c r="AV145" s="50"/>
      <c r="AW145" s="50"/>
      <c r="AX145" s="50"/>
    </row>
    <row r="146" spans="36:50" ht="15" hidden="1">
      <c r="AJ146" s="65" t="s">
        <v>128</v>
      </c>
      <c r="AK146" s="50"/>
      <c r="AL146" s="50"/>
      <c r="AM146" s="50"/>
      <c r="AN146" s="50"/>
      <c r="AO146" s="50"/>
      <c r="AP146" s="50"/>
      <c r="AQ146" s="50"/>
      <c r="AR146" s="54"/>
      <c r="AS146" s="50"/>
      <c r="AT146" s="50"/>
      <c r="AU146" s="50"/>
      <c r="AV146" s="50"/>
      <c r="AW146" s="50"/>
      <c r="AX146" s="50"/>
    </row>
    <row r="147" spans="36:50" ht="15" hidden="1">
      <c r="AJ147" s="65" t="s">
        <v>127</v>
      </c>
      <c r="AK147" s="50"/>
      <c r="AL147" s="50"/>
      <c r="AM147" s="50"/>
      <c r="AN147" s="50"/>
      <c r="AO147" s="50"/>
      <c r="AP147" s="50"/>
      <c r="AQ147" s="50"/>
      <c r="AR147" s="54"/>
      <c r="AS147" s="50"/>
      <c r="AT147" s="50"/>
      <c r="AU147" s="50"/>
      <c r="AV147" s="50"/>
      <c r="AW147" s="50"/>
      <c r="AX147" s="50"/>
    </row>
    <row r="148" spans="36:50" ht="15" hidden="1">
      <c r="AJ148" s="65" t="s">
        <v>126</v>
      </c>
      <c r="AK148" s="50"/>
      <c r="AL148" s="50"/>
      <c r="AM148" s="50"/>
      <c r="AN148" s="50"/>
      <c r="AO148" s="50"/>
      <c r="AP148" s="50"/>
      <c r="AQ148" s="50"/>
      <c r="AR148" s="54"/>
      <c r="AS148" s="50"/>
      <c r="AT148" s="50"/>
      <c r="AU148" s="50"/>
      <c r="AV148" s="50"/>
      <c r="AW148" s="50"/>
      <c r="AX148" s="50"/>
    </row>
    <row r="149" spans="36:50" ht="15" hidden="1">
      <c r="AJ149" s="65" t="s">
        <v>125</v>
      </c>
      <c r="AK149" s="50"/>
      <c r="AL149" s="50"/>
      <c r="AM149" s="50"/>
      <c r="AN149" s="50"/>
      <c r="AO149" s="50"/>
      <c r="AP149" s="50"/>
      <c r="AQ149" s="50"/>
      <c r="AR149" s="54"/>
      <c r="AS149" s="50"/>
      <c r="AT149" s="50"/>
      <c r="AU149" s="50"/>
      <c r="AV149" s="50"/>
      <c r="AW149" s="50"/>
      <c r="AX149" s="50"/>
    </row>
    <row r="150" spans="36:50" ht="15" hidden="1">
      <c r="AJ150" s="65" t="s">
        <v>124</v>
      </c>
      <c r="AK150" s="50"/>
      <c r="AL150" s="50"/>
      <c r="AM150" s="50"/>
      <c r="AN150" s="50"/>
      <c r="AO150" s="50"/>
      <c r="AP150" s="50"/>
      <c r="AQ150" s="50"/>
      <c r="AR150" s="54"/>
      <c r="AS150" s="50"/>
      <c r="AT150" s="50"/>
      <c r="AU150" s="50"/>
      <c r="AV150" s="50"/>
      <c r="AW150" s="50"/>
      <c r="AX150" s="50"/>
    </row>
    <row r="151" spans="36:50" ht="15" hidden="1">
      <c r="AJ151" s="65" t="s">
        <v>123</v>
      </c>
      <c r="AK151" s="50"/>
      <c r="AL151" s="50"/>
      <c r="AM151" s="50"/>
      <c r="AN151" s="50"/>
      <c r="AO151" s="50"/>
      <c r="AP151" s="50"/>
      <c r="AQ151" s="50"/>
      <c r="AR151" s="54"/>
      <c r="AS151" s="50"/>
      <c r="AT151" s="50"/>
      <c r="AU151" s="50"/>
      <c r="AV151" s="50"/>
      <c r="AW151" s="50"/>
      <c r="AX151" s="50"/>
    </row>
    <row r="152" spans="36:50" ht="15" hidden="1">
      <c r="AJ152" s="65" t="s">
        <v>122</v>
      </c>
      <c r="AK152" s="50"/>
      <c r="AL152" s="50"/>
      <c r="AM152" s="50"/>
      <c r="AN152" s="50"/>
      <c r="AO152" s="50"/>
      <c r="AP152" s="50"/>
      <c r="AQ152" s="50"/>
      <c r="AR152" s="54"/>
      <c r="AS152" s="50"/>
      <c r="AT152" s="50"/>
      <c r="AU152" s="50"/>
      <c r="AV152" s="50"/>
      <c r="AW152" s="50"/>
      <c r="AX152" s="50"/>
    </row>
    <row r="153" spans="36:50" ht="15" hidden="1">
      <c r="AJ153" s="64" t="s">
        <v>121</v>
      </c>
      <c r="AK153" s="63"/>
      <c r="AL153" s="63"/>
      <c r="AM153" s="63"/>
      <c r="AN153" s="63"/>
      <c r="AO153" s="63"/>
      <c r="AP153" s="63"/>
      <c r="AQ153" s="63"/>
      <c r="AR153" s="52"/>
      <c r="AS153" s="50"/>
      <c r="AT153" s="50"/>
      <c r="AU153" s="50"/>
      <c r="AV153" s="50"/>
      <c r="AW153" s="50"/>
      <c r="AX153" s="50"/>
    </row>
    <row r="154" spans="36:50" ht="15" hidden="1">
      <c r="AJ154" s="51"/>
      <c r="AK154" s="50"/>
      <c r="AL154" s="50"/>
      <c r="AM154" s="50"/>
      <c r="AN154" s="50"/>
      <c r="AO154" s="50"/>
      <c r="AP154" s="50"/>
      <c r="AQ154" s="50"/>
      <c r="AR154" s="50"/>
      <c r="AS154" s="50"/>
      <c r="AT154" s="50"/>
      <c r="AU154" s="50"/>
      <c r="AV154" s="50"/>
      <c r="AW154" s="50"/>
      <c r="AX154" s="50"/>
    </row>
    <row r="155" spans="36:50" ht="15" hidden="1">
      <c r="AJ155" s="62"/>
      <c r="AK155" s="50"/>
      <c r="AL155" s="50"/>
      <c r="AM155" s="50"/>
      <c r="AN155" s="50"/>
      <c r="AO155" s="50"/>
      <c r="AP155" s="50"/>
      <c r="AQ155" s="50"/>
      <c r="AR155" s="50"/>
      <c r="AS155" s="50"/>
      <c r="AT155" s="50"/>
      <c r="AU155" s="50"/>
      <c r="AV155" s="50"/>
      <c r="AW155" s="50"/>
      <c r="AX155" s="50"/>
    </row>
    <row r="156" spans="36:50" ht="15" hidden="1">
      <c r="AJ156" s="60">
        <v>1</v>
      </c>
      <c r="AK156" s="50"/>
      <c r="AL156" s="50"/>
      <c r="AM156" s="50"/>
      <c r="AN156" s="50"/>
      <c r="AO156" s="50"/>
      <c r="AP156" s="50"/>
      <c r="AQ156" s="50"/>
      <c r="AR156" s="50"/>
      <c r="AS156" s="50"/>
      <c r="AT156" s="50"/>
      <c r="AU156" s="50"/>
      <c r="AV156" s="50"/>
      <c r="AW156" s="50"/>
      <c r="AX156" s="50"/>
    </row>
    <row r="157" spans="36:50" ht="15" hidden="1">
      <c r="AJ157" s="60">
        <v>2</v>
      </c>
      <c r="AK157" s="50"/>
      <c r="AL157" s="50"/>
      <c r="AM157" s="50"/>
      <c r="AN157" s="50"/>
      <c r="AO157" s="50"/>
      <c r="AP157" s="50"/>
      <c r="AQ157" s="50"/>
      <c r="AR157" s="50"/>
      <c r="AS157" s="50"/>
      <c r="AT157" s="50"/>
      <c r="AU157" s="50"/>
      <c r="AV157" s="50"/>
      <c r="AW157" s="50"/>
      <c r="AX157" s="50"/>
    </row>
    <row r="158" spans="36:50" ht="15" hidden="1">
      <c r="AJ158" s="60">
        <v>3</v>
      </c>
      <c r="AK158" s="50"/>
      <c r="AL158" s="50"/>
      <c r="AM158" s="50"/>
      <c r="AN158" s="50"/>
      <c r="AO158" s="50"/>
      <c r="AP158" s="50"/>
      <c r="AQ158" s="50"/>
      <c r="AR158" s="50"/>
      <c r="AS158" s="50"/>
      <c r="AT158" s="50"/>
      <c r="AU158" s="50"/>
      <c r="AV158" s="50"/>
      <c r="AW158" s="50"/>
      <c r="AX158" s="50"/>
    </row>
    <row r="159" spans="36:50" ht="15" hidden="1">
      <c r="AJ159" s="60">
        <v>4</v>
      </c>
      <c r="AK159" s="50"/>
      <c r="AL159" s="50"/>
      <c r="AM159" s="50"/>
      <c r="AN159" s="50"/>
      <c r="AO159" s="50"/>
      <c r="AP159" s="50"/>
      <c r="AQ159" s="50"/>
      <c r="AR159" s="50"/>
      <c r="AS159" s="50"/>
      <c r="AT159" s="50"/>
      <c r="AU159" s="50"/>
      <c r="AV159" s="50"/>
      <c r="AW159" s="50"/>
      <c r="AX159" s="50"/>
    </row>
    <row r="160" spans="36:50" ht="15" hidden="1">
      <c r="AJ160" s="59">
        <v>5</v>
      </c>
      <c r="AK160" s="50"/>
      <c r="AL160" s="50"/>
      <c r="AM160" s="50"/>
      <c r="AN160" s="50"/>
      <c r="AO160" s="50"/>
      <c r="AP160" s="50"/>
      <c r="AQ160" s="50"/>
      <c r="AR160" s="50"/>
      <c r="AS160" s="50"/>
      <c r="AT160" s="50"/>
      <c r="AU160" s="50"/>
      <c r="AV160" s="50"/>
      <c r="AW160" s="50"/>
      <c r="AX160" s="50"/>
    </row>
    <row r="161" spans="1:50" ht="15" hidden="1">
      <c r="AJ161" s="58"/>
      <c r="AK161" s="50"/>
      <c r="AL161" s="50"/>
      <c r="AM161" s="50"/>
      <c r="AN161" s="50"/>
      <c r="AO161" s="50"/>
      <c r="AP161" s="50"/>
      <c r="AQ161" s="50"/>
      <c r="AR161" s="50"/>
      <c r="AS161" s="50"/>
      <c r="AT161" s="50"/>
      <c r="AU161" s="50"/>
      <c r="AV161" s="50"/>
      <c r="AW161" s="50"/>
      <c r="AX161" s="50"/>
    </row>
    <row r="162" spans="1:50" ht="15" hidden="1">
      <c r="AJ162" s="61"/>
      <c r="AK162" s="50"/>
      <c r="AL162" s="50"/>
      <c r="AM162" s="50"/>
      <c r="AN162" s="50"/>
      <c r="AO162" s="50"/>
      <c r="AP162" s="50"/>
      <c r="AQ162" s="50"/>
      <c r="AR162" s="50"/>
      <c r="AS162" s="50"/>
      <c r="AT162" s="50"/>
      <c r="AU162" s="50"/>
      <c r="AV162" s="50"/>
      <c r="AW162" s="50"/>
      <c r="AX162" s="50"/>
    </row>
    <row r="163" spans="1:50" ht="15" hidden="1">
      <c r="AJ163" s="60" t="s">
        <v>120</v>
      </c>
      <c r="AK163" s="50"/>
      <c r="AL163" s="50"/>
      <c r="AM163" s="50"/>
      <c r="AN163" s="50"/>
      <c r="AO163" s="50"/>
      <c r="AP163" s="50"/>
      <c r="AQ163" s="50"/>
      <c r="AR163" s="50"/>
      <c r="AS163" s="50"/>
      <c r="AT163" s="50"/>
      <c r="AU163" s="50"/>
      <c r="AV163" s="50"/>
      <c r="AW163" s="50"/>
      <c r="AX163" s="50"/>
    </row>
    <row r="164" spans="1:50" ht="15" hidden="1">
      <c r="AJ164" s="60" t="s">
        <v>119</v>
      </c>
      <c r="AK164" s="50"/>
      <c r="AL164" s="50"/>
      <c r="AM164" s="50"/>
      <c r="AN164" s="50"/>
      <c r="AO164" s="50"/>
      <c r="AP164" s="50"/>
      <c r="AQ164" s="50"/>
      <c r="AR164" s="50"/>
      <c r="AS164" s="50"/>
      <c r="AT164" s="50"/>
      <c r="AU164" s="50"/>
      <c r="AV164" s="50"/>
      <c r="AW164" s="50"/>
      <c r="AX164" s="50"/>
    </row>
    <row r="165" spans="1:50" ht="15" hidden="1">
      <c r="AJ165" s="59" t="s">
        <v>118</v>
      </c>
      <c r="AK165" s="50"/>
      <c r="AL165" s="50"/>
      <c r="AM165" s="50"/>
      <c r="AN165" s="50"/>
      <c r="AO165" s="50"/>
      <c r="AP165" s="50"/>
      <c r="AQ165" s="50"/>
      <c r="AR165" s="50"/>
      <c r="AS165" s="50"/>
      <c r="AT165" s="50"/>
      <c r="AU165" s="50"/>
      <c r="AV165" s="50"/>
      <c r="AW165" s="50"/>
      <c r="AX165" s="50"/>
    </row>
    <row r="166" spans="1:50" ht="15" hidden="1">
      <c r="A166" s="48"/>
      <c r="B166" s="47"/>
      <c r="C166" s="47"/>
      <c r="D166" s="47"/>
      <c r="E166" s="47"/>
      <c r="F166" s="47"/>
      <c r="G166" s="47"/>
      <c r="H166" s="47"/>
      <c r="I166" s="47"/>
      <c r="J166" s="47"/>
      <c r="K166" s="47"/>
      <c r="L166" s="47"/>
      <c r="M166" s="47"/>
      <c r="N166" s="47"/>
      <c r="O166" s="47"/>
      <c r="P166" s="47"/>
      <c r="Q166" s="47"/>
      <c r="R166" s="47"/>
      <c r="S166" s="47"/>
      <c r="T166" s="47"/>
      <c r="U166" s="47"/>
      <c r="V166" s="47"/>
      <c r="W166" s="47"/>
      <c r="X166" s="47"/>
      <c r="Y166" s="47"/>
      <c r="Z166" s="47"/>
      <c r="AA166" s="47"/>
      <c r="AB166" s="47"/>
      <c r="AC166" s="47"/>
      <c r="AD166" s="47"/>
      <c r="AE166" s="47"/>
      <c r="AF166" s="47"/>
      <c r="AG166" s="47"/>
      <c r="AH166" s="47"/>
      <c r="AI166" s="47"/>
      <c r="AJ166" s="58"/>
      <c r="AK166" s="50"/>
      <c r="AL166" s="50"/>
      <c r="AM166" s="50"/>
      <c r="AN166" s="50"/>
      <c r="AO166" s="50"/>
      <c r="AP166" s="50"/>
      <c r="AQ166" s="50"/>
      <c r="AR166" s="50"/>
      <c r="AS166" s="50"/>
      <c r="AT166" s="50"/>
      <c r="AU166" s="50"/>
      <c r="AV166" s="50"/>
      <c r="AW166" s="50"/>
      <c r="AX166" s="50"/>
    </row>
    <row r="167" spans="1:50" ht="15" hidden="1">
      <c r="A167" s="48"/>
      <c r="B167" s="47"/>
      <c r="C167" s="47"/>
      <c r="D167" s="47"/>
      <c r="E167" s="47"/>
      <c r="F167" s="47"/>
      <c r="G167" s="47"/>
      <c r="H167" s="47"/>
      <c r="I167" s="47"/>
      <c r="J167" s="47"/>
      <c r="K167" s="47"/>
      <c r="L167" s="47"/>
      <c r="M167" s="47"/>
      <c r="N167" s="47"/>
      <c r="O167" s="47"/>
      <c r="P167" s="47"/>
      <c r="Q167" s="47"/>
      <c r="R167" s="47"/>
      <c r="S167" s="47"/>
      <c r="T167" s="47"/>
      <c r="U167" s="47"/>
      <c r="V167" s="47"/>
      <c r="W167" s="47"/>
      <c r="X167" s="47"/>
      <c r="Y167" s="47"/>
      <c r="Z167" s="47"/>
      <c r="AA167" s="47"/>
      <c r="AB167" s="47"/>
      <c r="AC167" s="47"/>
      <c r="AD167" s="47"/>
      <c r="AE167" s="47"/>
      <c r="AF167" s="47"/>
      <c r="AG167" s="47"/>
      <c r="AH167" s="47"/>
      <c r="AI167" s="47"/>
      <c r="AJ167" s="57"/>
      <c r="AK167" s="56"/>
      <c r="AL167" s="50"/>
      <c r="AM167" s="50"/>
      <c r="AN167" s="50"/>
      <c r="AO167" s="50"/>
      <c r="AP167" s="50"/>
      <c r="AQ167" s="50"/>
      <c r="AR167" s="50"/>
      <c r="AS167" s="50"/>
      <c r="AT167" s="50"/>
      <c r="AU167" s="50"/>
      <c r="AV167" s="50"/>
      <c r="AW167" s="50"/>
      <c r="AX167" s="50"/>
    </row>
    <row r="168" spans="1:50" ht="15" hidden="1">
      <c r="A168" s="48"/>
      <c r="B168" s="251"/>
      <c r="C168" s="251"/>
      <c r="D168" s="251"/>
      <c r="E168" s="251"/>
      <c r="F168" s="251"/>
      <c r="G168" s="251"/>
      <c r="H168" s="251"/>
      <c r="I168" s="251"/>
      <c r="J168" s="251"/>
      <c r="K168" s="251"/>
      <c r="L168" s="251"/>
      <c r="M168" s="251"/>
      <c r="N168" s="251"/>
      <c r="O168" s="251"/>
      <c r="P168" s="251"/>
      <c r="Q168" s="251"/>
      <c r="R168" s="251"/>
      <c r="S168" s="251"/>
      <c r="T168" s="251"/>
      <c r="U168" s="251"/>
      <c r="V168" s="251"/>
      <c r="W168" s="251"/>
      <c r="X168" s="251"/>
      <c r="Y168" s="251"/>
      <c r="Z168" s="251"/>
      <c r="AA168" s="251"/>
      <c r="AB168" s="251"/>
      <c r="AC168" s="251"/>
      <c r="AD168" s="251"/>
      <c r="AE168" s="251"/>
      <c r="AF168" s="251"/>
      <c r="AG168" s="251"/>
      <c r="AH168" s="136"/>
      <c r="AI168" s="47"/>
      <c r="AJ168" s="55" t="s">
        <v>117</v>
      </c>
      <c r="AK168" s="54"/>
      <c r="AL168" s="50"/>
      <c r="AM168" s="50"/>
      <c r="AN168" s="50"/>
      <c r="AO168" s="50"/>
      <c r="AP168" s="50"/>
      <c r="AQ168" s="50"/>
      <c r="AR168" s="50"/>
      <c r="AS168" s="50"/>
      <c r="AT168" s="50"/>
      <c r="AU168" s="50"/>
      <c r="AV168" s="50"/>
      <c r="AW168" s="50"/>
      <c r="AX168" s="50"/>
    </row>
    <row r="169" spans="1:50" ht="15" hidden="1">
      <c r="A169" s="48"/>
      <c r="B169" s="134"/>
      <c r="C169" s="134"/>
      <c r="D169" s="134"/>
      <c r="E169" s="134"/>
      <c r="F169" s="134"/>
      <c r="G169" s="134"/>
      <c r="H169" s="134"/>
      <c r="I169" s="134"/>
      <c r="J169" s="134"/>
      <c r="K169" s="134"/>
      <c r="L169" s="243"/>
      <c r="M169" s="243"/>
      <c r="N169" s="243"/>
      <c r="O169" s="243"/>
      <c r="P169" s="243"/>
      <c r="Q169" s="243"/>
      <c r="R169" s="243"/>
      <c r="S169" s="243"/>
      <c r="T169" s="243"/>
      <c r="U169" s="243"/>
      <c r="V169" s="243"/>
      <c r="W169" s="243"/>
      <c r="X169" s="243"/>
      <c r="Y169" s="243"/>
      <c r="Z169" s="243"/>
      <c r="AA169" s="243"/>
      <c r="AB169" s="243"/>
      <c r="AC169" s="244"/>
      <c r="AD169" s="244"/>
      <c r="AE169" s="244"/>
      <c r="AF169" s="244"/>
      <c r="AG169" s="244"/>
      <c r="AH169" s="135"/>
      <c r="AI169" s="47"/>
      <c r="AJ169" s="53" t="s">
        <v>116</v>
      </c>
      <c r="AK169" s="52"/>
      <c r="AL169" s="50"/>
      <c r="AM169" s="50"/>
      <c r="AN169" s="50"/>
      <c r="AO169" s="50"/>
      <c r="AP169" s="50"/>
      <c r="AQ169" s="50"/>
      <c r="AR169" s="50"/>
      <c r="AS169" s="50"/>
      <c r="AT169" s="50"/>
      <c r="AU169" s="50"/>
      <c r="AV169" s="50"/>
      <c r="AW169" s="50"/>
      <c r="AX169" s="50"/>
    </row>
    <row r="170" spans="1:50" ht="15" hidden="1">
      <c r="A170" s="48"/>
      <c r="B170" s="134"/>
      <c r="C170" s="134"/>
      <c r="D170" s="134"/>
      <c r="E170" s="134"/>
      <c r="F170" s="134"/>
      <c r="G170" s="134"/>
      <c r="H170" s="134"/>
      <c r="I170" s="134"/>
      <c r="J170" s="134"/>
      <c r="K170" s="134"/>
      <c r="L170" s="243"/>
      <c r="M170" s="243"/>
      <c r="N170" s="243"/>
      <c r="O170" s="243"/>
      <c r="P170" s="243"/>
      <c r="Q170" s="243"/>
      <c r="R170" s="243"/>
      <c r="S170" s="243"/>
      <c r="T170" s="243"/>
      <c r="U170" s="243"/>
      <c r="V170" s="243"/>
      <c r="W170" s="243"/>
      <c r="X170" s="243"/>
      <c r="Y170" s="243"/>
      <c r="Z170" s="243"/>
      <c r="AA170" s="243"/>
      <c r="AB170" s="243"/>
      <c r="AC170" s="244"/>
      <c r="AD170" s="244"/>
      <c r="AE170" s="244"/>
      <c r="AF170" s="244"/>
      <c r="AG170" s="244"/>
      <c r="AH170" s="135"/>
      <c r="AI170" s="47"/>
      <c r="AJ170" s="51"/>
      <c r="AK170" s="50"/>
      <c r="AL170" s="50"/>
      <c r="AM170" s="50"/>
      <c r="AN170" s="50"/>
      <c r="AO170" s="50"/>
      <c r="AP170" s="50"/>
      <c r="AQ170" s="50"/>
      <c r="AR170" s="50"/>
      <c r="AS170" s="50"/>
      <c r="AT170" s="50"/>
      <c r="AU170" s="50"/>
      <c r="AV170" s="50"/>
      <c r="AW170" s="50"/>
      <c r="AX170" s="50"/>
    </row>
    <row r="171" spans="1:50" ht="15" hidden="1">
      <c r="A171" s="48"/>
      <c r="B171" s="254"/>
      <c r="C171" s="254"/>
      <c r="D171" s="254"/>
      <c r="E171" s="254"/>
      <c r="F171" s="254"/>
      <c r="G171" s="254"/>
      <c r="H171" s="254"/>
      <c r="I171" s="254"/>
      <c r="J171" s="253"/>
      <c r="K171" s="253"/>
      <c r="L171" s="253"/>
      <c r="M171" s="253"/>
      <c r="N171" s="253"/>
      <c r="O171" s="253"/>
      <c r="P171" s="253"/>
      <c r="Q171" s="253"/>
      <c r="R171" s="253"/>
      <c r="S171" s="253"/>
      <c r="T171" s="253"/>
      <c r="U171" s="253"/>
      <c r="V171" s="253"/>
      <c r="W171" s="253"/>
      <c r="X171" s="253"/>
      <c r="Y171" s="253"/>
      <c r="Z171" s="253"/>
      <c r="AA171" s="253"/>
      <c r="AB171" s="253"/>
      <c r="AC171" s="253"/>
      <c r="AD171" s="253"/>
      <c r="AE171" s="253"/>
      <c r="AF171" s="253"/>
      <c r="AG171" s="253"/>
      <c r="AH171" s="138"/>
      <c r="AI171" s="47"/>
      <c r="AJ171" s="50"/>
      <c r="AK171" s="50"/>
      <c r="AL171" s="50"/>
      <c r="AM171" s="50"/>
      <c r="AN171" s="50"/>
      <c r="AO171" s="50"/>
      <c r="AP171" s="50"/>
      <c r="AQ171" s="50"/>
      <c r="AR171" s="50"/>
      <c r="AS171" s="50"/>
      <c r="AT171" s="50"/>
      <c r="AU171" s="50"/>
      <c r="AV171" s="50"/>
      <c r="AW171" s="50"/>
      <c r="AX171" s="50"/>
    </row>
    <row r="172" spans="1:50" ht="15" hidden="1" customHeight="1">
      <c r="A172" s="48"/>
      <c r="B172" s="254"/>
      <c r="C172" s="254"/>
      <c r="D172" s="254"/>
      <c r="E172" s="254"/>
      <c r="F172" s="254"/>
      <c r="G172" s="254"/>
      <c r="H172" s="254"/>
      <c r="I172" s="254"/>
      <c r="J172" s="253"/>
      <c r="K172" s="253"/>
      <c r="L172" s="253"/>
      <c r="M172" s="253"/>
      <c r="N172" s="253"/>
      <c r="O172" s="253"/>
      <c r="P172" s="253"/>
      <c r="Q172" s="253"/>
      <c r="R172" s="253"/>
      <c r="S172" s="253"/>
      <c r="T172" s="253"/>
      <c r="U172" s="253"/>
      <c r="V172" s="253"/>
      <c r="W172" s="253"/>
      <c r="X172" s="253"/>
      <c r="Y172" s="253"/>
      <c r="Z172" s="253"/>
      <c r="AA172" s="253"/>
      <c r="AB172" s="253"/>
      <c r="AC172" s="253"/>
      <c r="AD172" s="253"/>
      <c r="AE172" s="253"/>
      <c r="AF172" s="253"/>
      <c r="AG172" s="253"/>
      <c r="AH172" s="138"/>
      <c r="AI172" s="47"/>
    </row>
    <row r="173" spans="1:50" ht="15" hidden="1" customHeight="1">
      <c r="A173" s="48"/>
      <c r="B173" s="254"/>
      <c r="C173" s="254"/>
      <c r="D173" s="254"/>
      <c r="E173" s="254"/>
      <c r="F173" s="254"/>
      <c r="G173" s="254"/>
      <c r="H173" s="254"/>
      <c r="I173" s="254"/>
      <c r="J173" s="49"/>
      <c r="K173" s="255"/>
      <c r="L173" s="255"/>
      <c r="M173" s="255"/>
      <c r="N173" s="255"/>
      <c r="O173" s="255"/>
      <c r="P173" s="255"/>
      <c r="Q173" s="255"/>
      <c r="R173" s="255"/>
      <c r="S173" s="255"/>
      <c r="T173" s="255"/>
      <c r="U173" s="255"/>
      <c r="V173" s="255"/>
      <c r="W173" s="255"/>
      <c r="X173" s="255"/>
      <c r="Y173" s="255"/>
      <c r="Z173" s="255"/>
      <c r="AA173" s="255"/>
      <c r="AB173" s="255"/>
      <c r="AC173" s="255"/>
      <c r="AD173" s="255"/>
      <c r="AE173" s="255"/>
      <c r="AF173" s="255"/>
      <c r="AG173" s="255"/>
      <c r="AH173" s="133"/>
      <c r="AI173" s="47"/>
    </row>
    <row r="174" spans="1:50" ht="15" hidden="1">
      <c r="A174" s="48"/>
      <c r="B174" s="254"/>
      <c r="C174" s="254"/>
      <c r="D174" s="254"/>
      <c r="E174" s="254"/>
      <c r="F174" s="254"/>
      <c r="G174" s="254"/>
      <c r="H174" s="254"/>
      <c r="I174" s="254"/>
      <c r="J174" s="49"/>
      <c r="K174" s="255"/>
      <c r="L174" s="255"/>
      <c r="M174" s="255"/>
      <c r="N174" s="255"/>
      <c r="O174" s="255"/>
      <c r="P174" s="255"/>
      <c r="Q174" s="255"/>
      <c r="R174" s="255"/>
      <c r="S174" s="255"/>
      <c r="T174" s="255"/>
      <c r="U174" s="255"/>
      <c r="V174" s="255"/>
      <c r="W174" s="255"/>
      <c r="X174" s="242"/>
      <c r="Y174" s="242"/>
      <c r="Z174" s="242"/>
      <c r="AA174" s="242"/>
      <c r="AB174" s="242"/>
      <c r="AC174" s="243"/>
      <c r="AD174" s="243"/>
      <c r="AE174" s="243"/>
      <c r="AF174" s="243"/>
      <c r="AG174" s="243"/>
      <c r="AH174" s="134"/>
      <c r="AI174" s="47"/>
    </row>
    <row r="175" spans="1:50" ht="15" hidden="1" customHeight="1">
      <c r="A175" s="48"/>
      <c r="B175" s="134"/>
      <c r="C175" s="134"/>
      <c r="D175" s="134"/>
      <c r="E175" s="134"/>
      <c r="F175" s="134"/>
      <c r="G175" s="134"/>
      <c r="H175" s="134"/>
      <c r="I175" s="49"/>
      <c r="J175" s="241"/>
      <c r="K175" s="241"/>
      <c r="L175" s="241"/>
      <c r="M175" s="241"/>
      <c r="N175" s="134"/>
      <c r="O175" s="134"/>
      <c r="P175" s="134"/>
      <c r="Q175" s="134"/>
      <c r="R175" s="134"/>
      <c r="S175" s="134"/>
      <c r="T175" s="134"/>
      <c r="U175" s="134"/>
      <c r="V175" s="134"/>
      <c r="W175" s="134"/>
      <c r="X175" s="242"/>
      <c r="Y175" s="242"/>
      <c r="Z175" s="242"/>
      <c r="AA175" s="242"/>
      <c r="AB175" s="242"/>
      <c r="AC175" s="243"/>
      <c r="AD175" s="243"/>
      <c r="AE175" s="243"/>
      <c r="AF175" s="243"/>
      <c r="AG175" s="243"/>
      <c r="AH175" s="134"/>
      <c r="AI175" s="47"/>
    </row>
    <row r="176" spans="1:50" ht="15" hidden="1">
      <c r="A176" s="48"/>
      <c r="B176" s="243"/>
      <c r="C176" s="243"/>
      <c r="D176" s="243"/>
      <c r="E176" s="243"/>
      <c r="F176" s="243"/>
      <c r="G176" s="243"/>
      <c r="H176" s="243"/>
      <c r="I176" s="243"/>
      <c r="J176" s="243"/>
      <c r="K176" s="243"/>
      <c r="L176" s="243"/>
      <c r="M176" s="243"/>
      <c r="N176" s="243"/>
      <c r="O176" s="243"/>
      <c r="P176" s="243"/>
      <c r="Q176" s="243"/>
      <c r="R176" s="243"/>
      <c r="S176" s="243"/>
      <c r="T176" s="243"/>
      <c r="U176" s="243"/>
      <c r="V176" s="243"/>
      <c r="W176" s="243"/>
      <c r="X176" s="242"/>
      <c r="Y176" s="242"/>
      <c r="Z176" s="242"/>
      <c r="AA176" s="242"/>
      <c r="AB176" s="242"/>
      <c r="AC176" s="243"/>
      <c r="AD176" s="243"/>
      <c r="AE176" s="243"/>
      <c r="AF176" s="243"/>
      <c r="AG176" s="243"/>
      <c r="AH176" s="134"/>
      <c r="AI176" s="47"/>
    </row>
    <row r="177" spans="1:35" ht="15" hidden="1">
      <c r="A177" s="48"/>
      <c r="B177" s="243"/>
      <c r="C177" s="243"/>
      <c r="D177" s="243"/>
      <c r="E177" s="243"/>
      <c r="F177" s="243"/>
      <c r="G177" s="243"/>
      <c r="H177" s="243"/>
      <c r="I177" s="243"/>
      <c r="J177" s="243"/>
      <c r="K177" s="243"/>
      <c r="L177" s="243"/>
      <c r="M177" s="243"/>
      <c r="N177" s="243"/>
      <c r="O177" s="243"/>
      <c r="P177" s="243"/>
      <c r="Q177" s="243"/>
      <c r="R177" s="243"/>
      <c r="S177" s="243"/>
      <c r="T177" s="243"/>
      <c r="U177" s="243"/>
      <c r="V177" s="243"/>
      <c r="W177" s="243"/>
      <c r="X177" s="242"/>
      <c r="Y177" s="242"/>
      <c r="Z177" s="242"/>
      <c r="AA177" s="242"/>
      <c r="AB177" s="242"/>
      <c r="AC177" s="243"/>
      <c r="AD177" s="243"/>
      <c r="AE177" s="243"/>
      <c r="AF177" s="243"/>
      <c r="AG177" s="243"/>
      <c r="AH177" s="134"/>
      <c r="AI177" s="47"/>
    </row>
    <row r="178" spans="1:35" ht="15" hidden="1">
      <c r="A178" s="48"/>
      <c r="B178" s="243"/>
      <c r="C178" s="243"/>
      <c r="D178" s="243"/>
      <c r="E178" s="243"/>
      <c r="F178" s="243"/>
      <c r="G178" s="243"/>
      <c r="H178" s="243"/>
      <c r="I178" s="243"/>
      <c r="J178" s="243"/>
      <c r="K178" s="243"/>
      <c r="L178" s="243"/>
      <c r="M178" s="243"/>
      <c r="N178" s="243"/>
      <c r="O178" s="243"/>
      <c r="P178" s="243"/>
      <c r="Q178" s="243"/>
      <c r="R178" s="243"/>
      <c r="S178" s="243"/>
      <c r="T178" s="243"/>
      <c r="U178" s="243"/>
      <c r="V178" s="243"/>
      <c r="W178" s="243"/>
      <c r="X178" s="242"/>
      <c r="Y178" s="242"/>
      <c r="Z178" s="242"/>
      <c r="AA178" s="242"/>
      <c r="AB178" s="242"/>
      <c r="AC178" s="243"/>
      <c r="AD178" s="243"/>
      <c r="AE178" s="243"/>
      <c r="AF178" s="243"/>
      <c r="AG178" s="243"/>
      <c r="AH178" s="134"/>
      <c r="AI178" s="47"/>
    </row>
    <row r="179" spans="1:35" ht="15" hidden="1">
      <c r="A179" s="48"/>
      <c r="B179" s="243"/>
      <c r="C179" s="243"/>
      <c r="D179" s="243"/>
      <c r="E179" s="243"/>
      <c r="F179" s="243"/>
      <c r="G179" s="243"/>
      <c r="H179" s="243"/>
      <c r="I179" s="243"/>
      <c r="J179" s="243"/>
      <c r="K179" s="243"/>
      <c r="L179" s="243"/>
      <c r="M179" s="243"/>
      <c r="N179" s="243"/>
      <c r="O179" s="243"/>
      <c r="P179" s="243"/>
      <c r="Q179" s="243"/>
      <c r="R179" s="243"/>
      <c r="S179" s="243"/>
      <c r="T179" s="243"/>
      <c r="U179" s="243"/>
      <c r="V179" s="243"/>
      <c r="W179" s="243"/>
      <c r="X179" s="244"/>
      <c r="Y179" s="244"/>
      <c r="Z179" s="244"/>
      <c r="AA179" s="244"/>
      <c r="AB179" s="244"/>
      <c r="AC179" s="243"/>
      <c r="AD179" s="243"/>
      <c r="AE179" s="243"/>
      <c r="AF179" s="243"/>
      <c r="AG179" s="243"/>
      <c r="AH179" s="134"/>
      <c r="AI179" s="47"/>
    </row>
    <row r="180" spans="1:35" ht="15" hidden="1">
      <c r="A180" s="48"/>
      <c r="B180" s="243"/>
      <c r="C180" s="243"/>
      <c r="D180" s="243"/>
      <c r="E180" s="243"/>
      <c r="F180" s="243"/>
      <c r="G180" s="243"/>
      <c r="H180" s="243"/>
      <c r="I180" s="243"/>
      <c r="J180" s="243"/>
      <c r="K180" s="243"/>
      <c r="L180" s="243"/>
      <c r="M180" s="243"/>
      <c r="N180" s="243"/>
      <c r="O180" s="243"/>
      <c r="P180" s="243"/>
      <c r="Q180" s="243"/>
      <c r="R180" s="243"/>
      <c r="S180" s="243"/>
      <c r="T180" s="243"/>
      <c r="U180" s="243"/>
      <c r="V180" s="243"/>
      <c r="W180" s="243"/>
      <c r="X180" s="242"/>
      <c r="Y180" s="242"/>
      <c r="Z180" s="242"/>
      <c r="AA180" s="242"/>
      <c r="AB180" s="242"/>
      <c r="AC180" s="243"/>
      <c r="AD180" s="243"/>
      <c r="AE180" s="243"/>
      <c r="AF180" s="243"/>
      <c r="AG180" s="243"/>
      <c r="AH180" s="134"/>
      <c r="AI180" s="47"/>
    </row>
    <row r="181" spans="1:35" ht="15" hidden="1">
      <c r="A181" s="48"/>
      <c r="B181" s="243"/>
      <c r="C181" s="243"/>
      <c r="D181" s="243"/>
      <c r="E181" s="243"/>
      <c r="F181" s="243"/>
      <c r="G181" s="243"/>
      <c r="H181" s="243"/>
      <c r="I181" s="243"/>
      <c r="J181" s="243"/>
      <c r="K181" s="243"/>
      <c r="L181" s="243"/>
      <c r="M181" s="243"/>
      <c r="N181" s="243"/>
      <c r="O181" s="243"/>
      <c r="P181" s="243"/>
      <c r="Q181" s="243"/>
      <c r="R181" s="243"/>
      <c r="S181" s="243"/>
      <c r="T181" s="243"/>
      <c r="U181" s="243"/>
      <c r="V181" s="243"/>
      <c r="W181" s="243"/>
      <c r="X181" s="244"/>
      <c r="Y181" s="244"/>
      <c r="Z181" s="244"/>
      <c r="AA181" s="244"/>
      <c r="AB181" s="244"/>
      <c r="AC181" s="243"/>
      <c r="AD181" s="243"/>
      <c r="AE181" s="243"/>
      <c r="AF181" s="243"/>
      <c r="AG181" s="243"/>
      <c r="AH181" s="134"/>
      <c r="AI181" s="47"/>
    </row>
    <row r="182" spans="1:35" ht="15" hidden="1" customHeight="1"/>
    <row r="183" spans="1:35" ht="15" hidden="1" customHeight="1"/>
    <row r="184" spans="1:35" ht="15" hidden="1" customHeight="1"/>
    <row r="185" spans="1:35" ht="15" hidden="1" customHeight="1"/>
    <row r="186" spans="1:35" ht="15" hidden="1" customHeight="1"/>
    <row r="187" spans="1:35" ht="15" hidden="1" customHeight="1"/>
    <row r="188" spans="1:35" ht="15" hidden="1" customHeight="1"/>
    <row r="189" spans="1:35" ht="15" hidden="1" customHeight="1"/>
    <row r="190" spans="1:35" ht="15" hidden="1" customHeight="1"/>
    <row r="191" spans="1:35" ht="15" hidden="1" customHeight="1"/>
    <row r="192" spans="1:35" ht="15" hidden="1" customHeight="1"/>
    <row r="193" ht="15" hidden="1" customHeight="1"/>
    <row r="194" ht="15" hidden="1" customHeight="1"/>
    <row r="195" ht="15" hidden="1" customHeight="1"/>
    <row r="196" ht="15" hidden="1" customHeight="1"/>
    <row r="197" ht="15" hidden="1" customHeight="1"/>
    <row r="198" ht="15" hidden="1" customHeight="1"/>
    <row r="199" ht="15" hidden="1" customHeight="1"/>
    <row r="200" ht="15" hidden="1" customHeight="1"/>
    <row r="201" ht="15" hidden="1" customHeight="1"/>
    <row r="202" ht="15" hidden="1" customHeight="1"/>
    <row r="203" ht="15" hidden="1" customHeight="1"/>
    <row r="204" ht="15" hidden="1" customHeight="1"/>
    <row r="205" ht="15" hidden="1" customHeight="1"/>
    <row r="206" ht="15" hidden="1" customHeight="1"/>
    <row r="207" ht="15" hidden="1" customHeight="1"/>
    <row r="208" ht="15" hidden="1" customHeight="1"/>
    <row r="209" ht="15" hidden="1" customHeight="1"/>
    <row r="210" ht="15" hidden="1" customHeight="1"/>
    <row r="211" ht="15" hidden="1" customHeight="1"/>
    <row r="212" ht="15" hidden="1" customHeight="1"/>
    <row r="213" ht="15" hidden="1" customHeight="1"/>
    <row r="214" ht="15" hidden="1" customHeight="1"/>
    <row r="215" ht="15" hidden="1" customHeight="1"/>
    <row r="216" ht="15" hidden="1" customHeight="1"/>
    <row r="217" ht="15" hidden="1" customHeight="1"/>
    <row r="218" ht="15" hidden="1" customHeight="1"/>
    <row r="219" ht="15" hidden="1" customHeight="1"/>
    <row r="220" ht="15" hidden="1" customHeight="1"/>
    <row r="221" ht="15" hidden="1" customHeight="1"/>
    <row r="222" ht="15" hidden="1" customHeight="1"/>
    <row r="223" ht="15" hidden="1" customHeight="1"/>
    <row r="224" ht="15" hidden="1" customHeight="1"/>
    <row r="225" ht="15" hidden="1" customHeight="1"/>
    <row r="226" ht="15" hidden="1" customHeight="1"/>
    <row r="227" ht="15" hidden="1" customHeight="1"/>
    <row r="228" ht="15" hidden="1" customHeight="1"/>
    <row r="229" ht="15" hidden="1" customHeight="1"/>
    <row r="230" ht="15" hidden="1" customHeight="1"/>
    <row r="231" ht="15" hidden="1" customHeight="1"/>
    <row r="232" ht="15" hidden="1" customHeight="1"/>
    <row r="233" ht="15" hidden="1" customHeight="1"/>
    <row r="234" ht="15" hidden="1" customHeight="1"/>
    <row r="235" ht="15" hidden="1" customHeight="1"/>
    <row r="236" ht="15" hidden="1" customHeight="1"/>
    <row r="237" ht="15" hidden="1" customHeight="1"/>
    <row r="238" ht="15" hidden="1" customHeight="1"/>
    <row r="239" ht="15" hidden="1" customHeight="1"/>
    <row r="240" ht="15" hidden="1" customHeight="1"/>
    <row r="241" ht="15" hidden="1" customHeight="1"/>
    <row r="242" ht="15" hidden="1" customHeight="1"/>
    <row r="243" ht="15" hidden="1" customHeight="1"/>
    <row r="244" ht="15" hidden="1" customHeight="1"/>
    <row r="245" ht="15" hidden="1" customHeight="1"/>
    <row r="246" ht="15" hidden="1" customHeight="1"/>
    <row r="247" ht="15" hidden="1" customHeight="1"/>
    <row r="248" ht="15" hidden="1" customHeight="1"/>
    <row r="249" ht="15" hidden="1" customHeight="1"/>
    <row r="250" ht="15" hidden="1" customHeight="1"/>
    <row r="251" ht="15" hidden="1" customHeight="1"/>
    <row r="252" ht="15" hidden="1" customHeight="1"/>
    <row r="253" ht="15" hidden="1" customHeight="1"/>
    <row r="254" ht="15" hidden="1" customHeight="1"/>
    <row r="255" ht="15" hidden="1" customHeight="1"/>
    <row r="256" ht="15" hidden="1" customHeight="1"/>
    <row r="257" ht="15" hidden="1" customHeight="1"/>
    <row r="258" ht="15" hidden="1" customHeight="1"/>
    <row r="259" ht="15" hidden="1" customHeight="1"/>
    <row r="260" ht="15" hidden="1" customHeight="1"/>
    <row r="261" ht="15" hidden="1" customHeight="1"/>
    <row r="262" ht="15" hidden="1" customHeight="1"/>
    <row r="263" ht="15" hidden="1" customHeight="1"/>
    <row r="264" ht="15" hidden="1" customHeight="1"/>
    <row r="265" ht="15" hidden="1" customHeight="1"/>
    <row r="266" ht="15" hidden="1" customHeight="1"/>
    <row r="267" ht="15" hidden="1" customHeight="1"/>
    <row r="268" ht="15" hidden="1" customHeight="1"/>
    <row r="269" ht="15" hidden="1" customHeight="1"/>
    <row r="270" ht="15" hidden="1" customHeight="1"/>
    <row r="271" ht="15" hidden="1" customHeight="1"/>
    <row r="272" ht="15" hidden="1" customHeight="1"/>
    <row r="273" ht="15" hidden="1" customHeight="1"/>
    <row r="274" ht="15" hidden="1" customHeight="1"/>
    <row r="275" ht="15" hidden="1" customHeight="1"/>
    <row r="276" ht="15" hidden="1" customHeight="1"/>
    <row r="277" ht="15" hidden="1" customHeight="1"/>
    <row r="278" ht="15" hidden="1" customHeight="1"/>
    <row r="279" ht="15" hidden="1" customHeight="1"/>
    <row r="280" ht="15" hidden="1" customHeight="1"/>
    <row r="281" ht="15" hidden="1" customHeight="1"/>
    <row r="282" ht="15" hidden="1" customHeight="1"/>
    <row r="283" ht="15" hidden="1" customHeight="1"/>
    <row r="284" ht="15" hidden="1" customHeight="1"/>
    <row r="285" ht="15" hidden="1" customHeight="1"/>
    <row r="286" ht="15" hidden="1" customHeight="1"/>
    <row r="287" ht="15" hidden="1" customHeight="1"/>
    <row r="288" ht="15" hidden="1" customHeight="1"/>
    <row r="289" ht="15" hidden="1" customHeight="1"/>
    <row r="290" ht="15" hidden="1" customHeight="1"/>
    <row r="291" ht="15" hidden="1" customHeight="1"/>
    <row r="292" ht="15" hidden="1" customHeight="1"/>
    <row r="293" ht="15" hidden="1" customHeight="1"/>
    <row r="294" ht="15" hidden="1" customHeight="1"/>
    <row r="295" ht="15" hidden="1" customHeight="1"/>
    <row r="296" ht="15" hidden="1" customHeight="1"/>
    <row r="297" ht="15" hidden="1" customHeight="1"/>
    <row r="298" ht="15" hidden="1" customHeight="1"/>
    <row r="299" ht="15" hidden="1" customHeight="1"/>
    <row r="300" ht="15" hidden="1" customHeight="1"/>
    <row r="301" ht="15" hidden="1" customHeight="1"/>
    <row r="302" ht="15" hidden="1" customHeight="1"/>
    <row r="303" ht="15" hidden="1" customHeight="1"/>
    <row r="304" ht="15" hidden="1" customHeight="1"/>
    <row r="305" ht="15" hidden="1" customHeight="1"/>
    <row r="306" ht="15" hidden="1" customHeight="1"/>
    <row r="307" ht="15" hidden="1" customHeight="1"/>
    <row r="308" ht="15" hidden="1" customHeight="1"/>
    <row r="309" ht="15" hidden="1" customHeight="1"/>
    <row r="310" ht="15" hidden="1" customHeight="1"/>
    <row r="311" ht="15" hidden="1" customHeight="1"/>
    <row r="312" ht="15" hidden="1" customHeight="1"/>
    <row r="313" ht="15" hidden="1" customHeight="1"/>
    <row r="314" ht="15" hidden="1" customHeight="1"/>
    <row r="315" ht="15" hidden="1" customHeight="1"/>
    <row r="316" ht="15" hidden="1" customHeight="1"/>
    <row r="317" ht="15" hidden="1" customHeight="1"/>
    <row r="318" ht="15" hidden="1" customHeight="1"/>
    <row r="319" ht="15" hidden="1" customHeight="1"/>
    <row r="320" ht="15" hidden="1" customHeight="1"/>
    <row r="321" ht="15" hidden="1" customHeight="1"/>
    <row r="322" ht="15" hidden="1" customHeight="1"/>
    <row r="323" ht="15" hidden="1" customHeight="1"/>
    <row r="324" ht="15" hidden="1" customHeight="1"/>
    <row r="325" ht="15" hidden="1" customHeight="1"/>
    <row r="326" ht="15" hidden="1" customHeight="1"/>
    <row r="327" ht="15" hidden="1" customHeight="1"/>
    <row r="328" ht="15" hidden="1" customHeight="1"/>
    <row r="329" ht="15" hidden="1" customHeight="1"/>
    <row r="330" ht="15" hidden="1" customHeight="1"/>
    <row r="331" ht="15" hidden="1" customHeight="1"/>
    <row r="332" ht="15" hidden="1" customHeight="1"/>
    <row r="333" ht="15" hidden="1" customHeight="1"/>
    <row r="334" ht="15" hidden="1" customHeight="1"/>
    <row r="335" ht="15" hidden="1" customHeight="1"/>
    <row r="336" ht="15" hidden="1" customHeight="1"/>
    <row r="337" ht="15" hidden="1" customHeight="1"/>
    <row r="338" ht="15" hidden="1" customHeight="1"/>
    <row r="339" ht="15" hidden="1" customHeight="1"/>
    <row r="340" ht="15" hidden="1" customHeight="1"/>
    <row r="341" ht="15" hidden="1" customHeight="1"/>
    <row r="342" ht="15" hidden="1" customHeight="1"/>
    <row r="343" ht="15" hidden="1" customHeight="1"/>
    <row r="344" ht="15" hidden="1" customHeight="1"/>
    <row r="345" ht="15" hidden="1" customHeight="1"/>
  </sheetData>
  <sheetProtection algorithmName="SHA-512" hashValue="q7FN7xrbliDJNg0elhQVper8UdIFc1/5AnSM46K7C9FABgsxfdbJAaE3jnoWLkndGxphO3EYDCWybtEF3sUnxg==" saltValue="wEW+NYzXiK2HIaqr3zaauw==" spinCount="100000" sheet="1" formatCells="0" selectLockedCells="1"/>
  <mergeCells count="135">
    <mergeCell ref="AB1:AH2"/>
    <mergeCell ref="B1:AA2"/>
    <mergeCell ref="T15:AA15"/>
    <mergeCell ref="B4:AG5"/>
    <mergeCell ref="B6:AG6"/>
    <mergeCell ref="H7:W7"/>
    <mergeCell ref="AA7:AG7"/>
    <mergeCell ref="G12:W12"/>
    <mergeCell ref="N15:P15"/>
    <mergeCell ref="B15:M15"/>
    <mergeCell ref="AB15:AD15"/>
    <mergeCell ref="X12:AG12"/>
    <mergeCell ref="K174:W174"/>
    <mergeCell ref="X174:AB174"/>
    <mergeCell ref="AC174:AG174"/>
    <mergeCell ref="B171:I171"/>
    <mergeCell ref="B9:AG9"/>
    <mergeCell ref="J10:W10"/>
    <mergeCell ref="AE10:AG10"/>
    <mergeCell ref="G11:W11"/>
    <mergeCell ref="AC11:AG11"/>
    <mergeCell ref="AE24:AG24"/>
    <mergeCell ref="Q15:S15"/>
    <mergeCell ref="Q16:S16"/>
    <mergeCell ref="B22:M22"/>
    <mergeCell ref="B16:M16"/>
    <mergeCell ref="T44:AG44"/>
    <mergeCell ref="B21:AG21"/>
    <mergeCell ref="K44:O44"/>
    <mergeCell ref="G42:O42"/>
    <mergeCell ref="B42:F42"/>
    <mergeCell ref="B31:AG31"/>
    <mergeCell ref="R33:T33"/>
    <mergeCell ref="O38:Q38"/>
    <mergeCell ref="O39:Q39"/>
    <mergeCell ref="T24:AA24"/>
    <mergeCell ref="B181:W181"/>
    <mergeCell ref="X181:AB181"/>
    <mergeCell ref="AC181:AG181"/>
    <mergeCell ref="B14:AG14"/>
    <mergeCell ref="AE15:AG15"/>
    <mergeCell ref="B179:W179"/>
    <mergeCell ref="X179:AB179"/>
    <mergeCell ref="AC179:AG179"/>
    <mergeCell ref="B180:W180"/>
    <mergeCell ref="X180:AB180"/>
    <mergeCell ref="T45:AG45"/>
    <mergeCell ref="B168:AG168"/>
    <mergeCell ref="L169:W169"/>
    <mergeCell ref="X169:AB169"/>
    <mergeCell ref="AC169:AG169"/>
    <mergeCell ref="L170:W170"/>
    <mergeCell ref="X170:AB170"/>
    <mergeCell ref="AC170:AG170"/>
    <mergeCell ref="B45:O45"/>
    <mergeCell ref="J171:AG171"/>
    <mergeCell ref="B172:I172"/>
    <mergeCell ref="J172:AG172"/>
    <mergeCell ref="B173:I174"/>
    <mergeCell ref="K173:AG173"/>
    <mergeCell ref="J175:M175"/>
    <mergeCell ref="X175:AB175"/>
    <mergeCell ref="AC175:AG175"/>
    <mergeCell ref="B176:W176"/>
    <mergeCell ref="X176:AB176"/>
    <mergeCell ref="AC176:AG176"/>
    <mergeCell ref="AC180:AG180"/>
    <mergeCell ref="B177:W177"/>
    <mergeCell ref="X177:AB177"/>
    <mergeCell ref="AC177:AG177"/>
    <mergeCell ref="B178:W178"/>
    <mergeCell ref="X178:AB178"/>
    <mergeCell ref="AC178:AG178"/>
    <mergeCell ref="O40:Q40"/>
    <mergeCell ref="U40:AG40"/>
    <mergeCell ref="R32:T32"/>
    <mergeCell ref="AB16:AD16"/>
    <mergeCell ref="AE16:AG16"/>
    <mergeCell ref="T16:AA16"/>
    <mergeCell ref="B25:M25"/>
    <mergeCell ref="B24:M24"/>
    <mergeCell ref="AE17:AG17"/>
    <mergeCell ref="AB17:AD17"/>
    <mergeCell ref="B17:AA17"/>
    <mergeCell ref="Q19:AG19"/>
    <mergeCell ref="B18:P18"/>
    <mergeCell ref="AB23:AD23"/>
    <mergeCell ref="R40:T40"/>
    <mergeCell ref="R39:T39"/>
    <mergeCell ref="R38:T38"/>
    <mergeCell ref="R37:T37"/>
    <mergeCell ref="R36:T36"/>
    <mergeCell ref="U36:AG36"/>
    <mergeCell ref="U37:AG37"/>
    <mergeCell ref="B23:M23"/>
    <mergeCell ref="T23:AA23"/>
    <mergeCell ref="P29:Q29"/>
    <mergeCell ref="U38:AG38"/>
    <mergeCell ref="U39:AG39"/>
    <mergeCell ref="O32:Q32"/>
    <mergeCell ref="T25:AA25"/>
    <mergeCell ref="O37:Q37"/>
    <mergeCell ref="O36:Q36"/>
    <mergeCell ref="AB24:AD24"/>
    <mergeCell ref="O35:Q35"/>
    <mergeCell ref="O33:Q33"/>
    <mergeCell ref="AF29:AG29"/>
    <mergeCell ref="B26:Q26"/>
    <mergeCell ref="R26:AG26"/>
    <mergeCell ref="M29:O29"/>
    <mergeCell ref="B29:L29"/>
    <mergeCell ref="R29:AB29"/>
    <mergeCell ref="AC29:AE29"/>
    <mergeCell ref="B27:M27"/>
    <mergeCell ref="B28:M28"/>
    <mergeCell ref="R27:AC27"/>
    <mergeCell ref="R28:AC28"/>
    <mergeCell ref="B32:N32"/>
    <mergeCell ref="N16:P16"/>
    <mergeCell ref="R35:T35"/>
    <mergeCell ref="U35:AG35"/>
    <mergeCell ref="R34:T34"/>
    <mergeCell ref="U32:AG32"/>
    <mergeCell ref="B35:N35"/>
    <mergeCell ref="O34:Q34"/>
    <mergeCell ref="B34:N34"/>
    <mergeCell ref="B33:N33"/>
    <mergeCell ref="N22:AG22"/>
    <mergeCell ref="Q25:S25"/>
    <mergeCell ref="Q24:S24"/>
    <mergeCell ref="Q23:S23"/>
    <mergeCell ref="AE23:AG23"/>
    <mergeCell ref="N25:P25"/>
    <mergeCell ref="N24:P24"/>
    <mergeCell ref="N23:P23"/>
  </mergeCells>
  <conditionalFormatting sqref="AB18">
    <cfRule type="containsText" dxfId="0" priority="1" operator="containsText" text="jsou">
      <formula>NOT(ISERROR(SEARCH("jsou",AB18)))</formula>
    </cfRule>
  </conditionalFormatting>
  <dataValidations count="16">
    <dataValidation allowBlank="1" showInputMessage="1" showErrorMessage="1" prompt="Elektrické ztráty rozvodu v budově je možné zjednodušeně uvažovat hodnotou 8% nebo je možné stanovit je výpočtem, který bude součástí posudku (zahrnuje ztráty na AC a DC vedení a, ztráty na regulátoru, popř. měniči)." sqref="AB25"/>
    <dataValidation allowBlank="1" showInputMessage="1" showErrorMessage="1" prompt="Jedná se o referenční účinnost při normových zkušebních podmínkách. Uveďte hodnotu stanovenou pro vybraný typ fotovoltaických panelů." sqref="AB24:AD24"/>
    <dataValidation allowBlank="1" showInputMessage="1" showErrorMessage="1" prompt="Jedná se o procentní snížení výkonu panelu vztažené na 1K zvýšení teploty oproti referenční teplotě článku. Uveďte hodnotu stanovenou pro Vámi vybraný fotovoltaický panel. Zpravidla záporná hodnota v rozmezí -0,25% (amorfní) až -0,50% (krystalické). " sqref="N25:P25"/>
    <dataValidation allowBlank="1" showInputMessage="1" showErrorMessage="1" prompt="Uveďte hodnotu stanovenou pro vybraný FV panel v jeho technické specifikaci. Pokud hodnota není uvedena, použijte hodnotu 4%." sqref="N24:P24"/>
    <dataValidation allowBlank="1" showInputMessage="1" showErrorMessage="1" prompt="Uveďte hodnotu stanovenou pro vybraný FV panel v jeho technické specifikaci. Pokud hodnota není uvedena, použijte hodnotu 45 °C." sqref="N23:P23"/>
    <dataValidation allowBlank="1" showInputMessage="1" showErrorMessage="1" prompt="Uveďte název a typové označení vybraného fotovoltaického panelu." sqref="N22:AG22"/>
    <dataValidation allowBlank="1" showInputMessage="1" showErrorMessage="1" prompt="Uveďte název a typové označení  vybraného zásobníku tepla." sqref="Q19:AG19"/>
    <dataValidation allowBlank="1" showInputMessage="1" showErrorMessage="1" prompt="Vyberte z uvedených možností v rozbalovacím seznamu." sqref="AG18 AF27:AF29"/>
    <dataValidation allowBlank="1" showInputMessage="1" showErrorMessage="1" prompt="Uveďte reálnou obsazenost budovy." sqref="N15:P15"/>
    <dataValidation allowBlank="1" showInputMessage="1" showErrorMessage="1" prompt="Uveďte objem Vámi vybraného zásobníku na přípravu TV, který bude napojen na FV systém. Objemem zásobníku se rozumí součet objemů všech kapalin uvnitř zásobníku, tj. včetně případných objemů vnořených výměníků tepla či zásobníků TV." sqref="AB17:AD17"/>
    <dataValidation type="decimal" allowBlank="1" showInputMessage="1" showErrorMessage="1" errorTitle="Špatné zadání rozsahu" error="Hodnota musí být od +19°C do +95°C" prompt="19 až 95 °C" sqref="AB16">
      <formula1>19</formula1>
      <formula2>95</formula2>
    </dataValidation>
    <dataValidation type="decimal" allowBlank="1" showInputMessage="1" showErrorMessage="1" errorTitle="Špatné zadání" error="Hodnota musí být mezi +5°C a +18°C" prompt="5 až 18 °C" sqref="N16">
      <formula1>5</formula1>
      <formula2>18</formula2>
    </dataValidation>
    <dataValidation allowBlank="1" showInputMessage="1" showErrorMessage="1" prompt="(min. 100 l / kWp)" sqref="J173"/>
    <dataValidation allowBlank="1" showInputMessage="1" showErrorMessage="1" prompt=" (min. 1,75 kWh / kWp)" sqref="J174"/>
    <dataValidation type="list" allowBlank="1" showInputMessage="1" showErrorMessage="1" sqref="J171:AH171">
      <formula1>$AJ$162:$AJ$165</formula1>
    </dataValidation>
    <dataValidation type="list" allowBlank="1" showInputMessage="1" showErrorMessage="1" sqref="J172:AH172">
      <formula1>$AJ$167:$AJ$169</formula1>
    </dataValidation>
  </dataValidations>
  <pageMargins left="0.6740196078431373" right="0.6740196078431373" top="1.1322463768115942" bottom="0.68840579710144922" header="0.3" footer="0.3"/>
  <pageSetup paperSize="9" orientation="portrait" r:id="rId1"/>
  <headerFooter>
    <oddHeader xml:space="preserve">&amp;C&amp;G&amp;R  </oddHeader>
    <oddFooter>&amp;L&amp;G&amp;R&amp;8   Vypracováno: &amp;D &amp;T            &amp;11
  &amp;P/&amp;N</oddFooter>
  </headerFooter>
  <drawing r:id="rId2"/>
  <legacyDrawing r:id="rId3"/>
  <legacyDrawingHF r:id="rId4"/>
  <mc:AlternateContent xmlns:mc="http://schemas.openxmlformats.org/markup-compatibility/2006">
    <mc:Choice Requires="x14">
      <controls>
        <mc:AlternateContent xmlns:mc="http://schemas.openxmlformats.org/markup-compatibility/2006">
          <mc:Choice Requires="x14">
            <control shapeId="2049" r:id="rId5" name="Drop Down 1">
              <controlPr defaultSize="0" autoLine="0" autoPict="0">
                <anchor moveWithCells="1">
                  <from>
                    <xdr:col>16</xdr:col>
                    <xdr:colOff>9525</xdr:colOff>
                    <xdr:row>17</xdr:row>
                    <xdr:rowOff>9525</xdr:rowOff>
                  </from>
                  <to>
                    <xdr:col>33</xdr:col>
                    <xdr:colOff>9525</xdr:colOff>
                    <xdr:row>18</xdr:row>
                    <xdr:rowOff>0</xdr:rowOff>
                  </to>
                </anchor>
              </controlPr>
            </control>
          </mc:Choice>
        </mc:AlternateContent>
        <mc:AlternateContent xmlns:mc="http://schemas.openxmlformats.org/markup-compatibility/2006">
          <mc:Choice Requires="x14">
            <control shapeId="2057" r:id="rId6" name="Drop Down 9">
              <controlPr defaultSize="0" autoLine="0" autoPict="0">
                <anchor moveWithCells="1">
                  <from>
                    <xdr:col>12</xdr:col>
                    <xdr:colOff>161925</xdr:colOff>
                    <xdr:row>25</xdr:row>
                    <xdr:rowOff>190500</xdr:rowOff>
                  </from>
                  <to>
                    <xdr:col>16</xdr:col>
                    <xdr:colOff>9525</xdr:colOff>
                    <xdr:row>27</xdr:row>
                    <xdr:rowOff>0</xdr:rowOff>
                  </to>
                </anchor>
              </controlPr>
            </control>
          </mc:Choice>
        </mc:AlternateContent>
        <mc:AlternateContent xmlns:mc="http://schemas.openxmlformats.org/markup-compatibility/2006">
          <mc:Choice Requires="x14">
            <control shapeId="2059" r:id="rId7" name="Drop Down 11">
              <controlPr defaultSize="0" autoLine="0" autoPict="0">
                <anchor moveWithCells="1">
                  <from>
                    <xdr:col>12</xdr:col>
                    <xdr:colOff>171450</xdr:colOff>
                    <xdr:row>27</xdr:row>
                    <xdr:rowOff>0</xdr:rowOff>
                  </from>
                  <to>
                    <xdr:col>16</xdr:col>
                    <xdr:colOff>9525</xdr:colOff>
                    <xdr:row>28</xdr:row>
                    <xdr:rowOff>0</xdr:rowOff>
                  </to>
                </anchor>
              </controlPr>
            </control>
          </mc:Choice>
        </mc:AlternateContent>
        <mc:AlternateContent xmlns:mc="http://schemas.openxmlformats.org/markup-compatibility/2006">
          <mc:Choice Requires="x14">
            <control shapeId="2060" r:id="rId8" name="Drop Down 12">
              <controlPr defaultSize="0" autoLine="0" autoPict="0">
                <anchor moveWithCells="1">
                  <from>
                    <xdr:col>29</xdr:col>
                    <xdr:colOff>0</xdr:colOff>
                    <xdr:row>26</xdr:row>
                    <xdr:rowOff>0</xdr:rowOff>
                  </from>
                  <to>
                    <xdr:col>32</xdr:col>
                    <xdr:colOff>9525</xdr:colOff>
                    <xdr:row>27</xdr:row>
                    <xdr:rowOff>0</xdr:rowOff>
                  </to>
                </anchor>
              </controlPr>
            </control>
          </mc:Choice>
        </mc:AlternateContent>
        <mc:AlternateContent xmlns:mc="http://schemas.openxmlformats.org/markup-compatibility/2006">
          <mc:Choice Requires="x14">
            <control shapeId="2061" r:id="rId9" name="Drop Down 13">
              <controlPr defaultSize="0" autoLine="0" autoPict="0">
                <anchor moveWithCells="1">
                  <from>
                    <xdr:col>29</xdr:col>
                    <xdr:colOff>0</xdr:colOff>
                    <xdr:row>27</xdr:row>
                    <xdr:rowOff>0</xdr:rowOff>
                  </from>
                  <to>
                    <xdr:col>32</xdr:col>
                    <xdr:colOff>9525</xdr:colOff>
                    <xdr:row>28</xdr:row>
                    <xdr:rowOff>0</xdr:rowOff>
                  </to>
                </anchor>
              </controlPr>
            </control>
          </mc:Choice>
        </mc:AlternateContent>
        <mc:AlternateContent xmlns:mc="http://schemas.openxmlformats.org/markup-compatibility/2006">
          <mc:Choice Requires="x14">
            <control shapeId="2062" r:id="rId10" name="Drop Down 14">
              <controlPr defaultSize="0" autoLine="0" autoPict="0">
                <anchor moveWithCells="1">
                  <from>
                    <xdr:col>6</xdr:col>
                    <xdr:colOff>19050</xdr:colOff>
                    <xdr:row>11</xdr:row>
                    <xdr:rowOff>0</xdr:rowOff>
                  </from>
                  <to>
                    <xdr:col>15</xdr:col>
                    <xdr:colOff>142875</xdr:colOff>
                    <xdr:row>12</xdr:row>
                    <xdr:rowOff>0</xdr:rowOff>
                  </to>
                </anchor>
              </controlPr>
            </control>
          </mc:Choice>
        </mc:AlternateContent>
        <mc:AlternateContent xmlns:mc="http://schemas.openxmlformats.org/markup-compatibility/2006">
          <mc:Choice Requires="x14">
            <control shapeId="2063" r:id="rId11" name="Drop Down 15">
              <controlPr defaultSize="0" autoLine="0" autoPict="0">
                <anchor moveWithCells="1">
                  <from>
                    <xdr:col>27</xdr:col>
                    <xdr:colOff>9525</xdr:colOff>
                    <xdr:row>24</xdr:row>
                    <xdr:rowOff>9525</xdr:rowOff>
                  </from>
                  <to>
                    <xdr:col>33</xdr:col>
                    <xdr:colOff>0</xdr:colOff>
                    <xdr:row>24</xdr:row>
                    <xdr:rowOff>190500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List11"/>
  <dimension ref="A1:V53"/>
  <sheetViews>
    <sheetView zoomScale="110" zoomScaleNormal="110" workbookViewId="0">
      <selection activeCell="G9" sqref="G9"/>
    </sheetView>
  </sheetViews>
  <sheetFormatPr defaultRowHeight="15"/>
  <cols>
    <col min="1" max="9" width="10.7109375" customWidth="1"/>
  </cols>
  <sheetData>
    <row r="1" spans="1:17">
      <c r="A1" s="34" t="s">
        <v>69</v>
      </c>
      <c r="I1" s="34" t="s">
        <v>70</v>
      </c>
    </row>
    <row r="3" spans="1:17">
      <c r="A3" s="34" t="s">
        <v>53</v>
      </c>
    </row>
    <row r="4" spans="1:17" ht="18">
      <c r="A4" t="s">
        <v>44</v>
      </c>
      <c r="E4" s="38" t="s">
        <v>76</v>
      </c>
      <c r="F4" s="131">
        <f>osoby</f>
        <v>0</v>
      </c>
      <c r="G4" t="s">
        <v>45</v>
      </c>
      <c r="K4" t="s">
        <v>46</v>
      </c>
      <c r="O4">
        <v>2</v>
      </c>
      <c r="Q4">
        <v>1</v>
      </c>
    </row>
    <row r="5" spans="1:17" ht="18">
      <c r="A5" t="s">
        <v>78</v>
      </c>
      <c r="E5" s="38" t="s">
        <v>92</v>
      </c>
      <c r="F5" s="131">
        <f>IF(Q4=1,40,35)</f>
        <v>40</v>
      </c>
      <c r="G5" t="s">
        <v>77</v>
      </c>
      <c r="K5" s="131" t="s">
        <v>47</v>
      </c>
      <c r="Q5" s="131" t="s">
        <v>246</v>
      </c>
    </row>
    <row r="6" spans="1:17" ht="18">
      <c r="A6" t="s">
        <v>71</v>
      </c>
      <c r="E6" s="38" t="s">
        <v>75</v>
      </c>
      <c r="F6" s="131">
        <v>10</v>
      </c>
      <c r="G6" t="s">
        <v>16</v>
      </c>
      <c r="K6" s="131" t="s">
        <v>48</v>
      </c>
      <c r="Q6" s="131" t="s">
        <v>247</v>
      </c>
    </row>
    <row r="7" spans="1:17" ht="18">
      <c r="A7" t="s">
        <v>72</v>
      </c>
      <c r="E7" s="38" t="s">
        <v>74</v>
      </c>
      <c r="F7" s="131">
        <v>55</v>
      </c>
      <c r="G7" t="s">
        <v>16</v>
      </c>
      <c r="K7" s="131" t="s">
        <v>49</v>
      </c>
    </row>
    <row r="8" spans="1:17">
      <c r="A8" t="s">
        <v>73</v>
      </c>
      <c r="E8" s="39" t="s">
        <v>65</v>
      </c>
      <c r="F8">
        <f>CHOOSE($O$4,0,15,30,100)</f>
        <v>15</v>
      </c>
      <c r="G8" t="s">
        <v>17</v>
      </c>
      <c r="K8" s="131" t="s">
        <v>50</v>
      </c>
    </row>
    <row r="9" spans="1:17">
      <c r="E9" s="38"/>
    </row>
    <row r="10" spans="1:17">
      <c r="E10" s="38"/>
    </row>
    <row r="11" spans="1:17">
      <c r="E11" s="38"/>
    </row>
    <row r="12" spans="1:17">
      <c r="A12" s="34" t="s">
        <v>12</v>
      </c>
      <c r="E12" s="38"/>
    </row>
    <row r="13" spans="1:17" ht="18">
      <c r="A13" t="s">
        <v>95</v>
      </c>
      <c r="E13" s="40" t="s">
        <v>79</v>
      </c>
      <c r="F13" s="131">
        <f>Ref_účinnost_href</f>
        <v>0</v>
      </c>
      <c r="G13" t="s">
        <v>13</v>
      </c>
    </row>
    <row r="14" spans="1:17">
      <c r="A14" t="s">
        <v>94</v>
      </c>
      <c r="E14" s="41" t="s">
        <v>59</v>
      </c>
      <c r="F14" s="131">
        <f>Výkonový_teplotní_součinitel_βγ*100</f>
        <v>0</v>
      </c>
      <c r="G14" t="s">
        <v>55</v>
      </c>
      <c r="H14" t="s">
        <v>249</v>
      </c>
    </row>
    <row r="15" spans="1:17" ht="18.75">
      <c r="A15" t="s">
        <v>93</v>
      </c>
      <c r="E15" s="40" t="s">
        <v>80</v>
      </c>
      <c r="F15" s="130">
        <f>Snížení_účinnosti_1000na200_ΔηG*100</f>
        <v>0</v>
      </c>
      <c r="G15" t="s">
        <v>17</v>
      </c>
      <c r="H15" t="s">
        <v>250</v>
      </c>
      <c r="K15" t="s">
        <v>64</v>
      </c>
      <c r="L15" s="35">
        <f>F15/100/LN(200/1000)</f>
        <v>0</v>
      </c>
    </row>
    <row r="16" spans="1:17">
      <c r="A16" t="s">
        <v>57</v>
      </c>
      <c r="E16" s="39" t="s">
        <v>58</v>
      </c>
      <c r="F16" s="131">
        <f>jmenovitá_provozní_teplota_článku_NOCT</f>
        <v>0</v>
      </c>
      <c r="G16" t="s">
        <v>16</v>
      </c>
      <c r="K16" t="s">
        <v>63</v>
      </c>
      <c r="L16">
        <f>0.95*800/(F16-20)</f>
        <v>-38</v>
      </c>
      <c r="M16" t="s">
        <v>15</v>
      </c>
    </row>
    <row r="17" spans="1:19" ht="18.75">
      <c r="A17" t="s">
        <v>56</v>
      </c>
      <c r="E17" s="38" t="s">
        <v>81</v>
      </c>
      <c r="F17">
        <v>1.6</v>
      </c>
      <c r="G17" t="s">
        <v>84</v>
      </c>
    </row>
    <row r="18" spans="1:19" ht="18.75">
      <c r="A18" t="s">
        <v>96</v>
      </c>
      <c r="E18" s="38" t="s">
        <v>86</v>
      </c>
      <c r="F18">
        <f>F17</f>
        <v>1.6</v>
      </c>
      <c r="G18" t="s">
        <v>84</v>
      </c>
      <c r="K18" t="s">
        <v>110</v>
      </c>
      <c r="L18" s="131">
        <f>IF(Q4=1,80,50)</f>
        <v>80</v>
      </c>
      <c r="M18" t="s">
        <v>111</v>
      </c>
    </row>
    <row r="19" spans="1:19">
      <c r="A19" t="s">
        <v>104</v>
      </c>
      <c r="F19" s="38" t="s">
        <v>105</v>
      </c>
      <c r="G19" s="38" t="s">
        <v>106</v>
      </c>
      <c r="K19" t="s">
        <v>112</v>
      </c>
      <c r="L19" s="43" t="e">
        <f>F13*F24</f>
        <v>#DIV/0!</v>
      </c>
      <c r="M19" t="s">
        <v>113</v>
      </c>
    </row>
    <row r="20" spans="1:19" ht="18">
      <c r="A20" t="s">
        <v>107</v>
      </c>
      <c r="E20" s="38" t="s">
        <v>82</v>
      </c>
      <c r="F20">
        <v>4</v>
      </c>
      <c r="G20">
        <v>4</v>
      </c>
      <c r="H20" t="s">
        <v>14</v>
      </c>
    </row>
    <row r="21" spans="1:19" ht="17.25">
      <c r="A21" t="s">
        <v>108</v>
      </c>
      <c r="F21" s="35" t="e">
        <f>Zadání!M29/F13</f>
        <v>#DIV/0!</v>
      </c>
      <c r="G21" s="35" t="e">
        <f>Zadání!AC29/F13</f>
        <v>#DIV/0!</v>
      </c>
      <c r="H21" t="s">
        <v>84</v>
      </c>
      <c r="K21" t="s">
        <v>102</v>
      </c>
      <c r="O21" t="s">
        <v>103</v>
      </c>
      <c r="S21" t="s">
        <v>61</v>
      </c>
    </row>
    <row r="22" spans="1:19">
      <c r="A22" s="131" t="s">
        <v>97</v>
      </c>
      <c r="K22" s="131" t="s">
        <v>27</v>
      </c>
      <c r="L22" s="131" t="s">
        <v>35</v>
      </c>
      <c r="M22" s="131"/>
      <c r="N22" s="131"/>
      <c r="O22" s="131" t="s">
        <v>27</v>
      </c>
      <c r="P22" s="131" t="s">
        <v>35</v>
      </c>
    </row>
    <row r="23" spans="1:19">
      <c r="A23" s="131" t="s">
        <v>98</v>
      </c>
      <c r="K23" s="131">
        <v>1</v>
      </c>
      <c r="L23" s="131">
        <v>1</v>
      </c>
      <c r="M23" s="131"/>
      <c r="N23" s="131"/>
      <c r="O23" s="131">
        <v>1</v>
      </c>
      <c r="P23" s="131">
        <v>1</v>
      </c>
      <c r="S23">
        <v>3</v>
      </c>
    </row>
    <row r="24" spans="1:19" ht="18.75">
      <c r="A24" t="s">
        <v>109</v>
      </c>
      <c r="E24" s="38" t="s">
        <v>83</v>
      </c>
      <c r="F24" s="35" t="e">
        <f>F21+G21</f>
        <v>#DIV/0!</v>
      </c>
      <c r="G24" t="s">
        <v>84</v>
      </c>
      <c r="K24" t="s">
        <v>28</v>
      </c>
      <c r="L24" t="s">
        <v>28</v>
      </c>
      <c r="M24">
        <v>0.9</v>
      </c>
      <c r="O24" t="s">
        <v>28</v>
      </c>
      <c r="P24" t="s">
        <v>28</v>
      </c>
      <c r="Q24">
        <v>0.9</v>
      </c>
      <c r="S24" s="131" t="s">
        <v>62</v>
      </c>
    </row>
    <row r="25" spans="1:19">
      <c r="A25" t="s">
        <v>114</v>
      </c>
      <c r="F25" s="28" t="e">
        <f>L18*L19</f>
        <v>#DIV/0!</v>
      </c>
      <c r="G25" t="s">
        <v>115</v>
      </c>
      <c r="K25" t="s">
        <v>29</v>
      </c>
      <c r="L25" t="s">
        <v>29</v>
      </c>
      <c r="M25">
        <v>0.9</v>
      </c>
      <c r="O25" t="s">
        <v>29</v>
      </c>
      <c r="P25" t="s">
        <v>29</v>
      </c>
      <c r="Q25">
        <v>0.9</v>
      </c>
      <c r="S25" s="131" t="s">
        <v>253</v>
      </c>
    </row>
    <row r="26" spans="1:19">
      <c r="K26" t="s">
        <v>30</v>
      </c>
      <c r="L26" t="s">
        <v>30</v>
      </c>
      <c r="M26">
        <v>0.9</v>
      </c>
      <c r="O26" t="s">
        <v>30</v>
      </c>
      <c r="P26" t="s">
        <v>30</v>
      </c>
      <c r="Q26">
        <v>0.9</v>
      </c>
      <c r="S26" s="131" t="s">
        <v>254</v>
      </c>
    </row>
    <row r="27" spans="1:19">
      <c r="A27" t="s">
        <v>60</v>
      </c>
      <c r="E27" s="39" t="s">
        <v>66</v>
      </c>
      <c r="F27" s="28">
        <f>CHOOSE($S$23,40,15,7)</f>
        <v>7</v>
      </c>
      <c r="G27" t="s">
        <v>17</v>
      </c>
      <c r="K27" t="s">
        <v>31</v>
      </c>
      <c r="L27" t="s">
        <v>31</v>
      </c>
      <c r="M27">
        <v>0.9</v>
      </c>
      <c r="O27" t="s">
        <v>31</v>
      </c>
      <c r="P27" t="s">
        <v>31</v>
      </c>
      <c r="Q27">
        <v>0.9</v>
      </c>
    </row>
    <row r="28" spans="1:19">
      <c r="K28" t="s">
        <v>32</v>
      </c>
      <c r="L28" t="s">
        <v>32</v>
      </c>
      <c r="M28">
        <v>0.8</v>
      </c>
      <c r="O28" t="s">
        <v>32</v>
      </c>
      <c r="P28" t="s">
        <v>32</v>
      </c>
      <c r="Q28">
        <v>0.8</v>
      </c>
    </row>
    <row r="29" spans="1:19" ht="15.75" thickBot="1">
      <c r="A29" s="34" t="s">
        <v>52</v>
      </c>
      <c r="K29" t="s">
        <v>33</v>
      </c>
      <c r="L29" t="s">
        <v>33</v>
      </c>
      <c r="M29">
        <v>0.75</v>
      </c>
      <c r="O29" t="s">
        <v>33</v>
      </c>
      <c r="P29" t="s">
        <v>33</v>
      </c>
      <c r="Q29">
        <v>0.75</v>
      </c>
    </row>
    <row r="30" spans="1:19" ht="15.75" thickBot="1">
      <c r="A30" t="s">
        <v>51</v>
      </c>
      <c r="E30" s="39" t="s">
        <v>87</v>
      </c>
      <c r="F30" s="33" t="e">
        <f>100*H47/F47</f>
        <v>#DIV/0!</v>
      </c>
      <c r="G30" s="34" t="s">
        <v>17</v>
      </c>
      <c r="K30" t="s">
        <v>34</v>
      </c>
      <c r="L30" t="s">
        <v>34</v>
      </c>
      <c r="M30">
        <v>0.7</v>
      </c>
      <c r="O30" t="s">
        <v>34</v>
      </c>
      <c r="P30" t="s">
        <v>34</v>
      </c>
      <c r="Q30">
        <v>0.7</v>
      </c>
    </row>
    <row r="31" spans="1:19" ht="19.5" thickBot="1">
      <c r="A31" t="s">
        <v>88</v>
      </c>
      <c r="E31" s="38" t="s">
        <v>89</v>
      </c>
      <c r="F31" s="33" t="e">
        <f>H47/(F20+G20)/F18</f>
        <v>#DIV/0!</v>
      </c>
      <c r="G31" s="34" t="s">
        <v>85</v>
      </c>
    </row>
    <row r="33" spans="1:19">
      <c r="A33" s="291" t="s">
        <v>43</v>
      </c>
      <c r="B33" s="23" t="s">
        <v>37</v>
      </c>
      <c r="C33" s="23" t="s">
        <v>38</v>
      </c>
      <c r="D33" s="23" t="s">
        <v>39</v>
      </c>
      <c r="E33" s="36" t="s">
        <v>67</v>
      </c>
      <c r="F33" s="23" t="s">
        <v>90</v>
      </c>
      <c r="G33" s="23" t="s">
        <v>68</v>
      </c>
      <c r="H33" s="23" t="s">
        <v>91</v>
      </c>
      <c r="L33" s="23" t="s">
        <v>38</v>
      </c>
      <c r="M33" s="23" t="s">
        <v>39</v>
      </c>
      <c r="N33" s="36" t="s">
        <v>67</v>
      </c>
      <c r="O33" s="23" t="s">
        <v>68</v>
      </c>
      <c r="P33" s="23" t="s">
        <v>38</v>
      </c>
      <c r="Q33" s="23" t="s">
        <v>39</v>
      </c>
      <c r="R33" s="36" t="s">
        <v>67</v>
      </c>
      <c r="S33" s="23" t="s">
        <v>68</v>
      </c>
    </row>
    <row r="34" spans="1:19">
      <c r="A34" s="291"/>
      <c r="B34" s="24" t="s">
        <v>16</v>
      </c>
      <c r="C34" s="24" t="s">
        <v>40</v>
      </c>
      <c r="D34" s="24" t="s">
        <v>41</v>
      </c>
      <c r="E34" s="27" t="s">
        <v>13</v>
      </c>
      <c r="F34" s="24" t="s">
        <v>42</v>
      </c>
      <c r="G34" s="24" t="s">
        <v>42</v>
      </c>
      <c r="H34" s="24" t="s">
        <v>42</v>
      </c>
      <c r="L34" s="24" t="s">
        <v>40</v>
      </c>
      <c r="M34" s="24" t="s">
        <v>41</v>
      </c>
      <c r="N34" s="27" t="s">
        <v>13</v>
      </c>
      <c r="O34" s="24" t="s">
        <v>42</v>
      </c>
      <c r="P34" s="24" t="s">
        <v>40</v>
      </c>
      <c r="Q34" s="24" t="s">
        <v>41</v>
      </c>
      <c r="R34" s="27" t="s">
        <v>13</v>
      </c>
      <c r="S34" s="24" t="s">
        <v>42</v>
      </c>
    </row>
    <row r="35" spans="1:19">
      <c r="A35" s="1" t="s">
        <v>0</v>
      </c>
      <c r="B35" s="25">
        <v>1.8</v>
      </c>
      <c r="C35" s="26" t="e">
        <f t="shared" ref="C35:C46" si="0">(L35*$F$21+P35*$G$21)/$F$24</f>
        <v>#DIV/0!</v>
      </c>
      <c r="D35" s="26" t="e">
        <f t="shared" ref="D35:D46" si="1">(M35*$F$21+Q35*$G$21)/$F$24</f>
        <v>#DIV/0!</v>
      </c>
      <c r="E35" s="37" t="e">
        <f>$F$13*(1+$F$14*(B35+C35*(0.95-$F$13)/$L$16-25)/100)*(1+$L$15*LN(C35/1000))</f>
        <v>#DIV/0!</v>
      </c>
      <c r="F35" s="30">
        <f t="shared" ref="F35:F46" si="2">K35*$F$4*$F$5*4187*($F$7-$F$6)*(1+$F$8/100)/3600000</f>
        <v>0</v>
      </c>
      <c r="G35" s="30" t="e">
        <f>O35+S35</f>
        <v>#DIV/0!</v>
      </c>
      <c r="H35" s="30" t="e">
        <f>MIN(F35,G35)</f>
        <v>#DIV/0!</v>
      </c>
      <c r="K35">
        <v>31</v>
      </c>
      <c r="L35" s="28">
        <f>G!C65</f>
        <v>175</v>
      </c>
      <c r="M35" s="28">
        <f>H!C65</f>
        <v>20.8</v>
      </c>
      <c r="N35" s="42">
        <f>$F$13*(1+$F$14*(B35+L35*(0.95-$F$13)/$L$16-25)/100)*(1+$L$15*LN(L35/1000))</f>
        <v>0</v>
      </c>
      <c r="O35" s="28" t="e">
        <f t="shared" ref="O35:O46" si="3">CHOOSE($L$23,$M$24,$M$25,$M$26,$M$27,$M$28,$M$29,$M$30)*N35*M35*$F$21*(1-$F$27/100)</f>
        <v>#DIV/0!</v>
      </c>
      <c r="P35" s="28">
        <f>G!R65</f>
        <v>175</v>
      </c>
      <c r="Q35" s="28">
        <f>H!R65</f>
        <v>20.8</v>
      </c>
      <c r="R35" s="42">
        <f>$F$13*(1+$F$14*(B35+P35*(0.95-$F$13)/$L$16-25)/100)*(1+$L$15*LN(P35/1000))</f>
        <v>0</v>
      </c>
      <c r="S35" s="28" t="e">
        <f t="shared" ref="S35:S46" si="4">CHOOSE($P$23,$Q$24,$Q$25,$Q$26,$Q$27,$Q$28,$Q$29,$Q$30)*R35*Q35*$G$21*(1-$F$27/100)</f>
        <v>#DIV/0!</v>
      </c>
    </row>
    <row r="36" spans="1:19">
      <c r="A36" s="1" t="s">
        <v>1</v>
      </c>
      <c r="B36" s="25">
        <v>2.7</v>
      </c>
      <c r="C36" s="26" t="e">
        <f t="shared" si="0"/>
        <v>#DIV/0!</v>
      </c>
      <c r="D36" s="26" t="e">
        <f t="shared" si="1"/>
        <v>#DIV/0!</v>
      </c>
      <c r="E36" s="37" t="e">
        <f t="shared" ref="E36:E46" si="5">$F$13*(1+$F$14*(B36+C36*(0.95-$F$13)/$L$16-25)/100)*(1+$L$15*LN(C36/1000))</f>
        <v>#DIV/0!</v>
      </c>
      <c r="F36" s="30">
        <f t="shared" si="2"/>
        <v>0</v>
      </c>
      <c r="G36" s="30" t="e">
        <f t="shared" ref="G36:G46" si="6">O36+S36</f>
        <v>#DIV/0!</v>
      </c>
      <c r="H36" s="30" t="e">
        <f t="shared" ref="H36:H46" si="7">MIN(F36,G36)</f>
        <v>#DIV/0!</v>
      </c>
      <c r="K36">
        <v>28</v>
      </c>
      <c r="L36" s="28">
        <f>G!D65</f>
        <v>253</v>
      </c>
      <c r="M36" s="28">
        <f>H!D65</f>
        <v>37</v>
      </c>
      <c r="N36" s="42">
        <f t="shared" ref="N36:N46" si="8">$F$13*(1+$F$14*(B36+L36*(0.95-$F$13)/$L$16-25)/100)*(1+$L$15*LN(L36/1000))</f>
        <v>0</v>
      </c>
      <c r="O36" s="28" t="e">
        <f t="shared" si="3"/>
        <v>#DIV/0!</v>
      </c>
      <c r="P36" s="28">
        <f>G!S65</f>
        <v>253</v>
      </c>
      <c r="Q36" s="28">
        <f>H!S65</f>
        <v>37</v>
      </c>
      <c r="R36" s="42">
        <f t="shared" ref="R36:R46" si="9">$F$13*(1+$F$14*(B36+P36*(0.95-$F$13)/$L$16-25)/100)*(1+$L$15*LN(P36/1000))</f>
        <v>0</v>
      </c>
      <c r="S36" s="28" t="e">
        <f t="shared" si="4"/>
        <v>#DIV/0!</v>
      </c>
    </row>
    <row r="37" spans="1:19">
      <c r="A37" s="1" t="s">
        <v>2</v>
      </c>
      <c r="B37" s="25">
        <v>6.3</v>
      </c>
      <c r="C37" s="26" t="e">
        <f t="shared" si="0"/>
        <v>#DIV/0!</v>
      </c>
      <c r="D37" s="26" t="e">
        <f t="shared" si="1"/>
        <v>#DIV/0!</v>
      </c>
      <c r="E37" s="37" t="e">
        <f t="shared" si="5"/>
        <v>#DIV/0!</v>
      </c>
      <c r="F37" s="30">
        <f t="shared" si="2"/>
        <v>0</v>
      </c>
      <c r="G37" s="30" t="e">
        <f t="shared" si="6"/>
        <v>#DIV/0!</v>
      </c>
      <c r="H37" s="30" t="e">
        <f t="shared" si="7"/>
        <v>#DIV/0!</v>
      </c>
      <c r="K37">
        <v>31</v>
      </c>
      <c r="L37" s="28">
        <f>G!E65</f>
        <v>365</v>
      </c>
      <c r="M37" s="28">
        <f>H!E65</f>
        <v>72.2</v>
      </c>
      <c r="N37" s="42">
        <f t="shared" si="8"/>
        <v>0</v>
      </c>
      <c r="O37" s="28" t="e">
        <f t="shared" si="3"/>
        <v>#DIV/0!</v>
      </c>
      <c r="P37" s="28">
        <f>G!T65</f>
        <v>365</v>
      </c>
      <c r="Q37" s="28">
        <f>H!T65</f>
        <v>72.2</v>
      </c>
      <c r="R37" s="42">
        <f t="shared" si="9"/>
        <v>0</v>
      </c>
      <c r="S37" s="28" t="e">
        <f t="shared" si="4"/>
        <v>#DIV/0!</v>
      </c>
    </row>
    <row r="38" spans="1:19">
      <c r="A38" s="1" t="s">
        <v>3</v>
      </c>
      <c r="B38" s="25">
        <v>10.7</v>
      </c>
      <c r="C38" s="26" t="e">
        <f t="shared" si="0"/>
        <v>#DIV/0!</v>
      </c>
      <c r="D38" s="26" t="e">
        <f t="shared" si="1"/>
        <v>#DIV/0!</v>
      </c>
      <c r="E38" s="37" t="e">
        <f t="shared" si="5"/>
        <v>#DIV/0!</v>
      </c>
      <c r="F38" s="30">
        <f t="shared" si="2"/>
        <v>0</v>
      </c>
      <c r="G38" s="30" t="e">
        <f t="shared" si="6"/>
        <v>#DIV/0!</v>
      </c>
      <c r="H38" s="30" t="e">
        <f t="shared" si="7"/>
        <v>#DIV/0!</v>
      </c>
      <c r="K38">
        <v>30</v>
      </c>
      <c r="L38" s="28">
        <f>G!F65</f>
        <v>446</v>
      </c>
      <c r="M38" s="28">
        <f>H!F65</f>
        <v>113.8</v>
      </c>
      <c r="N38" s="42">
        <f t="shared" si="8"/>
        <v>0</v>
      </c>
      <c r="O38" s="28" t="e">
        <f t="shared" si="3"/>
        <v>#DIV/0!</v>
      </c>
      <c r="P38" s="28">
        <f>G!U65</f>
        <v>446</v>
      </c>
      <c r="Q38" s="28">
        <f>H!U65</f>
        <v>113.8</v>
      </c>
      <c r="R38" s="42">
        <f t="shared" si="9"/>
        <v>0</v>
      </c>
      <c r="S38" s="28" t="e">
        <f t="shared" si="4"/>
        <v>#DIV/0!</v>
      </c>
    </row>
    <row r="39" spans="1:19">
      <c r="A39" s="1" t="s">
        <v>4</v>
      </c>
      <c r="B39" s="25">
        <v>16</v>
      </c>
      <c r="C39" s="26" t="e">
        <f t="shared" si="0"/>
        <v>#DIV/0!</v>
      </c>
      <c r="D39" s="26" t="e">
        <f t="shared" si="1"/>
        <v>#DIV/0!</v>
      </c>
      <c r="E39" s="37" t="e">
        <f t="shared" si="5"/>
        <v>#DIV/0!</v>
      </c>
      <c r="F39" s="30">
        <f t="shared" si="2"/>
        <v>0</v>
      </c>
      <c r="G39" s="30" t="e">
        <f t="shared" si="6"/>
        <v>#DIV/0!</v>
      </c>
      <c r="H39" s="30" t="e">
        <f t="shared" si="7"/>
        <v>#DIV/0!</v>
      </c>
      <c r="K39">
        <v>31</v>
      </c>
      <c r="L39" s="28">
        <f>G!G65</f>
        <v>498</v>
      </c>
      <c r="M39" s="28">
        <f>H!G65</f>
        <v>148.80000000000001</v>
      </c>
      <c r="N39" s="42">
        <f t="shared" si="8"/>
        <v>0</v>
      </c>
      <c r="O39" s="28" t="e">
        <f t="shared" si="3"/>
        <v>#DIV/0!</v>
      </c>
      <c r="P39" s="28">
        <f>G!V65</f>
        <v>498</v>
      </c>
      <c r="Q39" s="28">
        <f>H!V65</f>
        <v>148.80000000000001</v>
      </c>
      <c r="R39" s="42">
        <f t="shared" si="9"/>
        <v>0</v>
      </c>
      <c r="S39" s="28" t="e">
        <f t="shared" si="4"/>
        <v>#DIV/0!</v>
      </c>
    </row>
    <row r="40" spans="1:19">
      <c r="A40" s="1" t="s">
        <v>5</v>
      </c>
      <c r="B40" s="25">
        <v>18.600000000000001</v>
      </c>
      <c r="C40" s="26" t="e">
        <f t="shared" si="0"/>
        <v>#DIV/0!</v>
      </c>
      <c r="D40" s="26" t="e">
        <f t="shared" si="1"/>
        <v>#DIV/0!</v>
      </c>
      <c r="E40" s="37" t="e">
        <f t="shared" si="5"/>
        <v>#DIV/0!</v>
      </c>
      <c r="F40" s="30">
        <f t="shared" si="2"/>
        <v>0</v>
      </c>
      <c r="G40" s="30" t="e">
        <f t="shared" si="6"/>
        <v>#DIV/0!</v>
      </c>
      <c r="H40" s="30" t="e">
        <f t="shared" si="7"/>
        <v>#DIV/0!</v>
      </c>
      <c r="K40">
        <v>30</v>
      </c>
      <c r="L40" s="28">
        <f>G!H65</f>
        <v>514</v>
      </c>
      <c r="M40" s="28">
        <f>H!H65</f>
        <v>146.19999999999999</v>
      </c>
      <c r="N40" s="42">
        <f t="shared" si="8"/>
        <v>0</v>
      </c>
      <c r="O40" s="28" t="e">
        <f t="shared" si="3"/>
        <v>#DIV/0!</v>
      </c>
      <c r="P40" s="28">
        <f>G!W65</f>
        <v>514</v>
      </c>
      <c r="Q40" s="28">
        <f>H!W65</f>
        <v>146.19999999999999</v>
      </c>
      <c r="R40" s="42">
        <f t="shared" si="9"/>
        <v>0</v>
      </c>
      <c r="S40" s="28" t="e">
        <f t="shared" si="4"/>
        <v>#DIV/0!</v>
      </c>
    </row>
    <row r="41" spans="1:19">
      <c r="A41" s="1" t="s">
        <v>6</v>
      </c>
      <c r="B41" s="25">
        <v>20.5</v>
      </c>
      <c r="C41" s="26" t="e">
        <f t="shared" si="0"/>
        <v>#DIV/0!</v>
      </c>
      <c r="D41" s="26" t="e">
        <f t="shared" si="1"/>
        <v>#DIV/0!</v>
      </c>
      <c r="E41" s="37" t="e">
        <f t="shared" si="5"/>
        <v>#DIV/0!</v>
      </c>
      <c r="F41" s="30">
        <f t="shared" si="2"/>
        <v>0</v>
      </c>
      <c r="G41" s="30" t="e">
        <f t="shared" si="6"/>
        <v>#DIV/0!</v>
      </c>
      <c r="H41" s="30" t="e">
        <f t="shared" si="7"/>
        <v>#DIV/0!</v>
      </c>
      <c r="K41">
        <v>31</v>
      </c>
      <c r="L41" s="28">
        <f>G!I65</f>
        <v>501</v>
      </c>
      <c r="M41" s="28">
        <f>H!I65</f>
        <v>144.30000000000001</v>
      </c>
      <c r="N41" s="42">
        <f t="shared" si="8"/>
        <v>0</v>
      </c>
      <c r="O41" s="28" t="e">
        <f t="shared" si="3"/>
        <v>#DIV/0!</v>
      </c>
      <c r="P41" s="28">
        <f>G!X65</f>
        <v>501</v>
      </c>
      <c r="Q41" s="28">
        <f>H!X65</f>
        <v>144.30000000000001</v>
      </c>
      <c r="R41" s="42">
        <f t="shared" si="9"/>
        <v>0</v>
      </c>
      <c r="S41" s="28" t="e">
        <f t="shared" si="4"/>
        <v>#DIV/0!</v>
      </c>
    </row>
    <row r="42" spans="1:19">
      <c r="A42" s="1" t="s">
        <v>7</v>
      </c>
      <c r="B42" s="25">
        <v>21.1</v>
      </c>
      <c r="C42" s="26" t="e">
        <f t="shared" si="0"/>
        <v>#DIV/0!</v>
      </c>
      <c r="D42" s="26" t="e">
        <f t="shared" si="1"/>
        <v>#DIV/0!</v>
      </c>
      <c r="E42" s="37" t="e">
        <f t="shared" si="5"/>
        <v>#DIV/0!</v>
      </c>
      <c r="F42" s="30">
        <f t="shared" si="2"/>
        <v>0</v>
      </c>
      <c r="G42" s="30" t="e">
        <f t="shared" si="6"/>
        <v>#DIV/0!</v>
      </c>
      <c r="H42" s="30" t="e">
        <f t="shared" si="7"/>
        <v>#DIV/0!</v>
      </c>
      <c r="K42">
        <v>31</v>
      </c>
      <c r="L42" s="28">
        <f>G!J65</f>
        <v>462</v>
      </c>
      <c r="M42" s="28">
        <f>H!J65</f>
        <v>136.19999999999999</v>
      </c>
      <c r="N42" s="42">
        <f t="shared" si="8"/>
        <v>0</v>
      </c>
      <c r="O42" s="28" t="e">
        <f t="shared" si="3"/>
        <v>#DIV/0!</v>
      </c>
      <c r="P42" s="28">
        <f>G!Y65</f>
        <v>462</v>
      </c>
      <c r="Q42" s="28">
        <f>H!Y65</f>
        <v>136.19999999999999</v>
      </c>
      <c r="R42" s="42">
        <f t="shared" si="9"/>
        <v>0</v>
      </c>
      <c r="S42" s="28" t="e">
        <f t="shared" si="4"/>
        <v>#DIV/0!</v>
      </c>
    </row>
    <row r="43" spans="1:19">
      <c r="A43" s="1" t="s">
        <v>8</v>
      </c>
      <c r="B43" s="25">
        <v>17.100000000000001</v>
      </c>
      <c r="C43" s="26" t="e">
        <f t="shared" si="0"/>
        <v>#DIV/0!</v>
      </c>
      <c r="D43" s="26" t="e">
        <f t="shared" si="1"/>
        <v>#DIV/0!</v>
      </c>
      <c r="E43" s="37" t="e">
        <f t="shared" si="5"/>
        <v>#DIV/0!</v>
      </c>
      <c r="F43" s="30">
        <f t="shared" si="2"/>
        <v>0</v>
      </c>
      <c r="G43" s="30" t="e">
        <f t="shared" si="6"/>
        <v>#DIV/0!</v>
      </c>
      <c r="H43" s="30" t="e">
        <f t="shared" si="7"/>
        <v>#DIV/0!</v>
      </c>
      <c r="K43">
        <v>30</v>
      </c>
      <c r="L43" s="28">
        <f>G!K65</f>
        <v>388</v>
      </c>
      <c r="M43" s="28">
        <f>H!K65</f>
        <v>87.1</v>
      </c>
      <c r="N43" s="42">
        <f t="shared" si="8"/>
        <v>0</v>
      </c>
      <c r="O43" s="28" t="e">
        <f t="shared" si="3"/>
        <v>#DIV/0!</v>
      </c>
      <c r="P43" s="28">
        <f>G!Z65</f>
        <v>388</v>
      </c>
      <c r="Q43" s="28">
        <f>H!Z65</f>
        <v>87.1</v>
      </c>
      <c r="R43" s="42">
        <f t="shared" si="9"/>
        <v>0</v>
      </c>
      <c r="S43" s="28" t="e">
        <f t="shared" si="4"/>
        <v>#DIV/0!</v>
      </c>
    </row>
    <row r="44" spans="1:19">
      <c r="A44" s="1" t="s">
        <v>9</v>
      </c>
      <c r="B44" s="25">
        <v>11.7</v>
      </c>
      <c r="C44" s="26" t="e">
        <f t="shared" si="0"/>
        <v>#DIV/0!</v>
      </c>
      <c r="D44" s="26" t="e">
        <f t="shared" si="1"/>
        <v>#DIV/0!</v>
      </c>
      <c r="E44" s="37" t="e">
        <f t="shared" si="5"/>
        <v>#DIV/0!</v>
      </c>
      <c r="F44" s="30">
        <f t="shared" si="2"/>
        <v>0</v>
      </c>
      <c r="G44" s="30" t="e">
        <f t="shared" si="6"/>
        <v>#DIV/0!</v>
      </c>
      <c r="H44" s="30" t="e">
        <f t="shared" si="7"/>
        <v>#DIV/0!</v>
      </c>
      <c r="K44">
        <v>31</v>
      </c>
      <c r="L44" s="28">
        <f>G!L65</f>
        <v>285</v>
      </c>
      <c r="M44" s="28">
        <f>H!L65</f>
        <v>56.5</v>
      </c>
      <c r="N44" s="42">
        <f t="shared" si="8"/>
        <v>0</v>
      </c>
      <c r="O44" s="28" t="e">
        <f t="shared" si="3"/>
        <v>#DIV/0!</v>
      </c>
      <c r="P44" s="28">
        <f>G!AA65</f>
        <v>285</v>
      </c>
      <c r="Q44" s="28">
        <f>H!AA65</f>
        <v>56.5</v>
      </c>
      <c r="R44" s="42">
        <f t="shared" si="9"/>
        <v>0</v>
      </c>
      <c r="S44" s="28" t="e">
        <f t="shared" si="4"/>
        <v>#DIV/0!</v>
      </c>
    </row>
    <row r="45" spans="1:19">
      <c r="A45" s="1" t="s">
        <v>10</v>
      </c>
      <c r="B45" s="25">
        <v>6.4</v>
      </c>
      <c r="C45" s="26" t="e">
        <f t="shared" si="0"/>
        <v>#DIV/0!</v>
      </c>
      <c r="D45" s="26" t="e">
        <f t="shared" si="1"/>
        <v>#DIV/0!</v>
      </c>
      <c r="E45" s="37" t="e">
        <f t="shared" si="5"/>
        <v>#DIV/0!</v>
      </c>
      <c r="F45" s="30">
        <f t="shared" si="2"/>
        <v>0</v>
      </c>
      <c r="G45" s="30" t="e">
        <f t="shared" si="6"/>
        <v>#DIV/0!</v>
      </c>
      <c r="H45" s="30" t="e">
        <f t="shared" si="7"/>
        <v>#DIV/0!</v>
      </c>
      <c r="K45">
        <v>30</v>
      </c>
      <c r="L45" s="28">
        <f>G!M65</f>
        <v>195</v>
      </c>
      <c r="M45" s="28">
        <f>H!M65</f>
        <v>25.2</v>
      </c>
      <c r="N45" s="42">
        <f t="shared" si="8"/>
        <v>0</v>
      </c>
      <c r="O45" s="28" t="e">
        <f t="shared" si="3"/>
        <v>#DIV/0!</v>
      </c>
      <c r="P45" s="28">
        <f>G!AB65</f>
        <v>195</v>
      </c>
      <c r="Q45" s="28">
        <f>H!AB65</f>
        <v>25.2</v>
      </c>
      <c r="R45" s="42">
        <f t="shared" si="9"/>
        <v>0</v>
      </c>
      <c r="S45" s="28" t="e">
        <f t="shared" si="4"/>
        <v>#DIV/0!</v>
      </c>
    </row>
    <row r="46" spans="1:19" ht="15.75" thickBot="1">
      <c r="A46" s="1" t="s">
        <v>11</v>
      </c>
      <c r="B46" s="25">
        <v>3.6</v>
      </c>
      <c r="C46" s="26" t="e">
        <f t="shared" si="0"/>
        <v>#DIV/0!</v>
      </c>
      <c r="D46" s="26" t="e">
        <f t="shared" si="1"/>
        <v>#DIV/0!</v>
      </c>
      <c r="E46" s="37" t="e">
        <f t="shared" si="5"/>
        <v>#DIV/0!</v>
      </c>
      <c r="F46" s="31">
        <f t="shared" si="2"/>
        <v>0</v>
      </c>
      <c r="G46" s="30" t="e">
        <f t="shared" si="6"/>
        <v>#DIV/0!</v>
      </c>
      <c r="H46" s="30" t="e">
        <f t="shared" si="7"/>
        <v>#DIV/0!</v>
      </c>
      <c r="K46">
        <v>31</v>
      </c>
      <c r="L46" s="28">
        <f>G!N65</f>
        <v>150</v>
      </c>
      <c r="M46" s="28">
        <f>H!N65</f>
        <v>14.9</v>
      </c>
      <c r="N46" s="42">
        <f t="shared" si="8"/>
        <v>0</v>
      </c>
      <c r="O46" s="28" t="e">
        <f t="shared" si="3"/>
        <v>#DIV/0!</v>
      </c>
      <c r="P46" s="28">
        <f>G!AC65</f>
        <v>150</v>
      </c>
      <c r="Q46" s="28">
        <f>H!AC65</f>
        <v>14.9</v>
      </c>
      <c r="R46" s="42">
        <f t="shared" si="9"/>
        <v>0</v>
      </c>
      <c r="S46" s="28" t="e">
        <f t="shared" si="4"/>
        <v>#DIV/0!</v>
      </c>
    </row>
    <row r="47" spans="1:19" ht="15.75" thickBot="1">
      <c r="A47" s="29"/>
      <c r="B47" s="29"/>
      <c r="C47" s="29"/>
      <c r="D47" s="29"/>
      <c r="E47" s="29"/>
      <c r="F47" s="32">
        <f>SUM(F35:F46)</f>
        <v>0</v>
      </c>
      <c r="G47" s="29"/>
      <c r="H47" s="32" t="e">
        <f>SUM(H35:H46)</f>
        <v>#DIV/0!</v>
      </c>
    </row>
    <row r="53" spans="22:22">
      <c r="V53">
        <v>5</v>
      </c>
    </row>
  </sheetData>
  <mergeCells count="1">
    <mergeCell ref="A33:A34"/>
  </mergeCells>
  <pageMargins left="0.7" right="0.7" top="0.78740157499999996" bottom="0.78740157499999996" header="0.3" footer="0.3"/>
  <pageSetup paperSize="9" orientation="portrait" horizontalDpi="4294967295" verticalDpi="4294967295" r:id="rId1"/>
  <drawing r:id="rId2"/>
  <legacyDrawing r:id="rId3"/>
  <mc:AlternateContent xmlns:mc="http://schemas.openxmlformats.org/markup-compatibility/2006">
    <mc:Choice Requires="x14">
      <controls>
        <mc:AlternateContent xmlns:mc="http://schemas.openxmlformats.org/markup-compatibility/2006">
          <mc:Choice Requires="x14">
            <control shapeId="1025" r:id="rId4" name="Drop Down 1">
              <controlPr locked="0" defaultSize="0" autoLine="0" autoPict="0">
                <anchor moveWithCells="1">
                  <from>
                    <xdr:col>4</xdr:col>
                    <xdr:colOff>714375</xdr:colOff>
                    <xdr:row>21</xdr:row>
                    <xdr:rowOff>0</xdr:rowOff>
                  </from>
                  <to>
                    <xdr:col>6</xdr:col>
                    <xdr:colOff>0</xdr:colOff>
                    <xdr:row>22</xdr:row>
                    <xdr:rowOff>0</xdr:rowOff>
                  </to>
                </anchor>
              </controlPr>
            </control>
          </mc:Choice>
        </mc:AlternateContent>
        <mc:AlternateContent xmlns:mc="http://schemas.openxmlformats.org/markup-compatibility/2006">
          <mc:Choice Requires="x14">
            <control shapeId="1026" r:id="rId5" name="Drop Down 2">
              <controlPr locked="0" defaultSize="0" autoLine="0" autoPict="0">
                <anchor moveWithCells="1">
                  <from>
                    <xdr:col>4</xdr:col>
                    <xdr:colOff>714375</xdr:colOff>
                    <xdr:row>22</xdr:row>
                    <xdr:rowOff>0</xdr:rowOff>
                  </from>
                  <to>
                    <xdr:col>6</xdr:col>
                    <xdr:colOff>0</xdr:colOff>
                    <xdr:row>23</xdr:row>
                    <xdr:rowOff>0</xdr:rowOff>
                  </to>
                </anchor>
              </controlPr>
            </control>
          </mc:Choice>
        </mc:AlternateContent>
        <mc:AlternateContent xmlns:mc="http://schemas.openxmlformats.org/markup-compatibility/2006">
          <mc:Choice Requires="x14">
            <control shapeId="1028" r:id="rId6" name="Drop Down 4">
              <controlPr locked="0" defaultSize="0" autoLine="0" autoPict="0">
                <anchor moveWithCells="1">
                  <from>
                    <xdr:col>3</xdr:col>
                    <xdr:colOff>0</xdr:colOff>
                    <xdr:row>26</xdr:row>
                    <xdr:rowOff>0</xdr:rowOff>
                  </from>
                  <to>
                    <xdr:col>4</xdr:col>
                    <xdr:colOff>0</xdr:colOff>
                    <xdr:row>27</xdr:row>
                    <xdr:rowOff>0</xdr:rowOff>
                  </to>
                </anchor>
              </controlPr>
            </control>
          </mc:Choice>
        </mc:AlternateContent>
        <mc:AlternateContent xmlns:mc="http://schemas.openxmlformats.org/markup-compatibility/2006">
          <mc:Choice Requires="x14">
            <control shapeId="1029" r:id="rId7" name="Drop Down 5">
              <controlPr locked="0" defaultSize="0" autoLine="0" autoPict="0">
                <anchor moveWithCells="1">
                  <from>
                    <xdr:col>6</xdr:col>
                    <xdr:colOff>0</xdr:colOff>
                    <xdr:row>21</xdr:row>
                    <xdr:rowOff>0</xdr:rowOff>
                  </from>
                  <to>
                    <xdr:col>7</xdr:col>
                    <xdr:colOff>0</xdr:colOff>
                    <xdr:row>22</xdr:row>
                    <xdr:rowOff>0</xdr:rowOff>
                  </to>
                </anchor>
              </controlPr>
            </control>
          </mc:Choice>
        </mc:AlternateContent>
        <mc:AlternateContent xmlns:mc="http://schemas.openxmlformats.org/markup-compatibility/2006">
          <mc:Choice Requires="x14">
            <control shapeId="1030" r:id="rId8" name="Drop Down 6">
              <controlPr locked="0" defaultSize="0" autoLine="0" autoPict="0">
                <anchor moveWithCells="1">
                  <from>
                    <xdr:col>6</xdr:col>
                    <xdr:colOff>0</xdr:colOff>
                    <xdr:row>22</xdr:row>
                    <xdr:rowOff>0</xdr:rowOff>
                  </from>
                  <to>
                    <xdr:col>7</xdr:col>
                    <xdr:colOff>0</xdr:colOff>
                    <xdr:row>23</xdr:row>
                    <xdr:rowOff>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List2"/>
  <dimension ref="A1:AC65"/>
  <sheetViews>
    <sheetView zoomScale="85" zoomScaleNormal="85" workbookViewId="0">
      <selection activeCell="S66" sqref="S66"/>
    </sheetView>
  </sheetViews>
  <sheetFormatPr defaultRowHeight="15"/>
  <sheetData>
    <row r="1" spans="1:29" ht="37.5" thickTop="1" thickBot="1">
      <c r="A1" s="2"/>
      <c r="B1" s="16" t="s">
        <v>18</v>
      </c>
      <c r="C1" s="295" t="s">
        <v>36</v>
      </c>
      <c r="D1" s="296"/>
      <c r="E1" s="296"/>
      <c r="F1" s="296"/>
      <c r="G1" s="296"/>
      <c r="H1" s="296"/>
      <c r="I1" s="296"/>
      <c r="J1" s="296"/>
      <c r="K1" s="296"/>
      <c r="L1" s="296"/>
      <c r="M1" s="296"/>
      <c r="N1" s="297"/>
      <c r="P1" s="2"/>
      <c r="Q1" s="16" t="s">
        <v>18</v>
      </c>
      <c r="R1" s="295" t="s">
        <v>36</v>
      </c>
      <c r="S1" s="296"/>
      <c r="T1" s="296"/>
      <c r="U1" s="296"/>
      <c r="V1" s="296"/>
      <c r="W1" s="296"/>
      <c r="X1" s="296"/>
      <c r="Y1" s="296"/>
      <c r="Z1" s="296"/>
      <c r="AA1" s="296"/>
      <c r="AB1" s="296"/>
      <c r="AC1" s="297"/>
    </row>
    <row r="2" spans="1:29" ht="15.75" thickBot="1">
      <c r="A2" s="2"/>
      <c r="B2" s="17" t="s">
        <v>19</v>
      </c>
      <c r="C2" s="5" t="s">
        <v>0</v>
      </c>
      <c r="D2" s="5" t="s">
        <v>1</v>
      </c>
      <c r="E2" s="5" t="s">
        <v>2</v>
      </c>
      <c r="F2" s="5" t="s">
        <v>3</v>
      </c>
      <c r="G2" s="5" t="s">
        <v>4</v>
      </c>
      <c r="H2" s="5" t="s">
        <v>20</v>
      </c>
      <c r="I2" s="5" t="s">
        <v>6</v>
      </c>
      <c r="J2" s="5" t="s">
        <v>7</v>
      </c>
      <c r="K2" s="5" t="s">
        <v>8</v>
      </c>
      <c r="L2" s="5" t="s">
        <v>9</v>
      </c>
      <c r="M2" s="5" t="s">
        <v>10</v>
      </c>
      <c r="N2" s="8" t="s">
        <v>11</v>
      </c>
      <c r="P2" s="2"/>
      <c r="Q2" s="17" t="s">
        <v>19</v>
      </c>
      <c r="R2" s="5" t="s">
        <v>0</v>
      </c>
      <c r="S2" s="5" t="s">
        <v>1</v>
      </c>
      <c r="T2" s="5" t="s">
        <v>2</v>
      </c>
      <c r="U2" s="5" t="s">
        <v>3</v>
      </c>
      <c r="V2" s="5" t="s">
        <v>4</v>
      </c>
      <c r="W2" s="5" t="s">
        <v>20</v>
      </c>
      <c r="X2" s="5" t="s">
        <v>6</v>
      </c>
      <c r="Y2" s="5" t="s">
        <v>7</v>
      </c>
      <c r="Z2" s="5" t="s">
        <v>8</v>
      </c>
      <c r="AA2" s="5" t="s">
        <v>9</v>
      </c>
      <c r="AB2" s="5" t="s">
        <v>10</v>
      </c>
      <c r="AC2" s="8" t="s">
        <v>11</v>
      </c>
    </row>
    <row r="3" spans="1:29" ht="16.5" thickTop="1" thickBot="1">
      <c r="A3" s="2"/>
      <c r="B3" s="292" t="s">
        <v>21</v>
      </c>
      <c r="C3" s="293"/>
      <c r="D3" s="293"/>
      <c r="E3" s="293"/>
      <c r="F3" s="293"/>
      <c r="G3" s="293"/>
      <c r="H3" s="293"/>
      <c r="I3" s="293"/>
      <c r="J3" s="293"/>
      <c r="K3" s="293"/>
      <c r="L3" s="293"/>
      <c r="M3" s="293"/>
      <c r="N3" s="294"/>
      <c r="P3" s="2"/>
      <c r="Q3" s="292" t="s">
        <v>21</v>
      </c>
      <c r="R3" s="293"/>
      <c r="S3" s="293"/>
      <c r="T3" s="293"/>
      <c r="U3" s="293"/>
      <c r="V3" s="293"/>
      <c r="W3" s="293"/>
      <c r="X3" s="293"/>
      <c r="Y3" s="293"/>
      <c r="Z3" s="293"/>
      <c r="AA3" s="293"/>
      <c r="AB3" s="293"/>
      <c r="AC3" s="294"/>
    </row>
    <row r="4" spans="1:29" ht="15.75" thickBot="1">
      <c r="A4" s="2">
        <v>0</v>
      </c>
      <c r="B4" s="11">
        <v>0</v>
      </c>
      <c r="C4" s="4">
        <v>20.8</v>
      </c>
      <c r="D4" s="4">
        <v>37</v>
      </c>
      <c r="E4" s="4">
        <v>72.2</v>
      </c>
      <c r="F4" s="4">
        <v>113.8</v>
      </c>
      <c r="G4" s="4">
        <v>148.80000000000001</v>
      </c>
      <c r="H4" s="4">
        <v>146.19999999999999</v>
      </c>
      <c r="I4" s="4">
        <v>144.30000000000001</v>
      </c>
      <c r="J4" s="4">
        <v>136.19999999999999</v>
      </c>
      <c r="K4" s="4">
        <v>87.1</v>
      </c>
      <c r="L4" s="4">
        <v>56.5</v>
      </c>
      <c r="M4" s="4">
        <v>25.2</v>
      </c>
      <c r="N4" s="18">
        <v>14.9</v>
      </c>
      <c r="P4" s="2">
        <v>0</v>
      </c>
      <c r="Q4" s="11">
        <v>0</v>
      </c>
      <c r="R4" s="4">
        <v>20.8</v>
      </c>
      <c r="S4" s="4">
        <v>37</v>
      </c>
      <c r="T4" s="4">
        <v>72.2</v>
      </c>
      <c r="U4" s="4">
        <v>113.8</v>
      </c>
      <c r="V4" s="4">
        <v>148.80000000000001</v>
      </c>
      <c r="W4" s="4">
        <v>146.19999999999999</v>
      </c>
      <c r="X4" s="4">
        <v>144.30000000000001</v>
      </c>
      <c r="Y4" s="4">
        <v>136.19999999999999</v>
      </c>
      <c r="Z4" s="4">
        <v>87.1</v>
      </c>
      <c r="AA4" s="4">
        <v>56.5</v>
      </c>
      <c r="AB4" s="4">
        <v>25.2</v>
      </c>
      <c r="AC4" s="18">
        <v>14.9</v>
      </c>
    </row>
    <row r="5" spans="1:29" ht="15.75" thickBot="1">
      <c r="A5" s="2"/>
      <c r="B5" s="11">
        <v>15</v>
      </c>
      <c r="C5" s="4">
        <v>27.5</v>
      </c>
      <c r="D5" s="4">
        <v>46.4</v>
      </c>
      <c r="E5" s="4">
        <v>89</v>
      </c>
      <c r="F5" s="4">
        <v>124.6</v>
      </c>
      <c r="G5" s="4">
        <v>155.5</v>
      </c>
      <c r="H5" s="4">
        <v>149.80000000000001</v>
      </c>
      <c r="I5" s="4">
        <v>148.80000000000001</v>
      </c>
      <c r="J5" s="4">
        <v>147.30000000000001</v>
      </c>
      <c r="K5" s="4">
        <v>97.9</v>
      </c>
      <c r="L5" s="4">
        <v>69.900000000000006</v>
      </c>
      <c r="M5" s="4">
        <v>33.799999999999997</v>
      </c>
      <c r="N5" s="18">
        <v>20.8</v>
      </c>
      <c r="P5" s="2"/>
      <c r="Q5" s="11">
        <v>15</v>
      </c>
      <c r="R5" s="4">
        <v>27.5</v>
      </c>
      <c r="S5" s="4">
        <v>46.4</v>
      </c>
      <c r="T5" s="4">
        <v>89</v>
      </c>
      <c r="U5" s="4">
        <v>124.6</v>
      </c>
      <c r="V5" s="4">
        <v>155.5</v>
      </c>
      <c r="W5" s="4">
        <v>149.80000000000001</v>
      </c>
      <c r="X5" s="4">
        <v>148.80000000000001</v>
      </c>
      <c r="Y5" s="4">
        <v>147.30000000000001</v>
      </c>
      <c r="Z5" s="4">
        <v>97.9</v>
      </c>
      <c r="AA5" s="4">
        <v>69.900000000000006</v>
      </c>
      <c r="AB5" s="4">
        <v>33.799999999999997</v>
      </c>
      <c r="AC5" s="18">
        <v>20.8</v>
      </c>
    </row>
    <row r="6" spans="1:29" ht="15.75" thickBot="1">
      <c r="A6" s="2"/>
      <c r="B6" s="11">
        <v>30</v>
      </c>
      <c r="C6" s="4">
        <v>32</v>
      </c>
      <c r="D6" s="4">
        <v>53.1</v>
      </c>
      <c r="E6" s="4">
        <v>90.8</v>
      </c>
      <c r="F6" s="4">
        <v>128.9</v>
      </c>
      <c r="G6" s="4">
        <v>154.80000000000001</v>
      </c>
      <c r="H6" s="4">
        <v>146.19999999999999</v>
      </c>
      <c r="I6" s="4">
        <v>145.80000000000001</v>
      </c>
      <c r="J6" s="4">
        <v>151.80000000000001</v>
      </c>
      <c r="K6" s="4">
        <v>104.4</v>
      </c>
      <c r="L6" s="4">
        <v>79.599999999999994</v>
      </c>
      <c r="M6" s="4">
        <v>41</v>
      </c>
      <c r="N6" s="18">
        <v>25.3</v>
      </c>
      <c r="P6" s="2"/>
      <c r="Q6" s="11">
        <v>30</v>
      </c>
      <c r="R6" s="4">
        <v>32</v>
      </c>
      <c r="S6" s="4">
        <v>53.1</v>
      </c>
      <c r="T6" s="4">
        <v>90.8</v>
      </c>
      <c r="U6" s="4">
        <v>128.9</v>
      </c>
      <c r="V6" s="4">
        <v>154.80000000000001</v>
      </c>
      <c r="W6" s="4">
        <v>146.19999999999999</v>
      </c>
      <c r="X6" s="4">
        <v>145.80000000000001</v>
      </c>
      <c r="Y6" s="4">
        <v>151.80000000000001</v>
      </c>
      <c r="Z6" s="4">
        <v>104.4</v>
      </c>
      <c r="AA6" s="4">
        <v>79.599999999999994</v>
      </c>
      <c r="AB6" s="4">
        <v>41</v>
      </c>
      <c r="AC6" s="18">
        <v>25.3</v>
      </c>
    </row>
    <row r="7" spans="1:29" ht="15.75" thickBot="1">
      <c r="A7" s="2"/>
      <c r="B7" s="11">
        <v>45</v>
      </c>
      <c r="C7" s="4">
        <v>35.700000000000003</v>
      </c>
      <c r="D7" s="4">
        <v>57.1</v>
      </c>
      <c r="E7" s="4">
        <v>93</v>
      </c>
      <c r="F7" s="4">
        <v>127.4</v>
      </c>
      <c r="G7" s="4">
        <v>147.30000000000001</v>
      </c>
      <c r="H7" s="4">
        <v>136.1</v>
      </c>
      <c r="I7" s="4">
        <v>136.9</v>
      </c>
      <c r="J7" s="4">
        <v>148.1</v>
      </c>
      <c r="K7" s="4">
        <v>105.1</v>
      </c>
      <c r="L7" s="4">
        <v>85.6</v>
      </c>
      <c r="M7" s="4">
        <v>46.1</v>
      </c>
      <c r="N7" s="18">
        <v>29</v>
      </c>
      <c r="P7" s="2"/>
      <c r="Q7" s="11">
        <v>45</v>
      </c>
      <c r="R7" s="4">
        <v>35.700000000000003</v>
      </c>
      <c r="S7" s="4">
        <v>57.1</v>
      </c>
      <c r="T7" s="4">
        <v>93</v>
      </c>
      <c r="U7" s="4">
        <v>127.4</v>
      </c>
      <c r="V7" s="4">
        <v>147.30000000000001</v>
      </c>
      <c r="W7" s="4">
        <v>136.1</v>
      </c>
      <c r="X7" s="4">
        <v>136.9</v>
      </c>
      <c r="Y7" s="4">
        <v>148.1</v>
      </c>
      <c r="Z7" s="4">
        <v>105.1</v>
      </c>
      <c r="AA7" s="4">
        <v>85.6</v>
      </c>
      <c r="AB7" s="4">
        <v>46.1</v>
      </c>
      <c r="AC7" s="18">
        <v>29</v>
      </c>
    </row>
    <row r="8" spans="1:29" ht="15.75" thickBot="1">
      <c r="A8" s="2"/>
      <c r="B8" s="11">
        <v>60</v>
      </c>
      <c r="C8" s="4">
        <v>37.200000000000003</v>
      </c>
      <c r="D8" s="4">
        <v>57.8</v>
      </c>
      <c r="E8" s="4">
        <v>91.5</v>
      </c>
      <c r="F8" s="4">
        <v>118.8</v>
      </c>
      <c r="G8" s="4">
        <v>132.4</v>
      </c>
      <c r="H8" s="4">
        <v>120.2</v>
      </c>
      <c r="I8" s="4">
        <v>121.3</v>
      </c>
      <c r="J8" s="4">
        <v>136.9</v>
      </c>
      <c r="K8" s="4">
        <v>100.8</v>
      </c>
      <c r="L8" s="4">
        <v>86.3</v>
      </c>
      <c r="M8" s="4">
        <v>48.2</v>
      </c>
      <c r="N8" s="18">
        <v>30.5</v>
      </c>
      <c r="P8" s="2"/>
      <c r="Q8" s="11">
        <v>60</v>
      </c>
      <c r="R8" s="4">
        <v>37.200000000000003</v>
      </c>
      <c r="S8" s="4">
        <v>57.8</v>
      </c>
      <c r="T8" s="4">
        <v>91.5</v>
      </c>
      <c r="U8" s="4">
        <v>118.8</v>
      </c>
      <c r="V8" s="4">
        <v>132.4</v>
      </c>
      <c r="W8" s="4">
        <v>120.2</v>
      </c>
      <c r="X8" s="4">
        <v>121.3</v>
      </c>
      <c r="Y8" s="4">
        <v>136.9</v>
      </c>
      <c r="Z8" s="4">
        <v>100.8</v>
      </c>
      <c r="AA8" s="4">
        <v>86.3</v>
      </c>
      <c r="AB8" s="4">
        <v>48.2</v>
      </c>
      <c r="AC8" s="18">
        <v>30.5</v>
      </c>
    </row>
    <row r="9" spans="1:29" ht="15.75" thickBot="1">
      <c r="A9" s="2"/>
      <c r="B9" s="11">
        <v>75</v>
      </c>
      <c r="C9" s="4">
        <v>36.5</v>
      </c>
      <c r="D9" s="4">
        <v>55.8</v>
      </c>
      <c r="E9" s="4">
        <v>84.8</v>
      </c>
      <c r="F9" s="4">
        <v>105.1</v>
      </c>
      <c r="G9" s="4">
        <v>111.6</v>
      </c>
      <c r="H9" s="4">
        <v>99.4</v>
      </c>
      <c r="I9" s="4">
        <v>101.2</v>
      </c>
      <c r="J9" s="4">
        <v>119</v>
      </c>
      <c r="K9" s="4">
        <v>91.4</v>
      </c>
      <c r="L9" s="4">
        <v>82.6</v>
      </c>
      <c r="M9" s="4">
        <v>48.2</v>
      </c>
      <c r="N9" s="18">
        <v>30.5</v>
      </c>
      <c r="P9" s="2"/>
      <c r="Q9" s="11">
        <v>75</v>
      </c>
      <c r="R9" s="4">
        <v>36.5</v>
      </c>
      <c r="S9" s="4">
        <v>55.8</v>
      </c>
      <c r="T9" s="4">
        <v>84.8</v>
      </c>
      <c r="U9" s="4">
        <v>105.1</v>
      </c>
      <c r="V9" s="4">
        <v>111.6</v>
      </c>
      <c r="W9" s="4">
        <v>99.4</v>
      </c>
      <c r="X9" s="4">
        <v>101.2</v>
      </c>
      <c r="Y9" s="4">
        <v>119</v>
      </c>
      <c r="Z9" s="4">
        <v>91.4</v>
      </c>
      <c r="AA9" s="4">
        <v>82.6</v>
      </c>
      <c r="AB9" s="4">
        <v>48.2</v>
      </c>
      <c r="AC9" s="18">
        <v>30.5</v>
      </c>
    </row>
    <row r="10" spans="1:29" ht="15.75" thickBot="1">
      <c r="A10" s="2"/>
      <c r="B10" s="14">
        <v>90</v>
      </c>
      <c r="C10" s="5">
        <v>34.200000000000003</v>
      </c>
      <c r="D10" s="5">
        <v>51.1</v>
      </c>
      <c r="E10" s="5">
        <v>74.400000000000006</v>
      </c>
      <c r="F10" s="5">
        <v>85.7</v>
      </c>
      <c r="G10" s="5">
        <v>87</v>
      </c>
      <c r="H10" s="5">
        <v>75.599999999999994</v>
      </c>
      <c r="I10" s="5">
        <v>78.099999999999994</v>
      </c>
      <c r="J10" s="5">
        <v>96</v>
      </c>
      <c r="K10" s="5">
        <v>77.8</v>
      </c>
      <c r="L10" s="5">
        <v>74.400000000000006</v>
      </c>
      <c r="M10" s="5">
        <v>45.4</v>
      </c>
      <c r="N10" s="8">
        <v>29</v>
      </c>
      <c r="P10" s="2"/>
      <c r="Q10" s="14">
        <v>90</v>
      </c>
      <c r="R10" s="5">
        <v>34.200000000000003</v>
      </c>
      <c r="S10" s="5">
        <v>51.1</v>
      </c>
      <c r="T10" s="5">
        <v>74.400000000000006</v>
      </c>
      <c r="U10" s="5">
        <v>85.7</v>
      </c>
      <c r="V10" s="5">
        <v>87</v>
      </c>
      <c r="W10" s="5">
        <v>75.599999999999994</v>
      </c>
      <c r="X10" s="5">
        <v>78.099999999999994</v>
      </c>
      <c r="Y10" s="5">
        <v>96</v>
      </c>
      <c r="Z10" s="5">
        <v>77.8</v>
      </c>
      <c r="AA10" s="5">
        <v>74.400000000000006</v>
      </c>
      <c r="AB10" s="5">
        <v>45.4</v>
      </c>
      <c r="AC10" s="8">
        <v>29</v>
      </c>
    </row>
    <row r="11" spans="1:29" ht="16.5" thickTop="1" thickBot="1">
      <c r="A11" s="2"/>
      <c r="B11" s="292" t="s">
        <v>22</v>
      </c>
      <c r="C11" s="293"/>
      <c r="D11" s="293"/>
      <c r="E11" s="293"/>
      <c r="F11" s="293"/>
      <c r="G11" s="293"/>
      <c r="H11" s="293"/>
      <c r="I11" s="293"/>
      <c r="J11" s="293"/>
      <c r="K11" s="293"/>
      <c r="L11" s="293"/>
      <c r="M11" s="293"/>
      <c r="N11" s="294"/>
      <c r="P11" s="2"/>
      <c r="Q11" s="292" t="s">
        <v>22</v>
      </c>
      <c r="R11" s="293"/>
      <c r="S11" s="293"/>
      <c r="T11" s="293"/>
      <c r="U11" s="293"/>
      <c r="V11" s="293"/>
      <c r="W11" s="293"/>
      <c r="X11" s="293"/>
      <c r="Y11" s="293"/>
      <c r="Z11" s="293"/>
      <c r="AA11" s="293"/>
      <c r="AB11" s="293"/>
      <c r="AC11" s="294"/>
    </row>
    <row r="12" spans="1:29" ht="15.75" thickBot="1">
      <c r="A12" s="2">
        <v>15</v>
      </c>
      <c r="B12" s="11">
        <v>15</v>
      </c>
      <c r="C12" s="4">
        <v>26.8</v>
      </c>
      <c r="D12" s="4">
        <v>45.7</v>
      </c>
      <c r="E12" s="4">
        <v>82.6</v>
      </c>
      <c r="F12" s="4">
        <v>123.8</v>
      </c>
      <c r="G12" s="4">
        <v>155.5</v>
      </c>
      <c r="H12" s="4">
        <v>149.80000000000001</v>
      </c>
      <c r="I12" s="4">
        <v>148.80000000000001</v>
      </c>
      <c r="J12" s="4">
        <v>147.30000000000001</v>
      </c>
      <c r="K12" s="4">
        <v>97.2</v>
      </c>
      <c r="L12" s="4">
        <v>69.2</v>
      </c>
      <c r="M12" s="4">
        <v>33.799999999999997</v>
      </c>
      <c r="N12" s="18">
        <v>20.8</v>
      </c>
      <c r="P12" s="2">
        <v>15</v>
      </c>
      <c r="Q12" s="11">
        <v>15</v>
      </c>
      <c r="R12" s="4">
        <v>26.8</v>
      </c>
      <c r="S12" s="4">
        <v>45.7</v>
      </c>
      <c r="T12" s="4">
        <v>82.6</v>
      </c>
      <c r="U12" s="4">
        <v>123.8</v>
      </c>
      <c r="V12" s="4">
        <v>155.5</v>
      </c>
      <c r="W12" s="4">
        <v>149.80000000000001</v>
      </c>
      <c r="X12" s="4">
        <v>148.80000000000001</v>
      </c>
      <c r="Y12" s="4">
        <v>147.30000000000001</v>
      </c>
      <c r="Z12" s="4">
        <v>97.2</v>
      </c>
      <c r="AA12" s="4">
        <v>69.2</v>
      </c>
      <c r="AB12" s="4">
        <v>33.799999999999997</v>
      </c>
      <c r="AC12" s="18">
        <v>20.8</v>
      </c>
    </row>
    <row r="13" spans="1:29" ht="15.75" thickBot="1">
      <c r="A13" s="2"/>
      <c r="B13" s="11">
        <v>30</v>
      </c>
      <c r="C13" s="4">
        <v>32</v>
      </c>
      <c r="D13" s="4">
        <v>52.4</v>
      </c>
      <c r="E13" s="4">
        <v>90</v>
      </c>
      <c r="F13" s="4">
        <v>128.19999999999999</v>
      </c>
      <c r="G13" s="4">
        <v>154.80000000000001</v>
      </c>
      <c r="H13" s="4">
        <v>146.9</v>
      </c>
      <c r="I13" s="4">
        <v>145.80000000000001</v>
      </c>
      <c r="J13" s="4">
        <v>151</v>
      </c>
      <c r="K13" s="4">
        <v>103</v>
      </c>
      <c r="L13" s="4">
        <v>78.900000000000006</v>
      </c>
      <c r="M13" s="4">
        <v>40.299999999999997</v>
      </c>
      <c r="N13" s="18">
        <v>25.3</v>
      </c>
      <c r="P13" s="2"/>
      <c r="Q13" s="11">
        <v>30</v>
      </c>
      <c r="R13" s="4">
        <v>32</v>
      </c>
      <c r="S13" s="4">
        <v>52.4</v>
      </c>
      <c r="T13" s="4">
        <v>90</v>
      </c>
      <c r="U13" s="4">
        <v>128.19999999999999</v>
      </c>
      <c r="V13" s="4">
        <v>154.80000000000001</v>
      </c>
      <c r="W13" s="4">
        <v>146.9</v>
      </c>
      <c r="X13" s="4">
        <v>145.80000000000001</v>
      </c>
      <c r="Y13" s="4">
        <v>151</v>
      </c>
      <c r="Z13" s="4">
        <v>103</v>
      </c>
      <c r="AA13" s="4">
        <v>78.900000000000006</v>
      </c>
      <c r="AB13" s="4">
        <v>40.299999999999997</v>
      </c>
      <c r="AC13" s="18">
        <v>25.3</v>
      </c>
    </row>
    <row r="14" spans="1:29" ht="15.75" thickBot="1">
      <c r="A14" s="2"/>
      <c r="B14" s="11">
        <v>45</v>
      </c>
      <c r="C14" s="4">
        <v>35</v>
      </c>
      <c r="D14" s="4">
        <v>55.8</v>
      </c>
      <c r="E14" s="4">
        <v>92.3</v>
      </c>
      <c r="F14" s="4">
        <v>126</v>
      </c>
      <c r="G14" s="4">
        <v>146.6</v>
      </c>
      <c r="H14" s="4">
        <v>136.80000000000001</v>
      </c>
      <c r="I14" s="4">
        <v>136.9</v>
      </c>
      <c r="J14" s="4">
        <v>147.30000000000001</v>
      </c>
      <c r="K14" s="4">
        <v>103.7</v>
      </c>
      <c r="L14" s="4">
        <v>84.1</v>
      </c>
      <c r="M14" s="4">
        <v>44.6</v>
      </c>
      <c r="N14" s="18">
        <v>28.3</v>
      </c>
      <c r="P14" s="2"/>
      <c r="Q14" s="11">
        <v>45</v>
      </c>
      <c r="R14" s="4">
        <v>35</v>
      </c>
      <c r="S14" s="4">
        <v>55.8</v>
      </c>
      <c r="T14" s="4">
        <v>92.3</v>
      </c>
      <c r="U14" s="4">
        <v>126</v>
      </c>
      <c r="V14" s="4">
        <v>146.6</v>
      </c>
      <c r="W14" s="4">
        <v>136.80000000000001</v>
      </c>
      <c r="X14" s="4">
        <v>136.9</v>
      </c>
      <c r="Y14" s="4">
        <v>147.30000000000001</v>
      </c>
      <c r="Z14" s="4">
        <v>103.7</v>
      </c>
      <c r="AA14" s="4">
        <v>84.1</v>
      </c>
      <c r="AB14" s="4">
        <v>44.6</v>
      </c>
      <c r="AC14" s="18">
        <v>28.3</v>
      </c>
    </row>
    <row r="15" spans="1:29" ht="15.75" thickBot="1">
      <c r="A15" s="2"/>
      <c r="B15" s="11">
        <v>60</v>
      </c>
      <c r="C15" s="4">
        <v>36.5</v>
      </c>
      <c r="D15" s="4">
        <v>56.4</v>
      </c>
      <c r="E15" s="4">
        <v>90</v>
      </c>
      <c r="F15" s="4">
        <v>118.1</v>
      </c>
      <c r="G15" s="4">
        <v>132.4</v>
      </c>
      <c r="H15" s="4">
        <v>121.7</v>
      </c>
      <c r="I15" s="4">
        <v>122</v>
      </c>
      <c r="J15" s="4">
        <v>136.19999999999999</v>
      </c>
      <c r="K15" s="4">
        <v>98.6</v>
      </c>
      <c r="L15" s="4">
        <v>84.1</v>
      </c>
      <c r="M15" s="4">
        <v>46.8</v>
      </c>
      <c r="N15" s="18">
        <v>30.5</v>
      </c>
      <c r="P15" s="2"/>
      <c r="Q15" s="11">
        <v>60</v>
      </c>
      <c r="R15" s="4">
        <v>36.5</v>
      </c>
      <c r="S15" s="4">
        <v>56.4</v>
      </c>
      <c r="T15" s="4">
        <v>90</v>
      </c>
      <c r="U15" s="4">
        <v>118.1</v>
      </c>
      <c r="V15" s="4">
        <v>132.4</v>
      </c>
      <c r="W15" s="4">
        <v>121.7</v>
      </c>
      <c r="X15" s="4">
        <v>122</v>
      </c>
      <c r="Y15" s="4">
        <v>136.19999999999999</v>
      </c>
      <c r="Z15" s="4">
        <v>98.6</v>
      </c>
      <c r="AA15" s="4">
        <v>84.1</v>
      </c>
      <c r="AB15" s="4">
        <v>46.8</v>
      </c>
      <c r="AC15" s="18">
        <v>30.5</v>
      </c>
    </row>
    <row r="16" spans="1:29" ht="15.75" thickBot="1">
      <c r="A16" s="2"/>
      <c r="B16" s="11">
        <v>75</v>
      </c>
      <c r="C16" s="4">
        <v>35.700000000000003</v>
      </c>
      <c r="D16" s="4">
        <v>54.4</v>
      </c>
      <c r="E16" s="4">
        <v>83.3</v>
      </c>
      <c r="F16" s="4">
        <v>104.4</v>
      </c>
      <c r="G16" s="4">
        <v>112.3</v>
      </c>
      <c r="H16" s="4">
        <v>101.5</v>
      </c>
      <c r="I16" s="4">
        <v>101.9</v>
      </c>
      <c r="J16" s="4">
        <v>118.3</v>
      </c>
      <c r="K16" s="4">
        <v>89.3</v>
      </c>
      <c r="L16" s="4">
        <v>80.400000000000006</v>
      </c>
      <c r="M16" s="4">
        <v>46.8</v>
      </c>
      <c r="N16" s="18">
        <v>30.5</v>
      </c>
      <c r="P16" s="2"/>
      <c r="Q16" s="11">
        <v>75</v>
      </c>
      <c r="R16" s="4">
        <v>35.700000000000003</v>
      </c>
      <c r="S16" s="4">
        <v>54.4</v>
      </c>
      <c r="T16" s="4">
        <v>83.3</v>
      </c>
      <c r="U16" s="4">
        <v>104.4</v>
      </c>
      <c r="V16" s="4">
        <v>112.3</v>
      </c>
      <c r="W16" s="4">
        <v>101.5</v>
      </c>
      <c r="X16" s="4">
        <v>101.9</v>
      </c>
      <c r="Y16" s="4">
        <v>118.3</v>
      </c>
      <c r="Z16" s="4">
        <v>89.3</v>
      </c>
      <c r="AA16" s="4">
        <v>80.400000000000006</v>
      </c>
      <c r="AB16" s="4">
        <v>46.8</v>
      </c>
      <c r="AC16" s="18">
        <v>30.5</v>
      </c>
    </row>
    <row r="17" spans="1:29" ht="15.75" thickBot="1">
      <c r="A17" s="2"/>
      <c r="B17" s="14">
        <v>90</v>
      </c>
      <c r="C17" s="5">
        <v>33.5</v>
      </c>
      <c r="D17" s="5">
        <v>49.7</v>
      </c>
      <c r="E17" s="5">
        <v>72.900000000000006</v>
      </c>
      <c r="F17" s="5">
        <v>86.4</v>
      </c>
      <c r="G17" s="5">
        <v>88.5</v>
      </c>
      <c r="H17" s="5">
        <v>77.8</v>
      </c>
      <c r="I17" s="5">
        <v>79.599999999999994</v>
      </c>
      <c r="J17" s="5">
        <v>96.7</v>
      </c>
      <c r="K17" s="5">
        <v>75.599999999999994</v>
      </c>
      <c r="L17" s="5">
        <v>72.2</v>
      </c>
      <c r="M17" s="5">
        <v>43.2</v>
      </c>
      <c r="N17" s="8">
        <v>29</v>
      </c>
      <c r="P17" s="2"/>
      <c r="Q17" s="14">
        <v>90</v>
      </c>
      <c r="R17" s="5">
        <v>33.5</v>
      </c>
      <c r="S17" s="5">
        <v>49.7</v>
      </c>
      <c r="T17" s="5">
        <v>72.900000000000006</v>
      </c>
      <c r="U17" s="5">
        <v>86.4</v>
      </c>
      <c r="V17" s="5">
        <v>88.5</v>
      </c>
      <c r="W17" s="5">
        <v>77.8</v>
      </c>
      <c r="X17" s="5">
        <v>79.599999999999994</v>
      </c>
      <c r="Y17" s="5">
        <v>96.7</v>
      </c>
      <c r="Z17" s="5">
        <v>75.599999999999994</v>
      </c>
      <c r="AA17" s="5">
        <v>72.2</v>
      </c>
      <c r="AB17" s="5">
        <v>43.2</v>
      </c>
      <c r="AC17" s="8">
        <v>29</v>
      </c>
    </row>
    <row r="18" spans="1:29" ht="16.5" thickTop="1" thickBot="1">
      <c r="A18" s="2"/>
      <c r="B18" s="292" t="s">
        <v>23</v>
      </c>
      <c r="C18" s="293"/>
      <c r="D18" s="293"/>
      <c r="E18" s="293"/>
      <c r="F18" s="293"/>
      <c r="G18" s="293"/>
      <c r="H18" s="293"/>
      <c r="I18" s="293"/>
      <c r="J18" s="293"/>
      <c r="K18" s="293"/>
      <c r="L18" s="293"/>
      <c r="M18" s="293"/>
      <c r="N18" s="294"/>
      <c r="P18" s="2"/>
      <c r="Q18" s="292" t="s">
        <v>23</v>
      </c>
      <c r="R18" s="293"/>
      <c r="S18" s="293"/>
      <c r="T18" s="293"/>
      <c r="U18" s="293"/>
      <c r="V18" s="293"/>
      <c r="W18" s="293"/>
      <c r="X18" s="293"/>
      <c r="Y18" s="293"/>
      <c r="Z18" s="293"/>
      <c r="AA18" s="293"/>
      <c r="AB18" s="293"/>
      <c r="AC18" s="294"/>
    </row>
    <row r="19" spans="1:29" ht="15.75" thickBot="1">
      <c r="A19" s="2">
        <v>30</v>
      </c>
      <c r="B19" s="11">
        <v>15</v>
      </c>
      <c r="C19" s="4">
        <v>26</v>
      </c>
      <c r="D19" s="4">
        <v>45</v>
      </c>
      <c r="E19" s="4">
        <v>81.8</v>
      </c>
      <c r="F19" s="4">
        <v>123.1</v>
      </c>
      <c r="G19" s="4">
        <v>154.80000000000001</v>
      </c>
      <c r="H19" s="4">
        <v>149.80000000000001</v>
      </c>
      <c r="I19" s="4">
        <v>148.1</v>
      </c>
      <c r="J19" s="4">
        <v>145.80000000000001</v>
      </c>
      <c r="K19" s="4">
        <v>95.8</v>
      </c>
      <c r="L19" s="4">
        <v>67.7</v>
      </c>
      <c r="M19" s="4">
        <v>32.4</v>
      </c>
      <c r="N19" s="18">
        <v>20.100000000000001</v>
      </c>
      <c r="P19" s="2">
        <v>30</v>
      </c>
      <c r="Q19" s="11">
        <v>15</v>
      </c>
      <c r="R19" s="4">
        <v>26</v>
      </c>
      <c r="S19" s="4">
        <v>45</v>
      </c>
      <c r="T19" s="4">
        <v>81.8</v>
      </c>
      <c r="U19" s="4">
        <v>123.1</v>
      </c>
      <c r="V19" s="4">
        <v>154.80000000000001</v>
      </c>
      <c r="W19" s="4">
        <v>149.80000000000001</v>
      </c>
      <c r="X19" s="4">
        <v>148.1</v>
      </c>
      <c r="Y19" s="4">
        <v>145.80000000000001</v>
      </c>
      <c r="Z19" s="4">
        <v>95.8</v>
      </c>
      <c r="AA19" s="4">
        <v>67.7</v>
      </c>
      <c r="AB19" s="4">
        <v>32.4</v>
      </c>
      <c r="AC19" s="18">
        <v>20.100000000000001</v>
      </c>
    </row>
    <row r="20" spans="1:29" ht="15.75" thickBot="1">
      <c r="A20" s="2"/>
      <c r="B20" s="11">
        <v>30</v>
      </c>
      <c r="C20" s="4">
        <v>30.5</v>
      </c>
      <c r="D20" s="4">
        <v>50.4</v>
      </c>
      <c r="E20" s="4">
        <v>87.8</v>
      </c>
      <c r="F20" s="4">
        <v>126.7</v>
      </c>
      <c r="G20" s="4">
        <v>153.30000000000001</v>
      </c>
      <c r="H20" s="4">
        <v>146.9</v>
      </c>
      <c r="I20" s="4">
        <v>145.1</v>
      </c>
      <c r="J20" s="4">
        <v>148.80000000000001</v>
      </c>
      <c r="K20" s="4">
        <v>100.1</v>
      </c>
      <c r="L20" s="4">
        <v>75.900000000000006</v>
      </c>
      <c r="M20" s="4">
        <v>38.200000000000003</v>
      </c>
      <c r="N20" s="18">
        <v>23.8</v>
      </c>
      <c r="P20" s="2"/>
      <c r="Q20" s="11">
        <v>30</v>
      </c>
      <c r="R20" s="4">
        <v>30.5</v>
      </c>
      <c r="S20" s="4">
        <v>50.4</v>
      </c>
      <c r="T20" s="4">
        <v>87.8</v>
      </c>
      <c r="U20" s="4">
        <v>126.7</v>
      </c>
      <c r="V20" s="4">
        <v>153.30000000000001</v>
      </c>
      <c r="W20" s="4">
        <v>146.9</v>
      </c>
      <c r="X20" s="4">
        <v>145.1</v>
      </c>
      <c r="Y20" s="4">
        <v>148.80000000000001</v>
      </c>
      <c r="Z20" s="4">
        <v>100.1</v>
      </c>
      <c r="AA20" s="4">
        <v>75.900000000000006</v>
      </c>
      <c r="AB20" s="4">
        <v>38.200000000000003</v>
      </c>
      <c r="AC20" s="18">
        <v>23.8</v>
      </c>
    </row>
    <row r="21" spans="1:29" ht="15.75" thickBot="1">
      <c r="A21" s="2"/>
      <c r="B21" s="11">
        <v>45</v>
      </c>
      <c r="C21" s="4">
        <v>32.700000000000003</v>
      </c>
      <c r="D21" s="4">
        <v>53.1</v>
      </c>
      <c r="E21" s="4">
        <v>89.3</v>
      </c>
      <c r="F21" s="4">
        <v>124.6</v>
      </c>
      <c r="G21" s="4">
        <v>145.80000000000001</v>
      </c>
      <c r="H21" s="4">
        <v>137.5</v>
      </c>
      <c r="I21" s="4">
        <v>136.9</v>
      </c>
      <c r="J21" s="4">
        <v>144.30000000000001</v>
      </c>
      <c r="K21" s="4">
        <v>99.4</v>
      </c>
      <c r="L21" s="4">
        <v>79.599999999999994</v>
      </c>
      <c r="M21" s="4">
        <v>42.5</v>
      </c>
      <c r="N21" s="18">
        <v>26.8</v>
      </c>
      <c r="P21" s="2"/>
      <c r="Q21" s="11">
        <v>45</v>
      </c>
      <c r="R21" s="4">
        <v>32.700000000000003</v>
      </c>
      <c r="S21" s="4">
        <v>53.1</v>
      </c>
      <c r="T21" s="4">
        <v>89.3</v>
      </c>
      <c r="U21" s="4">
        <v>124.6</v>
      </c>
      <c r="V21" s="4">
        <v>145.80000000000001</v>
      </c>
      <c r="W21" s="4">
        <v>137.5</v>
      </c>
      <c r="X21" s="4">
        <v>136.9</v>
      </c>
      <c r="Y21" s="4">
        <v>144.30000000000001</v>
      </c>
      <c r="Z21" s="4">
        <v>99.4</v>
      </c>
      <c r="AA21" s="4">
        <v>79.599999999999994</v>
      </c>
      <c r="AB21" s="4">
        <v>42.5</v>
      </c>
      <c r="AC21" s="18">
        <v>26.8</v>
      </c>
    </row>
    <row r="22" spans="1:29" ht="15.75" thickBot="1">
      <c r="A22" s="2"/>
      <c r="B22" s="11">
        <v>60</v>
      </c>
      <c r="C22" s="4">
        <v>34.200000000000003</v>
      </c>
      <c r="D22" s="4">
        <v>53.1</v>
      </c>
      <c r="E22" s="4">
        <v>86.3</v>
      </c>
      <c r="F22" s="4">
        <v>116.6</v>
      </c>
      <c r="G22" s="4">
        <v>131.69999999999999</v>
      </c>
      <c r="H22" s="4">
        <v>123.1</v>
      </c>
      <c r="I22" s="4">
        <v>122.8</v>
      </c>
      <c r="J22" s="4">
        <v>133.9</v>
      </c>
      <c r="K22" s="4">
        <v>95</v>
      </c>
      <c r="L22" s="4">
        <v>79.599999999999994</v>
      </c>
      <c r="M22" s="4">
        <v>43.9</v>
      </c>
      <c r="N22" s="18">
        <v>28.3</v>
      </c>
      <c r="P22" s="2"/>
      <c r="Q22" s="11">
        <v>60</v>
      </c>
      <c r="R22" s="4">
        <v>34.200000000000003</v>
      </c>
      <c r="S22" s="4">
        <v>53.1</v>
      </c>
      <c r="T22" s="4">
        <v>86.3</v>
      </c>
      <c r="U22" s="4">
        <v>116.6</v>
      </c>
      <c r="V22" s="4">
        <v>131.69999999999999</v>
      </c>
      <c r="W22" s="4">
        <v>123.1</v>
      </c>
      <c r="X22" s="4">
        <v>122.8</v>
      </c>
      <c r="Y22" s="4">
        <v>133.9</v>
      </c>
      <c r="Z22" s="4">
        <v>95</v>
      </c>
      <c r="AA22" s="4">
        <v>79.599999999999994</v>
      </c>
      <c r="AB22" s="4">
        <v>43.9</v>
      </c>
      <c r="AC22" s="18">
        <v>28.3</v>
      </c>
    </row>
    <row r="23" spans="1:29" ht="15.75" thickBot="1">
      <c r="A23" s="2"/>
      <c r="B23" s="11">
        <v>75</v>
      </c>
      <c r="C23" s="4">
        <v>33.5</v>
      </c>
      <c r="D23" s="4">
        <v>51.1</v>
      </c>
      <c r="E23" s="4">
        <v>79.599999999999994</v>
      </c>
      <c r="F23" s="4">
        <v>103.7</v>
      </c>
      <c r="G23" s="4">
        <v>113.1</v>
      </c>
      <c r="H23" s="4">
        <v>104.4</v>
      </c>
      <c r="I23" s="4">
        <v>104.2</v>
      </c>
      <c r="J23" s="4">
        <v>116.8</v>
      </c>
      <c r="K23" s="4">
        <v>85.7</v>
      </c>
      <c r="L23" s="4">
        <v>75.099999999999994</v>
      </c>
      <c r="M23" s="4">
        <v>42.5</v>
      </c>
      <c r="N23" s="18">
        <v>28.3</v>
      </c>
      <c r="P23" s="2"/>
      <c r="Q23" s="11">
        <v>75</v>
      </c>
      <c r="R23" s="4">
        <v>33.5</v>
      </c>
      <c r="S23" s="4">
        <v>51.1</v>
      </c>
      <c r="T23" s="4">
        <v>79.599999999999994</v>
      </c>
      <c r="U23" s="4">
        <v>103.7</v>
      </c>
      <c r="V23" s="4">
        <v>113.1</v>
      </c>
      <c r="W23" s="4">
        <v>104.4</v>
      </c>
      <c r="X23" s="4">
        <v>104.2</v>
      </c>
      <c r="Y23" s="4">
        <v>116.8</v>
      </c>
      <c r="Z23" s="4">
        <v>85.7</v>
      </c>
      <c r="AA23" s="4">
        <v>75.099999999999994</v>
      </c>
      <c r="AB23" s="4">
        <v>42.5</v>
      </c>
      <c r="AC23" s="18">
        <v>28.3</v>
      </c>
    </row>
    <row r="24" spans="1:29" ht="15.75" thickBot="1">
      <c r="A24" s="2"/>
      <c r="B24" s="14">
        <v>90</v>
      </c>
      <c r="C24" s="5">
        <v>30.5</v>
      </c>
      <c r="D24" s="5">
        <v>45.7</v>
      </c>
      <c r="E24" s="5">
        <v>69.2</v>
      </c>
      <c r="F24" s="5">
        <v>87.1</v>
      </c>
      <c r="G24" s="5">
        <v>90.8</v>
      </c>
      <c r="H24" s="5">
        <v>82.8</v>
      </c>
      <c r="I24" s="5">
        <v>82.6</v>
      </c>
      <c r="J24" s="5">
        <v>96</v>
      </c>
      <c r="K24" s="5">
        <v>72.7</v>
      </c>
      <c r="L24" s="5">
        <v>67</v>
      </c>
      <c r="M24" s="5">
        <v>39.6</v>
      </c>
      <c r="N24" s="8">
        <v>26.8</v>
      </c>
      <c r="P24" s="2"/>
      <c r="Q24" s="14">
        <v>90</v>
      </c>
      <c r="R24" s="5">
        <v>30.5</v>
      </c>
      <c r="S24" s="5">
        <v>45.7</v>
      </c>
      <c r="T24" s="5">
        <v>69.2</v>
      </c>
      <c r="U24" s="5">
        <v>87.1</v>
      </c>
      <c r="V24" s="5">
        <v>90.8</v>
      </c>
      <c r="W24" s="5">
        <v>82.8</v>
      </c>
      <c r="X24" s="5">
        <v>82.6</v>
      </c>
      <c r="Y24" s="5">
        <v>96</v>
      </c>
      <c r="Z24" s="5">
        <v>72.7</v>
      </c>
      <c r="AA24" s="5">
        <v>67</v>
      </c>
      <c r="AB24" s="5">
        <v>39.6</v>
      </c>
      <c r="AC24" s="8">
        <v>26.8</v>
      </c>
    </row>
    <row r="25" spans="1:29" ht="16.5" thickTop="1" thickBot="1">
      <c r="A25" s="2"/>
      <c r="B25" s="292" t="s">
        <v>24</v>
      </c>
      <c r="C25" s="293"/>
      <c r="D25" s="293"/>
      <c r="E25" s="293"/>
      <c r="F25" s="293"/>
      <c r="G25" s="293"/>
      <c r="H25" s="293"/>
      <c r="I25" s="293"/>
      <c r="J25" s="293"/>
      <c r="K25" s="293"/>
      <c r="L25" s="293"/>
      <c r="M25" s="293"/>
      <c r="N25" s="294"/>
      <c r="P25" s="2"/>
      <c r="Q25" s="292" t="s">
        <v>24</v>
      </c>
      <c r="R25" s="293"/>
      <c r="S25" s="293"/>
      <c r="T25" s="293"/>
      <c r="U25" s="293"/>
      <c r="V25" s="293"/>
      <c r="W25" s="293"/>
      <c r="X25" s="293"/>
      <c r="Y25" s="293"/>
      <c r="Z25" s="293"/>
      <c r="AA25" s="293"/>
      <c r="AB25" s="293"/>
      <c r="AC25" s="294"/>
    </row>
    <row r="26" spans="1:29" ht="15.75" thickBot="1">
      <c r="A26" s="2">
        <v>45</v>
      </c>
      <c r="B26" s="11">
        <v>15</v>
      </c>
      <c r="C26" s="4">
        <v>25.3</v>
      </c>
      <c r="D26" s="4">
        <v>43</v>
      </c>
      <c r="E26" s="4">
        <v>79.599999999999994</v>
      </c>
      <c r="F26" s="4">
        <v>121</v>
      </c>
      <c r="G26" s="4">
        <v>153.30000000000001</v>
      </c>
      <c r="H26" s="4">
        <v>149</v>
      </c>
      <c r="I26" s="4">
        <v>146.6</v>
      </c>
      <c r="J26" s="4">
        <v>143.6</v>
      </c>
      <c r="K26" s="4">
        <v>93.6</v>
      </c>
      <c r="L26" s="4">
        <v>65.5</v>
      </c>
      <c r="M26" s="4">
        <v>31</v>
      </c>
      <c r="N26" s="18">
        <v>19.3</v>
      </c>
      <c r="P26" s="2">
        <v>45</v>
      </c>
      <c r="Q26" s="11">
        <v>15</v>
      </c>
      <c r="R26" s="4">
        <v>25.3</v>
      </c>
      <c r="S26" s="4">
        <v>43</v>
      </c>
      <c r="T26" s="4">
        <v>79.599999999999994</v>
      </c>
      <c r="U26" s="4">
        <v>121</v>
      </c>
      <c r="V26" s="4">
        <v>153.30000000000001</v>
      </c>
      <c r="W26" s="4">
        <v>149</v>
      </c>
      <c r="X26" s="4">
        <v>146.6</v>
      </c>
      <c r="Y26" s="4">
        <v>143.6</v>
      </c>
      <c r="Z26" s="4">
        <v>93.6</v>
      </c>
      <c r="AA26" s="4">
        <v>65.5</v>
      </c>
      <c r="AB26" s="4">
        <v>31</v>
      </c>
      <c r="AC26" s="18">
        <v>19.3</v>
      </c>
    </row>
    <row r="27" spans="1:29" ht="15.75" thickBot="1">
      <c r="A27" s="2"/>
      <c r="B27" s="11">
        <v>30</v>
      </c>
      <c r="C27" s="4">
        <v>28.3</v>
      </c>
      <c r="D27" s="4">
        <v>47</v>
      </c>
      <c r="E27" s="4">
        <v>84.1</v>
      </c>
      <c r="F27" s="4">
        <v>123.1</v>
      </c>
      <c r="G27" s="4">
        <v>151</v>
      </c>
      <c r="H27" s="4">
        <v>146.19999999999999</v>
      </c>
      <c r="I27" s="4">
        <v>143.6</v>
      </c>
      <c r="J27" s="4">
        <v>145.1</v>
      </c>
      <c r="K27" s="4">
        <v>96.5</v>
      </c>
      <c r="L27" s="4">
        <v>71.400000000000006</v>
      </c>
      <c r="M27" s="4">
        <v>35.299999999999997</v>
      </c>
      <c r="N27" s="18">
        <v>22.3</v>
      </c>
      <c r="P27" s="2"/>
      <c r="Q27" s="11">
        <v>30</v>
      </c>
      <c r="R27" s="4">
        <v>28.3</v>
      </c>
      <c r="S27" s="4">
        <v>47</v>
      </c>
      <c r="T27" s="4">
        <v>84.1</v>
      </c>
      <c r="U27" s="4">
        <v>123.1</v>
      </c>
      <c r="V27" s="4">
        <v>151</v>
      </c>
      <c r="W27" s="4">
        <v>146.19999999999999</v>
      </c>
      <c r="X27" s="4">
        <v>143.6</v>
      </c>
      <c r="Y27" s="4">
        <v>145.1</v>
      </c>
      <c r="Z27" s="4">
        <v>96.5</v>
      </c>
      <c r="AA27" s="4">
        <v>71.400000000000006</v>
      </c>
      <c r="AB27" s="4">
        <v>35.299999999999997</v>
      </c>
      <c r="AC27" s="18">
        <v>22.3</v>
      </c>
    </row>
    <row r="28" spans="1:29" ht="15.75" thickBot="1">
      <c r="A28" s="2"/>
      <c r="B28" s="11">
        <v>45</v>
      </c>
      <c r="C28" s="4">
        <v>30.5</v>
      </c>
      <c r="D28" s="4">
        <v>49.1</v>
      </c>
      <c r="E28" s="4">
        <v>84.1</v>
      </c>
      <c r="F28" s="4">
        <v>121</v>
      </c>
      <c r="G28" s="4">
        <v>143.6</v>
      </c>
      <c r="H28" s="4">
        <v>138.19999999999999</v>
      </c>
      <c r="I28" s="4">
        <v>135.4</v>
      </c>
      <c r="J28" s="4">
        <v>139.9</v>
      </c>
      <c r="K28" s="4">
        <v>95</v>
      </c>
      <c r="L28" s="4">
        <v>73.7</v>
      </c>
      <c r="M28" s="4">
        <v>38.200000000000003</v>
      </c>
      <c r="N28" s="18">
        <v>24.6</v>
      </c>
      <c r="P28" s="2"/>
      <c r="Q28" s="11">
        <v>45</v>
      </c>
      <c r="R28" s="4">
        <v>30.5</v>
      </c>
      <c r="S28" s="4">
        <v>49.1</v>
      </c>
      <c r="T28" s="4">
        <v>84.1</v>
      </c>
      <c r="U28" s="4">
        <v>121</v>
      </c>
      <c r="V28" s="4">
        <v>143.6</v>
      </c>
      <c r="W28" s="4">
        <v>138.19999999999999</v>
      </c>
      <c r="X28" s="4">
        <v>135.4</v>
      </c>
      <c r="Y28" s="4">
        <v>139.9</v>
      </c>
      <c r="Z28" s="4">
        <v>95</v>
      </c>
      <c r="AA28" s="4">
        <v>73.7</v>
      </c>
      <c r="AB28" s="4">
        <v>38.200000000000003</v>
      </c>
      <c r="AC28" s="18">
        <v>24.6</v>
      </c>
    </row>
    <row r="29" spans="1:29" ht="15.75" thickBot="1">
      <c r="A29" s="2"/>
      <c r="B29" s="11">
        <v>60</v>
      </c>
      <c r="C29" s="4">
        <v>30.5</v>
      </c>
      <c r="D29" s="4">
        <v>49.1</v>
      </c>
      <c r="E29" s="4">
        <v>81.099999999999994</v>
      </c>
      <c r="F29" s="4">
        <v>113</v>
      </c>
      <c r="G29" s="4">
        <v>130.19999999999999</v>
      </c>
      <c r="H29" s="4">
        <v>124.6</v>
      </c>
      <c r="I29" s="4">
        <v>122</v>
      </c>
      <c r="J29" s="4">
        <v>129.5</v>
      </c>
      <c r="K29" s="4">
        <v>89.3</v>
      </c>
      <c r="L29" s="4">
        <v>72.900000000000006</v>
      </c>
      <c r="M29" s="4">
        <v>38.9</v>
      </c>
      <c r="N29" s="18">
        <v>25.3</v>
      </c>
      <c r="P29" s="2"/>
      <c r="Q29" s="11">
        <v>60</v>
      </c>
      <c r="R29" s="4">
        <v>30.5</v>
      </c>
      <c r="S29" s="4">
        <v>49.1</v>
      </c>
      <c r="T29" s="4">
        <v>81.099999999999994</v>
      </c>
      <c r="U29" s="4">
        <v>113</v>
      </c>
      <c r="V29" s="4">
        <v>130.19999999999999</v>
      </c>
      <c r="W29" s="4">
        <v>124.6</v>
      </c>
      <c r="X29" s="4">
        <v>122</v>
      </c>
      <c r="Y29" s="4">
        <v>129.5</v>
      </c>
      <c r="Z29" s="4">
        <v>89.3</v>
      </c>
      <c r="AA29" s="4">
        <v>72.900000000000006</v>
      </c>
      <c r="AB29" s="4">
        <v>38.9</v>
      </c>
      <c r="AC29" s="18">
        <v>25.3</v>
      </c>
    </row>
    <row r="30" spans="1:29" ht="15.75" thickBot="1">
      <c r="A30" s="2"/>
      <c r="B30" s="11">
        <v>75</v>
      </c>
      <c r="C30" s="4">
        <v>29</v>
      </c>
      <c r="D30" s="4">
        <v>45.7</v>
      </c>
      <c r="E30" s="4">
        <v>74.400000000000006</v>
      </c>
      <c r="F30" s="4">
        <v>101.5</v>
      </c>
      <c r="G30" s="4">
        <v>113.1</v>
      </c>
      <c r="H30" s="4">
        <v>107.3</v>
      </c>
      <c r="I30" s="4">
        <v>105.6</v>
      </c>
      <c r="J30" s="4">
        <v>113.8</v>
      </c>
      <c r="K30" s="4">
        <v>80.599999999999994</v>
      </c>
      <c r="L30" s="4">
        <v>68.400000000000006</v>
      </c>
      <c r="M30" s="4">
        <v>37.4</v>
      </c>
      <c r="N30" s="18">
        <v>25.3</v>
      </c>
      <c r="P30" s="2"/>
      <c r="Q30" s="11">
        <v>75</v>
      </c>
      <c r="R30" s="4">
        <v>29</v>
      </c>
      <c r="S30" s="4">
        <v>45.7</v>
      </c>
      <c r="T30" s="4">
        <v>74.400000000000006</v>
      </c>
      <c r="U30" s="4">
        <v>101.5</v>
      </c>
      <c r="V30" s="4">
        <v>113.1</v>
      </c>
      <c r="W30" s="4">
        <v>107.3</v>
      </c>
      <c r="X30" s="4">
        <v>105.6</v>
      </c>
      <c r="Y30" s="4">
        <v>113.8</v>
      </c>
      <c r="Z30" s="4">
        <v>80.599999999999994</v>
      </c>
      <c r="AA30" s="4">
        <v>68.400000000000006</v>
      </c>
      <c r="AB30" s="4">
        <v>37.4</v>
      </c>
      <c r="AC30" s="18">
        <v>25.3</v>
      </c>
    </row>
    <row r="31" spans="1:29" ht="15.75" thickBot="1">
      <c r="A31" s="2"/>
      <c r="B31" s="14">
        <v>90</v>
      </c>
      <c r="C31" s="5">
        <v>26.8</v>
      </c>
      <c r="D31" s="5">
        <v>41</v>
      </c>
      <c r="E31" s="5">
        <v>64.7</v>
      </c>
      <c r="F31" s="5">
        <v>86.4</v>
      </c>
      <c r="G31" s="5">
        <v>92.3</v>
      </c>
      <c r="H31" s="5">
        <v>87.8</v>
      </c>
      <c r="I31" s="5">
        <v>85.6</v>
      </c>
      <c r="J31" s="5">
        <v>94.5</v>
      </c>
      <c r="K31" s="5">
        <v>69.099999999999994</v>
      </c>
      <c r="L31" s="5">
        <v>60.3</v>
      </c>
      <c r="M31" s="5">
        <v>33.799999999999997</v>
      </c>
      <c r="N31" s="8">
        <v>23.1</v>
      </c>
      <c r="P31" s="2"/>
      <c r="Q31" s="14">
        <v>90</v>
      </c>
      <c r="R31" s="5">
        <v>26.8</v>
      </c>
      <c r="S31" s="5">
        <v>41</v>
      </c>
      <c r="T31" s="5">
        <v>64.7</v>
      </c>
      <c r="U31" s="5">
        <v>86.4</v>
      </c>
      <c r="V31" s="5">
        <v>92.3</v>
      </c>
      <c r="W31" s="5">
        <v>87.8</v>
      </c>
      <c r="X31" s="5">
        <v>85.6</v>
      </c>
      <c r="Y31" s="5">
        <v>94.5</v>
      </c>
      <c r="Z31" s="5">
        <v>69.099999999999994</v>
      </c>
      <c r="AA31" s="5">
        <v>60.3</v>
      </c>
      <c r="AB31" s="5">
        <v>33.799999999999997</v>
      </c>
      <c r="AC31" s="8">
        <v>23.1</v>
      </c>
    </row>
    <row r="32" spans="1:29" ht="16.5" customHeight="1" thickTop="1" thickBot="1">
      <c r="A32" s="2"/>
      <c r="B32" s="292" t="s">
        <v>99</v>
      </c>
      <c r="C32" s="293"/>
      <c r="D32" s="293"/>
      <c r="E32" s="293"/>
      <c r="F32" s="293"/>
      <c r="G32" s="293"/>
      <c r="H32" s="293"/>
      <c r="I32" s="293"/>
      <c r="J32" s="293"/>
      <c r="K32" s="293"/>
      <c r="L32" s="293"/>
      <c r="M32" s="293"/>
      <c r="N32" s="294"/>
      <c r="P32" s="2"/>
      <c r="Q32" s="292" t="s">
        <v>99</v>
      </c>
      <c r="R32" s="293"/>
      <c r="S32" s="293"/>
      <c r="T32" s="293"/>
      <c r="U32" s="293"/>
      <c r="V32" s="293"/>
      <c r="W32" s="293"/>
      <c r="X32" s="293"/>
      <c r="Y32" s="293"/>
      <c r="Z32" s="293"/>
      <c r="AA32" s="293"/>
      <c r="AB32" s="293"/>
      <c r="AC32" s="294"/>
    </row>
    <row r="33" spans="1:29" ht="15.75" thickBot="1">
      <c r="A33" s="2">
        <v>60</v>
      </c>
      <c r="B33" s="11">
        <v>15</v>
      </c>
      <c r="C33" s="4">
        <v>23.8</v>
      </c>
      <c r="D33" s="4">
        <v>41</v>
      </c>
      <c r="E33" s="4">
        <v>77.400000000000006</v>
      </c>
      <c r="F33" s="4">
        <v>118.1</v>
      </c>
      <c r="G33" s="4">
        <v>151</v>
      </c>
      <c r="H33" s="4">
        <v>148.30000000000001</v>
      </c>
      <c r="I33" s="4">
        <v>145.80000000000001</v>
      </c>
      <c r="J33" s="4">
        <v>140.6</v>
      </c>
      <c r="K33" s="4">
        <v>90.7</v>
      </c>
      <c r="L33" s="4">
        <v>62.5</v>
      </c>
      <c r="M33" s="4">
        <v>28.8</v>
      </c>
      <c r="N33" s="4">
        <v>17.899999999999999</v>
      </c>
      <c r="P33" s="2">
        <v>60</v>
      </c>
      <c r="Q33" s="11">
        <v>15</v>
      </c>
      <c r="R33" s="4">
        <v>23.8</v>
      </c>
      <c r="S33" s="4">
        <v>41</v>
      </c>
      <c r="T33" s="4">
        <v>77.400000000000006</v>
      </c>
      <c r="U33" s="4">
        <v>118.1</v>
      </c>
      <c r="V33" s="4">
        <v>151</v>
      </c>
      <c r="W33" s="4">
        <v>148.30000000000001</v>
      </c>
      <c r="X33" s="4">
        <v>145.80000000000001</v>
      </c>
      <c r="Y33" s="4">
        <v>140.6</v>
      </c>
      <c r="Z33" s="4">
        <v>90.7</v>
      </c>
      <c r="AA33" s="4">
        <v>62.5</v>
      </c>
      <c r="AB33" s="4">
        <v>28.8</v>
      </c>
      <c r="AC33" s="4">
        <v>17.899999999999999</v>
      </c>
    </row>
    <row r="34" spans="1:29" ht="15.75" thickBot="1">
      <c r="A34" s="2"/>
      <c r="B34" s="11">
        <v>30</v>
      </c>
      <c r="C34" s="4">
        <v>24.9</v>
      </c>
      <c r="D34" s="4">
        <v>43.7</v>
      </c>
      <c r="E34" s="4">
        <v>78.900000000000006</v>
      </c>
      <c r="F34" s="4">
        <v>118.8</v>
      </c>
      <c r="G34" s="4">
        <v>148.1</v>
      </c>
      <c r="H34" s="4">
        <v>144.69999999999999</v>
      </c>
      <c r="I34" s="4">
        <v>142.1</v>
      </c>
      <c r="J34" s="4">
        <v>139.9</v>
      </c>
      <c r="K34" s="4">
        <v>91.4</v>
      </c>
      <c r="L34" s="4">
        <v>66.2</v>
      </c>
      <c r="M34" s="4">
        <v>31.7</v>
      </c>
      <c r="N34" s="4">
        <v>20.100000000000001</v>
      </c>
      <c r="P34" s="2"/>
      <c r="Q34" s="11">
        <v>30</v>
      </c>
      <c r="R34" s="4">
        <v>24.9</v>
      </c>
      <c r="S34" s="4">
        <v>43.7</v>
      </c>
      <c r="T34" s="4">
        <v>78.900000000000006</v>
      </c>
      <c r="U34" s="4">
        <v>118.8</v>
      </c>
      <c r="V34" s="4">
        <v>148.1</v>
      </c>
      <c r="W34" s="4">
        <v>144.69999999999999</v>
      </c>
      <c r="X34" s="4">
        <v>142.1</v>
      </c>
      <c r="Y34" s="4">
        <v>139.9</v>
      </c>
      <c r="Z34" s="4">
        <v>91.4</v>
      </c>
      <c r="AA34" s="4">
        <v>66.2</v>
      </c>
      <c r="AB34" s="4">
        <v>31.7</v>
      </c>
      <c r="AC34" s="4">
        <v>20.100000000000001</v>
      </c>
    </row>
    <row r="35" spans="1:29" ht="15.75" thickBot="1">
      <c r="A35" s="2"/>
      <c r="B35" s="11">
        <v>45</v>
      </c>
      <c r="C35" s="4">
        <v>26.8</v>
      </c>
      <c r="D35" s="4">
        <v>44.4</v>
      </c>
      <c r="E35" s="4">
        <v>78.099999999999994</v>
      </c>
      <c r="F35" s="4">
        <v>115.9</v>
      </c>
      <c r="G35" s="4">
        <v>139.9</v>
      </c>
      <c r="H35" s="4">
        <v>136.80000000000001</v>
      </c>
      <c r="I35" s="4">
        <v>133.19999999999999</v>
      </c>
      <c r="J35" s="4">
        <v>133.9</v>
      </c>
      <c r="K35" s="4">
        <v>89.3</v>
      </c>
      <c r="L35" s="4">
        <v>67</v>
      </c>
      <c r="M35" s="4">
        <v>33.1</v>
      </c>
      <c r="N35" s="4">
        <v>21.6</v>
      </c>
      <c r="P35" s="2"/>
      <c r="Q35" s="11">
        <v>45</v>
      </c>
      <c r="R35" s="4">
        <v>26.8</v>
      </c>
      <c r="S35" s="4">
        <v>44.4</v>
      </c>
      <c r="T35" s="4">
        <v>78.099999999999994</v>
      </c>
      <c r="U35" s="4">
        <v>115.9</v>
      </c>
      <c r="V35" s="4">
        <v>139.9</v>
      </c>
      <c r="W35" s="4">
        <v>136.80000000000001</v>
      </c>
      <c r="X35" s="4">
        <v>133.19999999999999</v>
      </c>
      <c r="Y35" s="4">
        <v>133.9</v>
      </c>
      <c r="Z35" s="4">
        <v>89.3</v>
      </c>
      <c r="AA35" s="4">
        <v>67</v>
      </c>
      <c r="AB35" s="4">
        <v>33.1</v>
      </c>
      <c r="AC35" s="4">
        <v>21.6</v>
      </c>
    </row>
    <row r="36" spans="1:29" ht="15.75" thickBot="1">
      <c r="A36" s="2"/>
      <c r="B36" s="11">
        <v>60</v>
      </c>
      <c r="C36" s="4">
        <v>26.8</v>
      </c>
      <c r="D36" s="4">
        <v>43.7</v>
      </c>
      <c r="E36" s="4">
        <v>74.400000000000006</v>
      </c>
      <c r="F36" s="4">
        <v>108.7</v>
      </c>
      <c r="G36" s="4">
        <v>127.2</v>
      </c>
      <c r="H36" s="4">
        <v>124.6</v>
      </c>
      <c r="I36" s="4">
        <v>121.3</v>
      </c>
      <c r="J36" s="4">
        <v>123.5</v>
      </c>
      <c r="K36" s="4">
        <v>83.5</v>
      </c>
      <c r="L36" s="4">
        <v>64.7</v>
      </c>
      <c r="M36" s="4">
        <v>33.1</v>
      </c>
      <c r="N36" s="4">
        <v>21.6</v>
      </c>
      <c r="P36" s="2"/>
      <c r="Q36" s="11">
        <v>60</v>
      </c>
      <c r="R36" s="4">
        <v>26.8</v>
      </c>
      <c r="S36" s="4">
        <v>43.7</v>
      </c>
      <c r="T36" s="4">
        <v>74.400000000000006</v>
      </c>
      <c r="U36" s="4">
        <v>108.7</v>
      </c>
      <c r="V36" s="4">
        <v>127.2</v>
      </c>
      <c r="W36" s="4">
        <v>124.6</v>
      </c>
      <c r="X36" s="4">
        <v>121.3</v>
      </c>
      <c r="Y36" s="4">
        <v>123.5</v>
      </c>
      <c r="Z36" s="4">
        <v>83.5</v>
      </c>
      <c r="AA36" s="4">
        <v>64.7</v>
      </c>
      <c r="AB36" s="4">
        <v>33.1</v>
      </c>
      <c r="AC36" s="4">
        <v>21.6</v>
      </c>
    </row>
    <row r="37" spans="1:29" ht="15.75" thickBot="1">
      <c r="A37" s="2"/>
      <c r="B37" s="11">
        <v>75</v>
      </c>
      <c r="C37" s="4">
        <v>24.6</v>
      </c>
      <c r="D37" s="4">
        <v>40.299999999999997</v>
      </c>
      <c r="E37" s="4">
        <v>67.7</v>
      </c>
      <c r="F37" s="4">
        <v>97.9</v>
      </c>
      <c r="G37" s="4">
        <v>111.6</v>
      </c>
      <c r="H37" s="4">
        <v>108.7</v>
      </c>
      <c r="I37" s="4">
        <v>104.9</v>
      </c>
      <c r="J37" s="4">
        <v>109.4</v>
      </c>
      <c r="K37" s="4">
        <v>74.900000000000006</v>
      </c>
      <c r="L37" s="4">
        <v>60.3</v>
      </c>
      <c r="M37" s="4">
        <v>31.7</v>
      </c>
      <c r="N37" s="4">
        <v>20.8</v>
      </c>
      <c r="P37" s="2"/>
      <c r="Q37" s="11">
        <v>75</v>
      </c>
      <c r="R37" s="4">
        <v>24.6</v>
      </c>
      <c r="S37" s="4">
        <v>40.299999999999997</v>
      </c>
      <c r="T37" s="4">
        <v>67.7</v>
      </c>
      <c r="U37" s="4">
        <v>97.9</v>
      </c>
      <c r="V37" s="4">
        <v>111.6</v>
      </c>
      <c r="W37" s="4">
        <v>108.7</v>
      </c>
      <c r="X37" s="4">
        <v>104.9</v>
      </c>
      <c r="Y37" s="4">
        <v>109.4</v>
      </c>
      <c r="Z37" s="4">
        <v>74.900000000000006</v>
      </c>
      <c r="AA37" s="4">
        <v>60.3</v>
      </c>
      <c r="AB37" s="4">
        <v>31.7</v>
      </c>
      <c r="AC37" s="4">
        <v>20.8</v>
      </c>
    </row>
    <row r="38" spans="1:29" ht="15.75" thickBot="1">
      <c r="A38" s="2"/>
      <c r="B38" s="14">
        <v>90</v>
      </c>
      <c r="C38" s="4">
        <v>22.3</v>
      </c>
      <c r="D38" s="4">
        <v>36.299999999999997</v>
      </c>
      <c r="E38" s="4">
        <v>58.8</v>
      </c>
      <c r="F38" s="4">
        <v>83.5</v>
      </c>
      <c r="G38" s="4">
        <v>93</v>
      </c>
      <c r="H38" s="4">
        <v>90.7</v>
      </c>
      <c r="I38" s="4">
        <v>87</v>
      </c>
      <c r="J38" s="4">
        <v>91.5</v>
      </c>
      <c r="K38" s="4">
        <v>64.099999999999994</v>
      </c>
      <c r="L38" s="4">
        <v>52.8</v>
      </c>
      <c r="M38" s="4">
        <v>28.1</v>
      </c>
      <c r="N38" s="4">
        <v>19.3</v>
      </c>
      <c r="P38" s="2"/>
      <c r="Q38" s="14">
        <v>90</v>
      </c>
      <c r="R38" s="4">
        <v>22.3</v>
      </c>
      <c r="S38" s="4">
        <v>36.299999999999997</v>
      </c>
      <c r="T38" s="4">
        <v>58.8</v>
      </c>
      <c r="U38" s="4">
        <v>83.5</v>
      </c>
      <c r="V38" s="4">
        <v>93</v>
      </c>
      <c r="W38" s="4">
        <v>90.7</v>
      </c>
      <c r="X38" s="4">
        <v>87</v>
      </c>
      <c r="Y38" s="4">
        <v>91.5</v>
      </c>
      <c r="Z38" s="4">
        <v>64.099999999999994</v>
      </c>
      <c r="AA38" s="4">
        <v>52.8</v>
      </c>
      <c r="AB38" s="4">
        <v>28.1</v>
      </c>
      <c r="AC38" s="4">
        <v>19.3</v>
      </c>
    </row>
    <row r="39" spans="1:29" ht="16.5" customHeight="1" thickTop="1" thickBot="1">
      <c r="A39" s="2"/>
      <c r="B39" s="292" t="s">
        <v>100</v>
      </c>
      <c r="C39" s="293"/>
      <c r="D39" s="293"/>
      <c r="E39" s="293"/>
      <c r="F39" s="293"/>
      <c r="G39" s="293"/>
      <c r="H39" s="293"/>
      <c r="I39" s="293"/>
      <c r="J39" s="293"/>
      <c r="K39" s="293"/>
      <c r="L39" s="293"/>
      <c r="M39" s="293"/>
      <c r="N39" s="294"/>
      <c r="P39" s="2"/>
      <c r="Q39" s="292" t="s">
        <v>100</v>
      </c>
      <c r="R39" s="293"/>
      <c r="S39" s="293"/>
      <c r="T39" s="293"/>
      <c r="U39" s="293"/>
      <c r="V39" s="293"/>
      <c r="W39" s="293"/>
      <c r="X39" s="293"/>
      <c r="Y39" s="293"/>
      <c r="Z39" s="293"/>
      <c r="AA39" s="293"/>
      <c r="AB39" s="293"/>
      <c r="AC39" s="294"/>
    </row>
    <row r="40" spans="1:29" ht="15.75" thickBot="1">
      <c r="A40" s="2">
        <v>75</v>
      </c>
      <c r="B40" s="11">
        <v>15</v>
      </c>
      <c r="C40" s="4">
        <v>22.3</v>
      </c>
      <c r="D40" s="4">
        <v>39</v>
      </c>
      <c r="E40" s="4">
        <v>73.7</v>
      </c>
      <c r="F40" s="4">
        <v>115.2</v>
      </c>
      <c r="G40" s="4">
        <v>148.80000000000001</v>
      </c>
      <c r="H40" s="4">
        <v>146.9</v>
      </c>
      <c r="I40" s="4">
        <v>143.6</v>
      </c>
      <c r="J40" s="4">
        <v>137.6</v>
      </c>
      <c r="K40" s="4">
        <v>87.8</v>
      </c>
      <c r="L40" s="4">
        <v>59.5</v>
      </c>
      <c r="M40" s="4">
        <v>27.4</v>
      </c>
      <c r="N40" s="4">
        <v>16.399999999999999</v>
      </c>
      <c r="P40" s="2">
        <v>75</v>
      </c>
      <c r="Q40" s="11">
        <v>15</v>
      </c>
      <c r="R40" s="4">
        <v>22.3</v>
      </c>
      <c r="S40" s="4">
        <v>39</v>
      </c>
      <c r="T40" s="4">
        <v>73.7</v>
      </c>
      <c r="U40" s="4">
        <v>115.2</v>
      </c>
      <c r="V40" s="4">
        <v>148.80000000000001</v>
      </c>
      <c r="W40" s="4">
        <v>146.9</v>
      </c>
      <c r="X40" s="4">
        <v>143.6</v>
      </c>
      <c r="Y40" s="4">
        <v>137.6</v>
      </c>
      <c r="Z40" s="4">
        <v>87.8</v>
      </c>
      <c r="AA40" s="4">
        <v>59.5</v>
      </c>
      <c r="AB40" s="4">
        <v>27.4</v>
      </c>
      <c r="AC40" s="4">
        <v>16.399999999999999</v>
      </c>
    </row>
    <row r="41" spans="1:29" ht="15.75" thickBot="1">
      <c r="A41" s="2"/>
      <c r="B41" s="11">
        <v>30</v>
      </c>
      <c r="C41" s="4">
        <v>23.1</v>
      </c>
      <c r="D41" s="4">
        <v>39.6</v>
      </c>
      <c r="E41" s="4">
        <v>73.7</v>
      </c>
      <c r="F41" s="4">
        <v>114.5</v>
      </c>
      <c r="G41" s="4">
        <v>143.6</v>
      </c>
      <c r="H41" s="4">
        <v>142.6</v>
      </c>
      <c r="I41" s="4">
        <v>139.1</v>
      </c>
      <c r="J41" s="4">
        <v>133.9</v>
      </c>
      <c r="K41" s="4">
        <v>86.4</v>
      </c>
      <c r="L41" s="4">
        <v>60.3</v>
      </c>
      <c r="M41" s="4">
        <v>28.1</v>
      </c>
      <c r="N41" s="4">
        <v>17.899999999999999</v>
      </c>
      <c r="P41" s="2"/>
      <c r="Q41" s="11">
        <v>30</v>
      </c>
      <c r="R41" s="4">
        <v>23.1</v>
      </c>
      <c r="S41" s="4">
        <v>39.6</v>
      </c>
      <c r="T41" s="4">
        <v>73.7</v>
      </c>
      <c r="U41" s="4">
        <v>114.5</v>
      </c>
      <c r="V41" s="4">
        <v>143.6</v>
      </c>
      <c r="W41" s="4">
        <v>142.6</v>
      </c>
      <c r="X41" s="4">
        <v>139.1</v>
      </c>
      <c r="Y41" s="4">
        <v>133.9</v>
      </c>
      <c r="Z41" s="4">
        <v>86.4</v>
      </c>
      <c r="AA41" s="4">
        <v>60.3</v>
      </c>
      <c r="AB41" s="4">
        <v>28.1</v>
      </c>
      <c r="AC41" s="4">
        <v>17.899999999999999</v>
      </c>
    </row>
    <row r="42" spans="1:29" ht="15.75" thickBot="1">
      <c r="A42" s="2"/>
      <c r="B42" s="11">
        <v>45</v>
      </c>
      <c r="C42" s="4">
        <v>23.1</v>
      </c>
      <c r="D42" s="4">
        <v>39.6</v>
      </c>
      <c r="E42" s="4">
        <v>71.400000000000006</v>
      </c>
      <c r="F42" s="4">
        <v>110.2</v>
      </c>
      <c r="G42" s="4">
        <v>134.69999999999999</v>
      </c>
      <c r="H42" s="4">
        <v>134.6</v>
      </c>
      <c r="I42" s="4">
        <v>129.5</v>
      </c>
      <c r="J42" s="4">
        <v>127.2</v>
      </c>
      <c r="K42" s="4">
        <v>82.8</v>
      </c>
      <c r="L42" s="4">
        <v>59.5</v>
      </c>
      <c r="M42" s="4">
        <v>28.1</v>
      </c>
      <c r="N42" s="4">
        <v>17.899999999999999</v>
      </c>
      <c r="P42" s="2"/>
      <c r="Q42" s="11">
        <v>45</v>
      </c>
      <c r="R42" s="4">
        <v>23.1</v>
      </c>
      <c r="S42" s="4">
        <v>39.6</v>
      </c>
      <c r="T42" s="4">
        <v>71.400000000000006</v>
      </c>
      <c r="U42" s="4">
        <v>110.2</v>
      </c>
      <c r="V42" s="4">
        <v>134.69999999999999</v>
      </c>
      <c r="W42" s="4">
        <v>134.6</v>
      </c>
      <c r="X42" s="4">
        <v>129.5</v>
      </c>
      <c r="Y42" s="4">
        <v>127.2</v>
      </c>
      <c r="Z42" s="4">
        <v>82.8</v>
      </c>
      <c r="AA42" s="4">
        <v>59.5</v>
      </c>
      <c r="AB42" s="4">
        <v>28.1</v>
      </c>
      <c r="AC42" s="4">
        <v>17.899999999999999</v>
      </c>
    </row>
    <row r="43" spans="1:29" ht="15.75" thickBot="1">
      <c r="A43" s="2"/>
      <c r="B43" s="11">
        <v>60</v>
      </c>
      <c r="C43" s="4">
        <v>22.3</v>
      </c>
      <c r="D43" s="4">
        <v>37.6</v>
      </c>
      <c r="E43" s="4">
        <v>67</v>
      </c>
      <c r="F43" s="4">
        <v>102.2</v>
      </c>
      <c r="G43" s="4">
        <v>122.8</v>
      </c>
      <c r="H43" s="4">
        <v>122.4</v>
      </c>
      <c r="I43" s="4">
        <v>117.6</v>
      </c>
      <c r="J43" s="4">
        <v>116.1</v>
      </c>
      <c r="K43" s="4">
        <v>77</v>
      </c>
      <c r="L43" s="4">
        <v>56.5</v>
      </c>
      <c r="M43" s="4">
        <v>27.4</v>
      </c>
      <c r="N43" s="4">
        <v>17.899999999999999</v>
      </c>
      <c r="P43" s="2"/>
      <c r="Q43" s="11">
        <v>60</v>
      </c>
      <c r="R43" s="4">
        <v>22.3</v>
      </c>
      <c r="S43" s="4">
        <v>37.6</v>
      </c>
      <c r="T43" s="4">
        <v>67</v>
      </c>
      <c r="U43" s="4">
        <v>102.2</v>
      </c>
      <c r="V43" s="4">
        <v>122.8</v>
      </c>
      <c r="W43" s="4">
        <v>122.4</v>
      </c>
      <c r="X43" s="4">
        <v>117.6</v>
      </c>
      <c r="Y43" s="4">
        <v>116.1</v>
      </c>
      <c r="Z43" s="4">
        <v>77</v>
      </c>
      <c r="AA43" s="4">
        <v>56.5</v>
      </c>
      <c r="AB43" s="4">
        <v>27.4</v>
      </c>
      <c r="AC43" s="4">
        <v>17.899999999999999</v>
      </c>
    </row>
    <row r="44" spans="1:29" ht="15.75" thickBot="1">
      <c r="A44" s="2"/>
      <c r="B44" s="11">
        <v>75</v>
      </c>
      <c r="C44" s="4">
        <v>20.100000000000001</v>
      </c>
      <c r="D44" s="4">
        <v>34.9</v>
      </c>
      <c r="E44" s="4">
        <v>61</v>
      </c>
      <c r="F44" s="4">
        <v>92.2</v>
      </c>
      <c r="G44" s="4">
        <v>107.1</v>
      </c>
      <c r="H44" s="4">
        <v>108</v>
      </c>
      <c r="I44" s="4">
        <v>102.7</v>
      </c>
      <c r="J44" s="4">
        <v>101.9</v>
      </c>
      <c r="K44" s="4">
        <v>68.400000000000006</v>
      </c>
      <c r="L44" s="4">
        <v>52.1</v>
      </c>
      <c r="M44" s="4">
        <v>25.2</v>
      </c>
      <c r="N44" s="4">
        <v>16.399999999999999</v>
      </c>
      <c r="P44" s="2"/>
      <c r="Q44" s="11">
        <v>75</v>
      </c>
      <c r="R44" s="4">
        <v>20.100000000000001</v>
      </c>
      <c r="S44" s="4">
        <v>34.9</v>
      </c>
      <c r="T44" s="4">
        <v>61</v>
      </c>
      <c r="U44" s="4">
        <v>92.2</v>
      </c>
      <c r="V44" s="4">
        <v>107.1</v>
      </c>
      <c r="W44" s="4">
        <v>108</v>
      </c>
      <c r="X44" s="4">
        <v>102.7</v>
      </c>
      <c r="Y44" s="4">
        <v>101.9</v>
      </c>
      <c r="Z44" s="4">
        <v>68.400000000000006</v>
      </c>
      <c r="AA44" s="4">
        <v>52.1</v>
      </c>
      <c r="AB44" s="4">
        <v>25.2</v>
      </c>
      <c r="AC44" s="4">
        <v>16.399999999999999</v>
      </c>
    </row>
    <row r="45" spans="1:29" ht="15.75" thickBot="1">
      <c r="A45" s="2"/>
      <c r="B45" s="14">
        <v>90</v>
      </c>
      <c r="C45" s="4">
        <v>17.899999999999999</v>
      </c>
      <c r="D45" s="4">
        <v>30.9</v>
      </c>
      <c r="E45" s="4">
        <v>52.8</v>
      </c>
      <c r="F45" s="4">
        <v>79.2</v>
      </c>
      <c r="G45" s="4">
        <v>90.8</v>
      </c>
      <c r="H45" s="4">
        <v>91.4</v>
      </c>
      <c r="I45" s="4">
        <v>86.3</v>
      </c>
      <c r="J45" s="4">
        <v>87</v>
      </c>
      <c r="K45" s="4">
        <v>59</v>
      </c>
      <c r="L45" s="4">
        <v>45.4</v>
      </c>
      <c r="M45" s="4">
        <v>22.3</v>
      </c>
      <c r="N45" s="4">
        <v>14.9</v>
      </c>
      <c r="P45" s="2"/>
      <c r="Q45" s="14">
        <v>90</v>
      </c>
      <c r="R45" s="4">
        <v>17.899999999999999</v>
      </c>
      <c r="S45" s="4">
        <v>30.9</v>
      </c>
      <c r="T45" s="4">
        <v>52.8</v>
      </c>
      <c r="U45" s="4">
        <v>79.2</v>
      </c>
      <c r="V45" s="4">
        <v>90.8</v>
      </c>
      <c r="W45" s="4">
        <v>91.4</v>
      </c>
      <c r="X45" s="4">
        <v>86.3</v>
      </c>
      <c r="Y45" s="4">
        <v>87</v>
      </c>
      <c r="Z45" s="4">
        <v>59</v>
      </c>
      <c r="AA45" s="4">
        <v>45.4</v>
      </c>
      <c r="AB45" s="4">
        <v>22.3</v>
      </c>
      <c r="AC45" s="4">
        <v>14.9</v>
      </c>
    </row>
    <row r="46" spans="1:29" ht="16.5" customHeight="1" thickTop="1" thickBot="1">
      <c r="A46" s="2"/>
      <c r="B46" s="292" t="s">
        <v>101</v>
      </c>
      <c r="C46" s="293"/>
      <c r="D46" s="293"/>
      <c r="E46" s="293"/>
      <c r="F46" s="293"/>
      <c r="G46" s="293"/>
      <c r="H46" s="293"/>
      <c r="I46" s="293"/>
      <c r="J46" s="293"/>
      <c r="K46" s="293"/>
      <c r="L46" s="293"/>
      <c r="M46" s="293"/>
      <c r="N46" s="294"/>
      <c r="P46" s="2"/>
      <c r="Q46" s="292" t="s">
        <v>101</v>
      </c>
      <c r="R46" s="293"/>
      <c r="S46" s="293"/>
      <c r="T46" s="293"/>
      <c r="U46" s="293"/>
      <c r="V46" s="293"/>
      <c r="W46" s="293"/>
      <c r="X46" s="293"/>
      <c r="Y46" s="293"/>
      <c r="Z46" s="293"/>
      <c r="AA46" s="293"/>
      <c r="AB46" s="293"/>
      <c r="AC46" s="294"/>
    </row>
    <row r="47" spans="1:29" ht="15.75" thickBot="1">
      <c r="A47" s="2">
        <v>90</v>
      </c>
      <c r="B47" s="11">
        <v>15</v>
      </c>
      <c r="C47" s="4">
        <v>20.8</v>
      </c>
      <c r="D47" s="4">
        <v>37</v>
      </c>
      <c r="E47" s="4">
        <v>70.7</v>
      </c>
      <c r="F47" s="4">
        <v>112.3</v>
      </c>
      <c r="G47" s="4">
        <v>145.80000000000001</v>
      </c>
      <c r="H47" s="4">
        <v>145.4</v>
      </c>
      <c r="I47" s="4">
        <v>142.1</v>
      </c>
      <c r="J47" s="4">
        <v>133.9</v>
      </c>
      <c r="K47" s="4">
        <v>84.2</v>
      </c>
      <c r="L47" s="4">
        <v>55.8</v>
      </c>
      <c r="M47" s="4">
        <v>24.5</v>
      </c>
      <c r="N47" s="4">
        <v>14.9</v>
      </c>
      <c r="P47" s="2">
        <v>90</v>
      </c>
      <c r="Q47" s="11">
        <v>15</v>
      </c>
      <c r="R47" s="4">
        <v>20.8</v>
      </c>
      <c r="S47" s="4">
        <v>37</v>
      </c>
      <c r="T47" s="4">
        <v>70.7</v>
      </c>
      <c r="U47" s="4">
        <v>112.3</v>
      </c>
      <c r="V47" s="4">
        <v>145.80000000000001</v>
      </c>
      <c r="W47" s="4">
        <v>145.4</v>
      </c>
      <c r="X47" s="4">
        <v>142.1</v>
      </c>
      <c r="Y47" s="4">
        <v>133.9</v>
      </c>
      <c r="Z47" s="4">
        <v>84.2</v>
      </c>
      <c r="AA47" s="4">
        <v>55.8</v>
      </c>
      <c r="AB47" s="4">
        <v>24.5</v>
      </c>
      <c r="AC47" s="4">
        <v>14.9</v>
      </c>
    </row>
    <row r="48" spans="1:29" ht="15.75" thickBot="1">
      <c r="A48" s="2"/>
      <c r="B48" s="11">
        <v>30</v>
      </c>
      <c r="C48" s="4">
        <v>20.100000000000001</v>
      </c>
      <c r="D48" s="4">
        <v>35.6</v>
      </c>
      <c r="E48" s="4">
        <v>68.400000000000006</v>
      </c>
      <c r="F48" s="4">
        <v>108</v>
      </c>
      <c r="G48" s="4">
        <v>138.4</v>
      </c>
      <c r="H48" s="4">
        <v>139.69999999999999</v>
      </c>
      <c r="I48" s="4">
        <v>135.4</v>
      </c>
      <c r="J48" s="4">
        <v>127.2</v>
      </c>
      <c r="K48" s="4">
        <v>80.599999999999994</v>
      </c>
      <c r="L48" s="4">
        <v>53.6</v>
      </c>
      <c r="M48" s="4">
        <v>24.5</v>
      </c>
      <c r="N48" s="4">
        <v>14.9</v>
      </c>
      <c r="P48" s="2"/>
      <c r="Q48" s="11">
        <v>30</v>
      </c>
      <c r="R48" s="4">
        <v>20.100000000000001</v>
      </c>
      <c r="S48" s="4">
        <v>35.6</v>
      </c>
      <c r="T48" s="4">
        <v>68.400000000000006</v>
      </c>
      <c r="U48" s="4">
        <v>108</v>
      </c>
      <c r="V48" s="4">
        <v>138.4</v>
      </c>
      <c r="W48" s="4">
        <v>139.69999999999999</v>
      </c>
      <c r="X48" s="4">
        <v>135.4</v>
      </c>
      <c r="Y48" s="4">
        <v>127.2</v>
      </c>
      <c r="Z48" s="4">
        <v>80.599999999999994</v>
      </c>
      <c r="AA48" s="4">
        <v>53.6</v>
      </c>
      <c r="AB48" s="4">
        <v>24.5</v>
      </c>
      <c r="AC48" s="4">
        <v>14.9</v>
      </c>
    </row>
    <row r="49" spans="1:29" ht="15.75" thickBot="1">
      <c r="A49" s="2"/>
      <c r="B49" s="11">
        <v>45</v>
      </c>
      <c r="C49" s="4">
        <v>19.3</v>
      </c>
      <c r="D49" s="4">
        <v>34.299999999999997</v>
      </c>
      <c r="E49" s="4">
        <v>64.7</v>
      </c>
      <c r="F49" s="4">
        <v>102.2</v>
      </c>
      <c r="G49" s="4">
        <v>128.69999999999999</v>
      </c>
      <c r="H49" s="4">
        <v>130.30000000000001</v>
      </c>
      <c r="I49" s="4">
        <v>125</v>
      </c>
      <c r="J49" s="4">
        <v>118.3</v>
      </c>
      <c r="K49" s="4">
        <v>75.599999999999994</v>
      </c>
      <c r="L49" s="4">
        <v>51.3</v>
      </c>
      <c r="M49" s="4">
        <v>23</v>
      </c>
      <c r="N49" s="4">
        <v>14.9</v>
      </c>
      <c r="P49" s="2"/>
      <c r="Q49" s="11">
        <v>45</v>
      </c>
      <c r="R49" s="4">
        <v>19.3</v>
      </c>
      <c r="S49" s="4">
        <v>34.299999999999997</v>
      </c>
      <c r="T49" s="4">
        <v>64.7</v>
      </c>
      <c r="U49" s="4">
        <v>102.2</v>
      </c>
      <c r="V49" s="4">
        <v>128.69999999999999</v>
      </c>
      <c r="W49" s="4">
        <v>130.30000000000001</v>
      </c>
      <c r="X49" s="4">
        <v>125</v>
      </c>
      <c r="Y49" s="4">
        <v>118.3</v>
      </c>
      <c r="Z49" s="4">
        <v>75.599999999999994</v>
      </c>
      <c r="AA49" s="4">
        <v>51.3</v>
      </c>
      <c r="AB49" s="4">
        <v>23</v>
      </c>
      <c r="AC49" s="4">
        <v>14.9</v>
      </c>
    </row>
    <row r="50" spans="1:29" ht="15.75" thickBot="1">
      <c r="A50" s="2"/>
      <c r="B50" s="11">
        <v>60</v>
      </c>
      <c r="C50" s="4">
        <v>17.899999999999999</v>
      </c>
      <c r="D50" s="4">
        <v>32.299999999999997</v>
      </c>
      <c r="E50" s="4">
        <v>59.5</v>
      </c>
      <c r="F50" s="4">
        <v>95</v>
      </c>
      <c r="G50" s="4">
        <v>116.1</v>
      </c>
      <c r="H50" s="4">
        <v>118.8</v>
      </c>
      <c r="I50" s="4">
        <v>113.1</v>
      </c>
      <c r="J50" s="4">
        <v>107.1</v>
      </c>
      <c r="K50" s="4">
        <v>69.099999999999994</v>
      </c>
      <c r="L50" s="4">
        <v>48.4</v>
      </c>
      <c r="M50" s="4">
        <v>21.6</v>
      </c>
      <c r="N50" s="4">
        <v>14.1</v>
      </c>
      <c r="P50" s="2"/>
      <c r="Q50" s="11">
        <v>60</v>
      </c>
      <c r="R50" s="4">
        <v>17.899999999999999</v>
      </c>
      <c r="S50" s="4">
        <v>32.299999999999997</v>
      </c>
      <c r="T50" s="4">
        <v>59.5</v>
      </c>
      <c r="U50" s="4">
        <v>95</v>
      </c>
      <c r="V50" s="4">
        <v>116.1</v>
      </c>
      <c r="W50" s="4">
        <v>118.8</v>
      </c>
      <c r="X50" s="4">
        <v>113.1</v>
      </c>
      <c r="Y50" s="4">
        <v>107.1</v>
      </c>
      <c r="Z50" s="4">
        <v>69.099999999999994</v>
      </c>
      <c r="AA50" s="4">
        <v>48.4</v>
      </c>
      <c r="AB50" s="4">
        <v>21.6</v>
      </c>
      <c r="AC50" s="4">
        <v>14.1</v>
      </c>
    </row>
    <row r="51" spans="1:29" ht="15.75" thickBot="1">
      <c r="A51" s="2"/>
      <c r="B51" s="11">
        <v>75</v>
      </c>
      <c r="C51" s="4">
        <v>16.399999999999999</v>
      </c>
      <c r="D51" s="4">
        <v>28.9</v>
      </c>
      <c r="E51" s="4">
        <v>53.6</v>
      </c>
      <c r="F51" s="4">
        <v>85</v>
      </c>
      <c r="G51" s="4">
        <v>101.9</v>
      </c>
      <c r="H51" s="4">
        <v>105.1</v>
      </c>
      <c r="I51" s="4">
        <v>99</v>
      </c>
      <c r="J51" s="4">
        <v>94.5</v>
      </c>
      <c r="K51" s="4">
        <v>61.9</v>
      </c>
      <c r="L51" s="4">
        <v>43.9</v>
      </c>
      <c r="M51" s="4">
        <v>20.2</v>
      </c>
      <c r="N51" s="4">
        <v>12.6</v>
      </c>
      <c r="P51" s="2"/>
      <c r="Q51" s="11">
        <v>75</v>
      </c>
      <c r="R51" s="4">
        <v>16.399999999999999</v>
      </c>
      <c r="S51" s="4">
        <v>28.9</v>
      </c>
      <c r="T51" s="4">
        <v>53.6</v>
      </c>
      <c r="U51" s="4">
        <v>85</v>
      </c>
      <c r="V51" s="4">
        <v>101.9</v>
      </c>
      <c r="W51" s="4">
        <v>105.1</v>
      </c>
      <c r="X51" s="4">
        <v>99</v>
      </c>
      <c r="Y51" s="4">
        <v>94.5</v>
      </c>
      <c r="Z51" s="4">
        <v>61.9</v>
      </c>
      <c r="AA51" s="4">
        <v>43.9</v>
      </c>
      <c r="AB51" s="4">
        <v>20.2</v>
      </c>
      <c r="AC51" s="4">
        <v>12.6</v>
      </c>
    </row>
    <row r="52" spans="1:29" ht="15.75" thickBot="1">
      <c r="A52" s="2"/>
      <c r="B52" s="14">
        <v>90</v>
      </c>
      <c r="C52" s="4">
        <v>14.1</v>
      </c>
      <c r="D52" s="4">
        <v>25.5</v>
      </c>
      <c r="E52" s="4">
        <v>46.9</v>
      </c>
      <c r="F52" s="4">
        <v>74.2</v>
      </c>
      <c r="G52" s="4">
        <v>87</v>
      </c>
      <c r="H52" s="4">
        <v>90</v>
      </c>
      <c r="I52" s="4">
        <v>84.1</v>
      </c>
      <c r="J52" s="4">
        <v>80.400000000000006</v>
      </c>
      <c r="K52" s="4">
        <v>53.3</v>
      </c>
      <c r="L52" s="4">
        <v>38.700000000000003</v>
      </c>
      <c r="M52" s="4">
        <v>18</v>
      </c>
      <c r="N52" s="4">
        <v>11.2</v>
      </c>
      <c r="P52" s="2"/>
      <c r="Q52" s="14">
        <v>90</v>
      </c>
      <c r="R52" s="4">
        <v>14.1</v>
      </c>
      <c r="S52" s="4">
        <v>25.5</v>
      </c>
      <c r="T52" s="4">
        <v>46.9</v>
      </c>
      <c r="U52" s="4">
        <v>74.2</v>
      </c>
      <c r="V52" s="4">
        <v>87</v>
      </c>
      <c r="W52" s="4">
        <v>90</v>
      </c>
      <c r="X52" s="4">
        <v>84.1</v>
      </c>
      <c r="Y52" s="4">
        <v>80.400000000000006</v>
      </c>
      <c r="Z52" s="4">
        <v>53.3</v>
      </c>
      <c r="AA52" s="4">
        <v>38.700000000000003</v>
      </c>
      <c r="AB52" s="4">
        <v>18</v>
      </c>
      <c r="AC52" s="4">
        <v>11.2</v>
      </c>
    </row>
    <row r="53" spans="1:29" ht="15.75" thickTop="1">
      <c r="A53" s="2"/>
      <c r="B53" s="19" t="s">
        <v>25</v>
      </c>
      <c r="C53" s="19"/>
      <c r="D53" s="3">
        <f>CHOOSE(List1!$L$23,0,15,30,45,60,75,90)</f>
        <v>0</v>
      </c>
      <c r="E53" s="19"/>
      <c r="F53" s="19"/>
      <c r="G53" s="19"/>
      <c r="H53" s="19"/>
      <c r="I53" s="19"/>
      <c r="J53" s="19"/>
      <c r="K53" s="19"/>
      <c r="L53" s="19"/>
      <c r="M53" s="19"/>
      <c r="N53" s="19"/>
      <c r="P53" s="2"/>
      <c r="Q53" s="19" t="s">
        <v>25</v>
      </c>
      <c r="R53" s="19"/>
      <c r="S53" s="3">
        <f>CHOOSE(List1!$L$23,0,15,30,45,60,75,90)</f>
        <v>0</v>
      </c>
      <c r="T53" s="19"/>
      <c r="U53" s="19"/>
      <c r="V53" s="19"/>
      <c r="W53" s="19"/>
      <c r="X53" s="19"/>
      <c r="Y53" s="19"/>
      <c r="Z53" s="19"/>
      <c r="AA53" s="19"/>
      <c r="AB53" s="19"/>
      <c r="AC53" s="19"/>
    </row>
    <row r="54" spans="1:29">
      <c r="A54" s="2"/>
      <c r="B54" s="20" t="s">
        <v>19</v>
      </c>
      <c r="C54" s="21" t="s">
        <v>0</v>
      </c>
      <c r="D54" s="21" t="s">
        <v>1</v>
      </c>
      <c r="E54" s="21" t="s">
        <v>2</v>
      </c>
      <c r="F54" s="21" t="s">
        <v>3</v>
      </c>
      <c r="G54" s="21" t="s">
        <v>4</v>
      </c>
      <c r="H54" s="21" t="s">
        <v>20</v>
      </c>
      <c r="I54" s="21" t="s">
        <v>6</v>
      </c>
      <c r="J54" s="21" t="s">
        <v>7</v>
      </c>
      <c r="K54" s="21" t="s">
        <v>8</v>
      </c>
      <c r="L54" s="21" t="s">
        <v>9</v>
      </c>
      <c r="M54" s="21" t="s">
        <v>10</v>
      </c>
      <c r="N54" s="21" t="s">
        <v>11</v>
      </c>
      <c r="P54" s="2"/>
      <c r="Q54" s="20" t="s">
        <v>19</v>
      </c>
      <c r="R54" s="21" t="s">
        <v>0</v>
      </c>
      <c r="S54" s="21" t="s">
        <v>1</v>
      </c>
      <c r="T54" s="21" t="s">
        <v>2</v>
      </c>
      <c r="U54" s="21" t="s">
        <v>3</v>
      </c>
      <c r="V54" s="21" t="s">
        <v>4</v>
      </c>
      <c r="W54" s="21" t="s">
        <v>20</v>
      </c>
      <c r="X54" s="21" t="s">
        <v>6</v>
      </c>
      <c r="Y54" s="21" t="s">
        <v>7</v>
      </c>
      <c r="Z54" s="21" t="s">
        <v>8</v>
      </c>
      <c r="AA54" s="21" t="s">
        <v>9</v>
      </c>
      <c r="AB54" s="21" t="s">
        <v>10</v>
      </c>
      <c r="AC54" s="21" t="s">
        <v>11</v>
      </c>
    </row>
    <row r="55" spans="1:29">
      <c r="A55" s="2"/>
      <c r="B55" s="15">
        <v>0</v>
      </c>
      <c r="C55" s="7">
        <f>C4</f>
        <v>20.8</v>
      </c>
      <c r="D55" s="7">
        <f t="shared" ref="D55:N55" si="0">D4</f>
        <v>37</v>
      </c>
      <c r="E55" s="7">
        <f t="shared" si="0"/>
        <v>72.2</v>
      </c>
      <c r="F55" s="7">
        <f t="shared" si="0"/>
        <v>113.8</v>
      </c>
      <c r="G55" s="7">
        <f t="shared" si="0"/>
        <v>148.80000000000001</v>
      </c>
      <c r="H55" s="7">
        <f t="shared" si="0"/>
        <v>146.19999999999999</v>
      </c>
      <c r="I55" s="7">
        <f t="shared" si="0"/>
        <v>144.30000000000001</v>
      </c>
      <c r="J55" s="7">
        <f t="shared" si="0"/>
        <v>136.19999999999999</v>
      </c>
      <c r="K55" s="7">
        <f t="shared" si="0"/>
        <v>87.1</v>
      </c>
      <c r="L55" s="7">
        <f t="shared" si="0"/>
        <v>56.5</v>
      </c>
      <c r="M55" s="7">
        <f t="shared" si="0"/>
        <v>25.2</v>
      </c>
      <c r="N55" s="7">
        <f t="shared" si="0"/>
        <v>14.9</v>
      </c>
      <c r="P55" s="2"/>
      <c r="Q55" s="15">
        <v>0</v>
      </c>
      <c r="R55" s="7">
        <f>R4</f>
        <v>20.8</v>
      </c>
      <c r="S55" s="7">
        <f t="shared" ref="S55:AC55" si="1">S4</f>
        <v>37</v>
      </c>
      <c r="T55" s="7">
        <f t="shared" si="1"/>
        <v>72.2</v>
      </c>
      <c r="U55" s="7">
        <f t="shared" si="1"/>
        <v>113.8</v>
      </c>
      <c r="V55" s="7">
        <f t="shared" si="1"/>
        <v>148.80000000000001</v>
      </c>
      <c r="W55" s="7">
        <f t="shared" si="1"/>
        <v>146.19999999999999</v>
      </c>
      <c r="X55" s="7">
        <f t="shared" si="1"/>
        <v>144.30000000000001</v>
      </c>
      <c r="Y55" s="7">
        <f t="shared" si="1"/>
        <v>136.19999999999999</v>
      </c>
      <c r="Z55" s="7">
        <f t="shared" si="1"/>
        <v>87.1</v>
      </c>
      <c r="AA55" s="7">
        <f t="shared" si="1"/>
        <v>56.5</v>
      </c>
      <c r="AB55" s="7">
        <f t="shared" si="1"/>
        <v>25.2</v>
      </c>
      <c r="AC55" s="7">
        <f t="shared" si="1"/>
        <v>14.9</v>
      </c>
    </row>
    <row r="56" spans="1:29">
      <c r="A56" s="2"/>
      <c r="B56" s="15">
        <v>15</v>
      </c>
      <c r="C56" s="7">
        <f>+CHOOSE(List1!$L$23,H!C5,H!C12,H!C19,H!C26,C33,C40,C47)</f>
        <v>27.5</v>
      </c>
      <c r="D56" s="7">
        <f>+CHOOSE(List1!$L$23,H!D5,H!D12,H!D19,H!D26,D33,D40,D47)</f>
        <v>46.4</v>
      </c>
      <c r="E56" s="7">
        <f>+CHOOSE(List1!$L$23,H!E5,H!E12,H!E19,H!E26,E33,E40,E47)</f>
        <v>89</v>
      </c>
      <c r="F56" s="7">
        <f>+CHOOSE(List1!$L$23,H!F5,H!F12,H!F19,H!F26,F33,F40,F47)</f>
        <v>124.6</v>
      </c>
      <c r="G56" s="7">
        <f>+CHOOSE(List1!$L$23,H!G5,H!G12,H!G19,H!G26,G33,G40,G47)</f>
        <v>155.5</v>
      </c>
      <c r="H56" s="7">
        <f>+CHOOSE(List1!$L$23,H!H5,H!H12,H!H19,H!H26,H33,H40,H47)</f>
        <v>149.80000000000001</v>
      </c>
      <c r="I56" s="7">
        <f>+CHOOSE(List1!$L$23,H!I5,H!I12,H!I19,H!I26,I33,I40,I47)</f>
        <v>148.80000000000001</v>
      </c>
      <c r="J56" s="7">
        <f>+CHOOSE(List1!$L$23,H!J5,H!J12,H!J19,H!J26,J33,J40,J47)</f>
        <v>147.30000000000001</v>
      </c>
      <c r="K56" s="7">
        <f>+CHOOSE(List1!$L$23,H!K5,H!K12,H!K19,H!K26,K33,K40,K47)</f>
        <v>97.9</v>
      </c>
      <c r="L56" s="7">
        <f>+CHOOSE(List1!$L$23,H!L5,H!L12,H!L19,H!L26,L33,L40,L47)</f>
        <v>69.900000000000006</v>
      </c>
      <c r="M56" s="7">
        <f>+CHOOSE(List1!$L$23,H!M5,H!M12,H!M19,H!M26,M33,M40,M47)</f>
        <v>33.799999999999997</v>
      </c>
      <c r="N56" s="7">
        <f>+CHOOSE(List1!$L$23,H!N5,H!N12,H!N19,H!N26,N33,N40,N47)</f>
        <v>20.8</v>
      </c>
      <c r="P56" s="2"/>
      <c r="Q56" s="15">
        <v>15</v>
      </c>
      <c r="R56" s="7">
        <f>+CHOOSE(List1!$P$23,H!R5,H!R12,H!R19,H!R26,R33,R40,R47)</f>
        <v>27.5</v>
      </c>
      <c r="S56" s="7">
        <f>+CHOOSE(List1!$P$23,H!S5,H!S12,H!S19,H!S26,S33,S40,S47)</f>
        <v>46.4</v>
      </c>
      <c r="T56" s="7">
        <f>+CHOOSE(List1!$P$23,H!T5,H!T12,H!T19,H!T26,T33,T40,T47)</f>
        <v>89</v>
      </c>
      <c r="U56" s="7">
        <f>+CHOOSE(List1!$P$23,H!U5,H!U12,H!U19,H!U26,U33,U40,U47)</f>
        <v>124.6</v>
      </c>
      <c r="V56" s="7">
        <f>+CHOOSE(List1!$P$23,H!V5,H!V12,H!V19,H!V26,V33,V40,V47)</f>
        <v>155.5</v>
      </c>
      <c r="W56" s="7">
        <f>+CHOOSE(List1!$P$23,H!W5,H!W12,H!W19,H!W26,W33,W40,W47)</f>
        <v>149.80000000000001</v>
      </c>
      <c r="X56" s="7">
        <f>+CHOOSE(List1!$P$23,H!X5,H!X12,H!X19,H!X26,X33,X40,X47)</f>
        <v>148.80000000000001</v>
      </c>
      <c r="Y56" s="7">
        <f>+CHOOSE(List1!$P$23,H!Y5,H!Y12,H!Y19,H!Y26,Y33,Y40,Y47)</f>
        <v>147.30000000000001</v>
      </c>
      <c r="Z56" s="7">
        <f>+CHOOSE(List1!$P$23,H!Z5,H!Z12,H!Z19,H!Z26,Z33,Z40,Z47)</f>
        <v>97.9</v>
      </c>
      <c r="AA56" s="7">
        <f>+CHOOSE(List1!$P$23,H!AA5,H!AA12,H!AA19,H!AA26,AA33,AA40,AA47)</f>
        <v>69.900000000000006</v>
      </c>
      <c r="AB56" s="7">
        <f>+CHOOSE(List1!$P$23,H!AB5,H!AB12,H!AB19,H!AB26,AB33,AB40,AB47)</f>
        <v>33.799999999999997</v>
      </c>
      <c r="AC56" s="7">
        <f>+CHOOSE(List1!$P$23,H!AC5,H!AC12,H!AC19,H!AC26,AC33,AC40,AC47)</f>
        <v>20.8</v>
      </c>
    </row>
    <row r="57" spans="1:29">
      <c r="A57" s="2"/>
      <c r="B57" s="15">
        <v>30</v>
      </c>
      <c r="C57" s="7">
        <f>+CHOOSE(List1!$L$23,H!C6,H!C13,H!C20,H!C27,C34,C41,C48)</f>
        <v>32</v>
      </c>
      <c r="D57" s="7">
        <f>+CHOOSE(List1!$L$23,H!D6,H!D13,H!D20,H!D27,D34,D41,D48)</f>
        <v>53.1</v>
      </c>
      <c r="E57" s="7">
        <f>+CHOOSE(List1!$L$23,H!E6,H!E13,H!E20,H!E27,E34,E41,E48)</f>
        <v>90.8</v>
      </c>
      <c r="F57" s="7">
        <f>+CHOOSE(List1!$L$23,H!F6,H!F13,H!F20,H!F27,F34,F41,F48)</f>
        <v>128.9</v>
      </c>
      <c r="G57" s="7">
        <f>+CHOOSE(List1!$L$23,H!G6,H!G13,H!G20,H!G27,G34,G41,G48)</f>
        <v>154.80000000000001</v>
      </c>
      <c r="H57" s="7">
        <f>+CHOOSE(List1!$L$23,H!H6,H!H13,H!H20,H!H27,H34,H41,H48)</f>
        <v>146.19999999999999</v>
      </c>
      <c r="I57" s="7">
        <f>+CHOOSE(List1!$L$23,H!I6,H!I13,H!I20,H!I27,I34,I41,I48)</f>
        <v>145.80000000000001</v>
      </c>
      <c r="J57" s="7">
        <f>+CHOOSE(List1!$L$23,H!J6,H!J13,H!J20,H!J27,J34,J41,J48)</f>
        <v>151.80000000000001</v>
      </c>
      <c r="K57" s="7">
        <f>+CHOOSE(List1!$L$23,H!K6,H!K13,H!K20,H!K27,K34,K41,K48)</f>
        <v>104.4</v>
      </c>
      <c r="L57" s="7">
        <f>+CHOOSE(List1!$L$23,H!L6,H!L13,H!L20,H!L27,L34,L41,L48)</f>
        <v>79.599999999999994</v>
      </c>
      <c r="M57" s="7">
        <f>+CHOOSE(List1!$L$23,H!M6,H!M13,H!M20,H!M27,M34,M41,M48)</f>
        <v>41</v>
      </c>
      <c r="N57" s="7">
        <f>+CHOOSE(List1!$L$23,H!N6,H!N13,H!N20,H!N27,N34,N41,N48)</f>
        <v>25.3</v>
      </c>
      <c r="P57" s="2"/>
      <c r="Q57" s="15">
        <v>30</v>
      </c>
      <c r="R57" s="7">
        <f>+CHOOSE(List1!$P$23,H!R6,H!R13,H!R20,H!R27,R34,R41,R48)</f>
        <v>32</v>
      </c>
      <c r="S57" s="7">
        <f>+CHOOSE(List1!$P$23,H!S6,H!S13,H!S20,H!S27,S34,S41,S48)</f>
        <v>53.1</v>
      </c>
      <c r="T57" s="7">
        <f>+CHOOSE(List1!$P$23,H!T6,H!T13,H!T20,H!T27,T34,T41,T48)</f>
        <v>90.8</v>
      </c>
      <c r="U57" s="7">
        <f>+CHOOSE(List1!$P$23,H!U6,H!U13,H!U20,H!U27,U34,U41,U48)</f>
        <v>128.9</v>
      </c>
      <c r="V57" s="7">
        <f>+CHOOSE(List1!$P$23,H!V6,H!V13,H!V20,H!V27,V34,V41,V48)</f>
        <v>154.80000000000001</v>
      </c>
      <c r="W57" s="7">
        <f>+CHOOSE(List1!$P$23,H!W6,H!W13,H!W20,H!W27,W34,W41,W48)</f>
        <v>146.19999999999999</v>
      </c>
      <c r="X57" s="7">
        <f>+CHOOSE(List1!$P$23,H!X6,H!X13,H!X20,H!X27,X34,X41,X48)</f>
        <v>145.80000000000001</v>
      </c>
      <c r="Y57" s="7">
        <f>+CHOOSE(List1!$P$23,H!Y6,H!Y13,H!Y20,H!Y27,Y34,Y41,Y48)</f>
        <v>151.80000000000001</v>
      </c>
      <c r="Z57" s="7">
        <f>+CHOOSE(List1!$P$23,H!Z6,H!Z13,H!Z20,H!Z27,Z34,Z41,Z48)</f>
        <v>104.4</v>
      </c>
      <c r="AA57" s="7">
        <f>+CHOOSE(List1!$P$23,H!AA6,H!AA13,H!AA20,H!AA27,AA34,AA41,AA48)</f>
        <v>79.599999999999994</v>
      </c>
      <c r="AB57" s="7">
        <f>+CHOOSE(List1!$P$23,H!AB6,H!AB13,H!AB20,H!AB27,AB34,AB41,AB48)</f>
        <v>41</v>
      </c>
      <c r="AC57" s="7">
        <f>+CHOOSE(List1!$P$23,H!AC6,H!AC13,H!AC20,H!AC27,AC34,AC41,AC48)</f>
        <v>25.3</v>
      </c>
    </row>
    <row r="58" spans="1:29">
      <c r="A58" s="2"/>
      <c r="B58" s="15">
        <v>45</v>
      </c>
      <c r="C58" s="7">
        <f>+CHOOSE(List1!$L$23,H!C7,H!C14,H!C21,H!C28,C35,C42,C49)</f>
        <v>35.700000000000003</v>
      </c>
      <c r="D58" s="7">
        <f>+CHOOSE(List1!$L$23,H!D7,H!D14,H!D21,H!D28,D35,D42,D49)</f>
        <v>57.1</v>
      </c>
      <c r="E58" s="7">
        <f>+CHOOSE(List1!$L$23,H!E7,H!E14,H!E21,H!E28,E35,E42,E49)</f>
        <v>93</v>
      </c>
      <c r="F58" s="7">
        <f>+CHOOSE(List1!$L$23,H!F7,H!F14,H!F21,H!F28,F35,F42,F49)</f>
        <v>127.4</v>
      </c>
      <c r="G58" s="7">
        <f>+CHOOSE(List1!$L$23,H!G7,H!G14,H!G21,H!G28,G35,G42,G49)</f>
        <v>147.30000000000001</v>
      </c>
      <c r="H58" s="7">
        <f>+CHOOSE(List1!$L$23,H!H7,H!H14,H!H21,H!H28,H35,H42,H49)</f>
        <v>136.1</v>
      </c>
      <c r="I58" s="7">
        <f>+CHOOSE(List1!$L$23,H!I7,H!I14,H!I21,H!I28,I35,I42,I49)</f>
        <v>136.9</v>
      </c>
      <c r="J58" s="7">
        <f>+CHOOSE(List1!$L$23,H!J7,H!J14,H!J21,H!J28,J35,J42,J49)</f>
        <v>148.1</v>
      </c>
      <c r="K58" s="7">
        <f>+CHOOSE(List1!$L$23,H!K7,H!K14,H!K21,H!K28,K35,K42,K49)</f>
        <v>105.1</v>
      </c>
      <c r="L58" s="7">
        <f>+CHOOSE(List1!$L$23,H!L7,H!L14,H!L21,H!L28,L35,L42,L49)</f>
        <v>85.6</v>
      </c>
      <c r="M58" s="7">
        <f>+CHOOSE(List1!$L$23,H!M7,H!M14,H!M21,H!M28,M35,M42,M49)</f>
        <v>46.1</v>
      </c>
      <c r="N58" s="7">
        <f>+CHOOSE(List1!$L$23,H!N7,H!N14,H!N21,H!N28,N35,N42,N49)</f>
        <v>29</v>
      </c>
      <c r="P58" s="2"/>
      <c r="Q58" s="15">
        <v>45</v>
      </c>
      <c r="R58" s="7">
        <f>+CHOOSE(List1!$P$23,H!R7,H!R14,H!R21,H!R28,R35,R42,R49)</f>
        <v>35.700000000000003</v>
      </c>
      <c r="S58" s="7">
        <f>+CHOOSE(List1!$P$23,H!S7,H!S14,H!S21,H!S28,S35,S42,S49)</f>
        <v>57.1</v>
      </c>
      <c r="T58" s="7">
        <f>+CHOOSE(List1!$P$23,H!T7,H!T14,H!T21,H!T28,T35,T42,T49)</f>
        <v>93</v>
      </c>
      <c r="U58" s="7">
        <f>+CHOOSE(List1!$P$23,H!U7,H!U14,H!U21,H!U28,U35,U42,U49)</f>
        <v>127.4</v>
      </c>
      <c r="V58" s="7">
        <f>+CHOOSE(List1!$P$23,H!V7,H!V14,H!V21,H!V28,V35,V42,V49)</f>
        <v>147.30000000000001</v>
      </c>
      <c r="W58" s="7">
        <f>+CHOOSE(List1!$P$23,H!W7,H!W14,H!W21,H!W28,W35,W42,W49)</f>
        <v>136.1</v>
      </c>
      <c r="X58" s="7">
        <f>+CHOOSE(List1!$P$23,H!X7,H!X14,H!X21,H!X28,X35,X42,X49)</f>
        <v>136.9</v>
      </c>
      <c r="Y58" s="7">
        <f>+CHOOSE(List1!$P$23,H!Y7,H!Y14,H!Y21,H!Y28,Y35,Y42,Y49)</f>
        <v>148.1</v>
      </c>
      <c r="Z58" s="7">
        <f>+CHOOSE(List1!$P$23,H!Z7,H!Z14,H!Z21,H!Z28,Z35,Z42,Z49)</f>
        <v>105.1</v>
      </c>
      <c r="AA58" s="7">
        <f>+CHOOSE(List1!$P$23,H!AA7,H!AA14,H!AA21,H!AA28,AA35,AA42,AA49)</f>
        <v>85.6</v>
      </c>
      <c r="AB58" s="7">
        <f>+CHOOSE(List1!$P$23,H!AB7,H!AB14,H!AB21,H!AB28,AB35,AB42,AB49)</f>
        <v>46.1</v>
      </c>
      <c r="AC58" s="7">
        <f>+CHOOSE(List1!$P$23,H!AC7,H!AC14,H!AC21,H!AC28,AC35,AC42,AC49)</f>
        <v>29</v>
      </c>
    </row>
    <row r="59" spans="1:29">
      <c r="A59" s="2"/>
      <c r="B59" s="15">
        <v>60</v>
      </c>
      <c r="C59" s="7">
        <f>+CHOOSE(List1!$L$23,H!C8,H!C15,H!C22,H!C29,C36,C43,C50)</f>
        <v>37.200000000000003</v>
      </c>
      <c r="D59" s="7">
        <f>+CHOOSE(List1!$L$23,H!D8,H!D15,H!D22,H!D29,D36,D43,D50)</f>
        <v>57.8</v>
      </c>
      <c r="E59" s="7">
        <f>+CHOOSE(List1!$L$23,H!E8,H!E15,H!E22,H!E29,E36,E43,E50)</f>
        <v>91.5</v>
      </c>
      <c r="F59" s="7">
        <f>+CHOOSE(List1!$L$23,H!F8,H!F15,H!F22,H!F29,F36,F43,F50)</f>
        <v>118.8</v>
      </c>
      <c r="G59" s="7">
        <f>+CHOOSE(List1!$L$23,H!G8,H!G15,H!G22,H!G29,G36,G43,G50)</f>
        <v>132.4</v>
      </c>
      <c r="H59" s="7">
        <f>+CHOOSE(List1!$L$23,H!H8,H!H15,H!H22,H!H29,H36,H43,H50)</f>
        <v>120.2</v>
      </c>
      <c r="I59" s="7">
        <f>+CHOOSE(List1!$L$23,H!I8,H!I15,H!I22,H!I29,I36,I43,I50)</f>
        <v>121.3</v>
      </c>
      <c r="J59" s="7">
        <f>+CHOOSE(List1!$L$23,H!J8,H!J15,H!J22,H!J29,J36,J43,J50)</f>
        <v>136.9</v>
      </c>
      <c r="K59" s="7">
        <f>+CHOOSE(List1!$L$23,H!K8,H!K15,H!K22,H!K29,K36,K43,K50)</f>
        <v>100.8</v>
      </c>
      <c r="L59" s="7">
        <f>+CHOOSE(List1!$L$23,H!L8,H!L15,H!L22,H!L29,L36,L43,L50)</f>
        <v>86.3</v>
      </c>
      <c r="M59" s="7">
        <f>+CHOOSE(List1!$L$23,H!M8,H!M15,H!M22,H!M29,M36,M43,M50)</f>
        <v>48.2</v>
      </c>
      <c r="N59" s="7">
        <f>+CHOOSE(List1!$L$23,H!N8,H!N15,H!N22,H!N29,N36,N43,N50)</f>
        <v>30.5</v>
      </c>
      <c r="P59" s="2"/>
      <c r="Q59" s="15">
        <v>60</v>
      </c>
      <c r="R59" s="7">
        <f>+CHOOSE(List1!$P$23,H!R8,H!R15,H!R22,H!R29,R36,R43,R50)</f>
        <v>37.200000000000003</v>
      </c>
      <c r="S59" s="7">
        <f>+CHOOSE(List1!$P$23,H!S8,H!S15,H!S22,H!S29,S36,S43,S50)</f>
        <v>57.8</v>
      </c>
      <c r="T59" s="7">
        <f>+CHOOSE(List1!$P$23,H!T8,H!T15,H!T22,H!T29,T36,T43,T50)</f>
        <v>91.5</v>
      </c>
      <c r="U59" s="7">
        <f>+CHOOSE(List1!$P$23,H!U8,H!U15,H!U22,H!U29,U36,U43,U50)</f>
        <v>118.8</v>
      </c>
      <c r="V59" s="7">
        <f>+CHOOSE(List1!$P$23,H!V8,H!V15,H!V22,H!V29,V36,V43,V50)</f>
        <v>132.4</v>
      </c>
      <c r="W59" s="7">
        <f>+CHOOSE(List1!$P$23,H!W8,H!W15,H!W22,H!W29,W36,W43,W50)</f>
        <v>120.2</v>
      </c>
      <c r="X59" s="7">
        <f>+CHOOSE(List1!$P$23,H!X8,H!X15,H!X22,H!X29,X36,X43,X50)</f>
        <v>121.3</v>
      </c>
      <c r="Y59" s="7">
        <f>+CHOOSE(List1!$P$23,H!Y8,H!Y15,H!Y22,H!Y29,Y36,Y43,Y50)</f>
        <v>136.9</v>
      </c>
      <c r="Z59" s="7">
        <f>+CHOOSE(List1!$P$23,H!Z8,H!Z15,H!Z22,H!Z29,Z36,Z43,Z50)</f>
        <v>100.8</v>
      </c>
      <c r="AA59" s="7">
        <f>+CHOOSE(List1!$P$23,H!AA8,H!AA15,H!AA22,H!AA29,AA36,AA43,AA50)</f>
        <v>86.3</v>
      </c>
      <c r="AB59" s="7">
        <f>+CHOOSE(List1!$P$23,H!AB8,H!AB15,H!AB22,H!AB29,AB36,AB43,AB50)</f>
        <v>48.2</v>
      </c>
      <c r="AC59" s="7">
        <f>+CHOOSE(List1!$P$23,H!AC8,H!AC15,H!AC22,H!AC29,AC36,AC43,AC50)</f>
        <v>30.5</v>
      </c>
    </row>
    <row r="60" spans="1:29">
      <c r="A60" s="2"/>
      <c r="B60" s="15">
        <v>75</v>
      </c>
      <c r="C60" s="7">
        <f>+CHOOSE(List1!$L$23,H!C9,H!C16,H!C23,H!C30,C37,C44,C51)</f>
        <v>36.5</v>
      </c>
      <c r="D60" s="7">
        <f>+CHOOSE(List1!$L$23,H!D9,H!D16,H!D23,H!D30,D37,D44,D51)</f>
        <v>55.8</v>
      </c>
      <c r="E60" s="7">
        <f>+CHOOSE(List1!$L$23,H!E9,H!E16,H!E23,H!E30,E37,E44,E51)</f>
        <v>84.8</v>
      </c>
      <c r="F60" s="7">
        <f>+CHOOSE(List1!$L$23,H!F9,H!F16,H!F23,H!F30,F37,F44,F51)</f>
        <v>105.1</v>
      </c>
      <c r="G60" s="7">
        <f>+CHOOSE(List1!$L$23,H!G9,H!G16,H!G23,H!G30,G37,G44,G51)</f>
        <v>111.6</v>
      </c>
      <c r="H60" s="7">
        <f>+CHOOSE(List1!$L$23,H!H9,H!H16,H!H23,H!H30,H37,H44,H51)</f>
        <v>99.4</v>
      </c>
      <c r="I60" s="7">
        <f>+CHOOSE(List1!$L$23,H!I9,H!I16,H!I23,H!I30,I37,I44,I51)</f>
        <v>101.2</v>
      </c>
      <c r="J60" s="7">
        <f>+CHOOSE(List1!$L$23,H!J9,H!J16,H!J23,H!J30,J37,J44,J51)</f>
        <v>119</v>
      </c>
      <c r="K60" s="7">
        <f>+CHOOSE(List1!$L$23,H!K9,H!K16,H!K23,H!K30,K37,K44,K51)</f>
        <v>91.4</v>
      </c>
      <c r="L60" s="7">
        <f>+CHOOSE(List1!$L$23,H!L9,H!L16,H!L23,H!L30,L37,L44,L51)</f>
        <v>82.6</v>
      </c>
      <c r="M60" s="7">
        <f>+CHOOSE(List1!$L$23,H!M9,H!M16,H!M23,H!M30,M37,M44,M51)</f>
        <v>48.2</v>
      </c>
      <c r="N60" s="7">
        <f>+CHOOSE(List1!$L$23,H!N9,H!N16,H!N23,H!N30,N37,N44,N51)</f>
        <v>30.5</v>
      </c>
      <c r="P60" s="2"/>
      <c r="Q60" s="15">
        <v>75</v>
      </c>
      <c r="R60" s="7">
        <f>+CHOOSE(List1!$P$23,H!R9,H!R16,H!R23,H!R30,R37,R44,R51)</f>
        <v>36.5</v>
      </c>
      <c r="S60" s="7">
        <f>+CHOOSE(List1!$P$23,H!S9,H!S16,H!S23,H!S30,S37,S44,S51)</f>
        <v>55.8</v>
      </c>
      <c r="T60" s="7">
        <f>+CHOOSE(List1!$P$23,H!T9,H!T16,H!T23,H!T30,T37,T44,T51)</f>
        <v>84.8</v>
      </c>
      <c r="U60" s="7">
        <f>+CHOOSE(List1!$P$23,H!U9,H!U16,H!U23,H!U30,U37,U44,U51)</f>
        <v>105.1</v>
      </c>
      <c r="V60" s="7">
        <f>+CHOOSE(List1!$P$23,H!V9,H!V16,H!V23,H!V30,V37,V44,V51)</f>
        <v>111.6</v>
      </c>
      <c r="W60" s="7">
        <f>+CHOOSE(List1!$P$23,H!W9,H!W16,H!W23,H!W30,W37,W44,W51)</f>
        <v>99.4</v>
      </c>
      <c r="X60" s="7">
        <f>+CHOOSE(List1!$P$23,H!X9,H!X16,H!X23,H!X30,X37,X44,X51)</f>
        <v>101.2</v>
      </c>
      <c r="Y60" s="7">
        <f>+CHOOSE(List1!$P$23,H!Y9,H!Y16,H!Y23,H!Y30,Y37,Y44,Y51)</f>
        <v>119</v>
      </c>
      <c r="Z60" s="7">
        <f>+CHOOSE(List1!$P$23,H!Z9,H!Z16,H!Z23,H!Z30,Z37,Z44,Z51)</f>
        <v>91.4</v>
      </c>
      <c r="AA60" s="7">
        <f>+CHOOSE(List1!$P$23,H!AA9,H!AA16,H!AA23,H!AA30,AA37,AA44,AA51)</f>
        <v>82.6</v>
      </c>
      <c r="AB60" s="7">
        <f>+CHOOSE(List1!$P$23,H!AB9,H!AB16,H!AB23,H!AB30,AB37,AB44,AB51)</f>
        <v>48.2</v>
      </c>
      <c r="AC60" s="7">
        <f>+CHOOSE(List1!$P$23,H!AC9,H!AC16,H!AC23,H!AC30,AC37,AC44,AC51)</f>
        <v>30.5</v>
      </c>
    </row>
    <row r="61" spans="1:29">
      <c r="A61" s="2"/>
      <c r="B61" s="15">
        <v>90</v>
      </c>
      <c r="C61" s="7">
        <f>+CHOOSE(List1!$L$23,H!C10,H!C17,H!C24,H!C31,C38,C45,C52)</f>
        <v>34.200000000000003</v>
      </c>
      <c r="D61" s="7">
        <f>+CHOOSE(List1!$L$23,H!D10,H!D17,H!D24,H!D31,D38,D45,D52)</f>
        <v>51.1</v>
      </c>
      <c r="E61" s="7">
        <f>+CHOOSE(List1!$L$23,H!E10,H!E17,H!E24,H!E31,E38,E45,E52)</f>
        <v>74.400000000000006</v>
      </c>
      <c r="F61" s="7">
        <f>+CHOOSE(List1!$L$23,H!F10,H!F17,H!F24,H!F31,F38,F45,F52)</f>
        <v>85.7</v>
      </c>
      <c r="G61" s="7">
        <f>+CHOOSE(List1!$L$23,H!G10,H!G17,H!G24,H!G31,G38,G45,G52)</f>
        <v>87</v>
      </c>
      <c r="H61" s="7">
        <f>+CHOOSE(List1!$L$23,H!H10,H!H17,H!H24,H!H31,H38,H45,H52)</f>
        <v>75.599999999999994</v>
      </c>
      <c r="I61" s="7">
        <f>+CHOOSE(List1!$L$23,H!I10,H!I17,H!I24,H!I31,I38,I45,I52)</f>
        <v>78.099999999999994</v>
      </c>
      <c r="J61" s="7">
        <f>+CHOOSE(List1!$L$23,H!J10,H!J17,H!J24,H!J31,J38,J45,J52)</f>
        <v>96</v>
      </c>
      <c r="K61" s="7">
        <f>+CHOOSE(List1!$L$23,H!K10,H!K17,H!K24,H!K31,K38,K45,K52)</f>
        <v>77.8</v>
      </c>
      <c r="L61" s="7">
        <f>+CHOOSE(List1!$L$23,H!L10,H!L17,H!L24,H!L31,L38,L45,L52)</f>
        <v>74.400000000000006</v>
      </c>
      <c r="M61" s="7">
        <f>+CHOOSE(List1!$L$23,H!M10,H!M17,H!M24,H!M31,M38,M45,M52)</f>
        <v>45.4</v>
      </c>
      <c r="N61" s="7">
        <f>+CHOOSE(List1!$L$23,H!N10,H!N17,H!N24,H!N31,N38,N45,N52)</f>
        <v>29</v>
      </c>
      <c r="P61" s="2"/>
      <c r="Q61" s="15">
        <v>90</v>
      </c>
      <c r="R61" s="7">
        <f>+CHOOSE(List1!$P$23,H!R10,H!R17,H!R24,H!R31,R38,R45,R52)</f>
        <v>34.200000000000003</v>
      </c>
      <c r="S61" s="7">
        <f>+CHOOSE(List1!$P$23,H!S10,H!S17,H!S24,H!S31,S38,S45,S52)</f>
        <v>51.1</v>
      </c>
      <c r="T61" s="7">
        <f>+CHOOSE(List1!$P$23,H!T10,H!T17,H!T24,H!T31,T38,T45,T52)</f>
        <v>74.400000000000006</v>
      </c>
      <c r="U61" s="7">
        <f>+CHOOSE(List1!$P$23,H!U10,H!U17,H!U24,H!U31,U38,U45,U52)</f>
        <v>85.7</v>
      </c>
      <c r="V61" s="7">
        <f>+CHOOSE(List1!$P$23,H!V10,H!V17,H!V24,H!V31,V38,V45,V52)</f>
        <v>87</v>
      </c>
      <c r="W61" s="7">
        <f>+CHOOSE(List1!$P$23,H!W10,H!W17,H!W24,H!W31,W38,W45,W52)</f>
        <v>75.599999999999994</v>
      </c>
      <c r="X61" s="7">
        <f>+CHOOSE(List1!$P$23,H!X10,H!X17,H!X24,H!X31,X38,X45,X52)</f>
        <v>78.099999999999994</v>
      </c>
      <c r="Y61" s="7">
        <f>+CHOOSE(List1!$P$23,H!Y10,H!Y17,H!Y24,H!Y31,Y38,Y45,Y52)</f>
        <v>96</v>
      </c>
      <c r="Z61" s="7">
        <f>+CHOOSE(List1!$P$23,H!Z10,H!Z17,H!Z24,H!Z31,Z38,Z45,Z52)</f>
        <v>77.8</v>
      </c>
      <c r="AA61" s="7">
        <f>+CHOOSE(List1!$P$23,H!AA10,H!AA17,H!AA24,H!AA31,AA38,AA45,AA52)</f>
        <v>74.400000000000006</v>
      </c>
      <c r="AB61" s="7">
        <f>+CHOOSE(List1!$P$23,H!AB10,H!AB17,H!AB24,H!AB31,AB38,AB45,AB52)</f>
        <v>45.4</v>
      </c>
      <c r="AC61" s="7">
        <f>+CHOOSE(List1!$P$23,H!AC10,H!AC17,H!AC24,H!AC31,AC38,AC45,AC52)</f>
        <v>29</v>
      </c>
    </row>
    <row r="62" spans="1:29">
      <c r="A62" s="2"/>
      <c r="B62" s="2"/>
      <c r="C62" s="2"/>
      <c r="D62" s="2"/>
      <c r="E62" s="2"/>
      <c r="F62" s="2"/>
      <c r="G62" s="2"/>
      <c r="H62" s="2"/>
      <c r="I62" s="2"/>
      <c r="J62" s="2"/>
      <c r="K62" s="2"/>
      <c r="L62" s="2"/>
      <c r="M62" s="2"/>
      <c r="N62" s="2"/>
      <c r="P62" s="2"/>
      <c r="Q62" s="2"/>
      <c r="R62" s="2"/>
      <c r="S62" s="2"/>
      <c r="T62" s="2"/>
      <c r="U62" s="2"/>
      <c r="V62" s="2"/>
      <c r="W62" s="2"/>
      <c r="X62" s="2"/>
      <c r="Y62" s="2"/>
      <c r="Z62" s="2"/>
      <c r="AA62" s="2"/>
      <c r="AB62" s="2"/>
      <c r="AC62" s="2"/>
    </row>
    <row r="63" spans="1:29">
      <c r="A63" s="2"/>
      <c r="B63" s="2" t="s">
        <v>26</v>
      </c>
      <c r="C63" s="2"/>
      <c r="D63" s="3">
        <f>CHOOSE(List1!$K$23,0,15,30,45,60,75,90)</f>
        <v>0</v>
      </c>
      <c r="E63" s="2"/>
      <c r="F63" s="2"/>
      <c r="G63" s="2"/>
      <c r="H63" s="2"/>
      <c r="I63" s="2"/>
      <c r="J63" s="2"/>
      <c r="K63" s="2"/>
      <c r="L63" s="2"/>
      <c r="M63" s="2"/>
      <c r="N63" s="2"/>
      <c r="P63" s="2"/>
      <c r="Q63" s="2" t="s">
        <v>26</v>
      </c>
      <c r="R63" s="2"/>
      <c r="S63" s="3">
        <f>CHOOSE(List1!$O$23,0,15,30,45,60,75,90)</f>
        <v>0</v>
      </c>
      <c r="T63" s="2"/>
      <c r="U63" s="2"/>
      <c r="V63" s="2"/>
      <c r="W63" s="2"/>
      <c r="X63" s="2"/>
      <c r="Y63" s="2"/>
      <c r="Z63" s="2"/>
      <c r="AA63" s="2"/>
      <c r="AB63" s="2"/>
      <c r="AC63" s="2"/>
    </row>
    <row r="64" spans="1:29">
      <c r="A64" s="2"/>
      <c r="B64" s="2"/>
      <c r="C64" s="22" t="s">
        <v>0</v>
      </c>
      <c r="D64" s="22" t="s">
        <v>1</v>
      </c>
      <c r="E64" s="22" t="s">
        <v>2</v>
      </c>
      <c r="F64" s="22" t="s">
        <v>3</v>
      </c>
      <c r="G64" s="22" t="s">
        <v>4</v>
      </c>
      <c r="H64" s="22" t="s">
        <v>20</v>
      </c>
      <c r="I64" s="22" t="s">
        <v>6</v>
      </c>
      <c r="J64" s="22" t="s">
        <v>7</v>
      </c>
      <c r="K64" s="22" t="s">
        <v>8</v>
      </c>
      <c r="L64" s="22" t="s">
        <v>9</v>
      </c>
      <c r="M64" s="22" t="s">
        <v>10</v>
      </c>
      <c r="N64" s="22" t="s">
        <v>11</v>
      </c>
      <c r="P64" s="2"/>
      <c r="Q64" s="2"/>
      <c r="R64" s="22" t="s">
        <v>0</v>
      </c>
      <c r="S64" s="22" t="s">
        <v>1</v>
      </c>
      <c r="T64" s="22" t="s">
        <v>2</v>
      </c>
      <c r="U64" s="22" t="s">
        <v>3</v>
      </c>
      <c r="V64" s="22" t="s">
        <v>4</v>
      </c>
      <c r="W64" s="22" t="s">
        <v>20</v>
      </c>
      <c r="X64" s="22" t="s">
        <v>6</v>
      </c>
      <c r="Y64" s="22" t="s">
        <v>7</v>
      </c>
      <c r="Z64" s="22" t="s">
        <v>8</v>
      </c>
      <c r="AA64" s="22" t="s">
        <v>9</v>
      </c>
      <c r="AB64" s="22" t="s">
        <v>10</v>
      </c>
      <c r="AC64" s="22" t="s">
        <v>11</v>
      </c>
    </row>
    <row r="65" spans="1:29">
      <c r="A65" s="2"/>
      <c r="B65" s="15">
        <f>D63</f>
        <v>0</v>
      </c>
      <c r="C65" s="6">
        <f>VLOOKUP($D$63,$B$55:$N$61,2,FALSE)</f>
        <v>20.8</v>
      </c>
      <c r="D65" s="6">
        <f>VLOOKUP($D$63,$B$55:$N$61,3,FALSE)</f>
        <v>37</v>
      </c>
      <c r="E65" s="6">
        <f>VLOOKUP($D$63,$B$55:$N$61,4,FALSE)</f>
        <v>72.2</v>
      </c>
      <c r="F65" s="6">
        <f>VLOOKUP($D$63,$B$55:$N$61,5,FALSE)</f>
        <v>113.8</v>
      </c>
      <c r="G65" s="6">
        <f>VLOOKUP($D$63,$B$55:$N$61,6,FALSE)</f>
        <v>148.80000000000001</v>
      </c>
      <c r="H65" s="6">
        <f>VLOOKUP($D$63,$B$55:$N$61,7,FALSE)</f>
        <v>146.19999999999999</v>
      </c>
      <c r="I65" s="6">
        <f>VLOOKUP($D$63,$B$55:$N$61,8,FALSE)</f>
        <v>144.30000000000001</v>
      </c>
      <c r="J65" s="6">
        <f>VLOOKUP($D$63,$B$55:$N$61,9,FALSE)</f>
        <v>136.19999999999999</v>
      </c>
      <c r="K65" s="6">
        <f>VLOOKUP($D$63,$B$55:$N$61,10,FALSE)</f>
        <v>87.1</v>
      </c>
      <c r="L65" s="6">
        <f>VLOOKUP($D$63,$B$55:$N$61,11,FALSE)</f>
        <v>56.5</v>
      </c>
      <c r="M65" s="6">
        <f>VLOOKUP($D$63,$B$55:$N$61,12,FALSE)</f>
        <v>25.2</v>
      </c>
      <c r="N65" s="6">
        <f>VLOOKUP($D$63,$B$55:$N$61,13,FALSE)</f>
        <v>14.9</v>
      </c>
      <c r="P65" s="2"/>
      <c r="Q65" s="15">
        <f>S63</f>
        <v>0</v>
      </c>
      <c r="R65" s="6">
        <f>VLOOKUP($S$63,$Q$55:$AC$61,2,FALSE)</f>
        <v>20.8</v>
      </c>
      <c r="S65" s="6">
        <f>VLOOKUP($S$63,$Q$55:$AC$61,3,FALSE)</f>
        <v>37</v>
      </c>
      <c r="T65" s="6">
        <f>VLOOKUP($S$63,$Q$55:$AC$61,4,FALSE)</f>
        <v>72.2</v>
      </c>
      <c r="U65" s="6">
        <f>VLOOKUP($S$63,$Q$55:$AC$61,5,FALSE)</f>
        <v>113.8</v>
      </c>
      <c r="V65" s="6">
        <f>VLOOKUP($S$63,$Q$55:$AC$61,6,FALSE)</f>
        <v>148.80000000000001</v>
      </c>
      <c r="W65" s="6">
        <f>VLOOKUP($S$63,$Q$55:$AC$61,7,FALSE)</f>
        <v>146.19999999999999</v>
      </c>
      <c r="X65" s="6">
        <f>VLOOKUP($S$63,$Q$55:$AC$61,8,FALSE)</f>
        <v>144.30000000000001</v>
      </c>
      <c r="Y65" s="6">
        <f>VLOOKUP($S$63,$Q$55:$AC$61,9,FALSE)</f>
        <v>136.19999999999999</v>
      </c>
      <c r="Z65" s="6">
        <f>VLOOKUP($S$63,$Q$55:$AC$61,10,FALSE)</f>
        <v>87.1</v>
      </c>
      <c r="AA65" s="6">
        <f>VLOOKUP($S$63,$Q$55:$AC$61,11,FALSE)</f>
        <v>56.5</v>
      </c>
      <c r="AB65" s="6">
        <f>VLOOKUP($S$63,$Q$55:$AC$61,12,FALSE)</f>
        <v>25.2</v>
      </c>
      <c r="AC65" s="6">
        <f>VLOOKUP($S$63,$Q$55:$AC$61,13,FALSE)</f>
        <v>14.9</v>
      </c>
    </row>
  </sheetData>
  <mergeCells count="16">
    <mergeCell ref="B32:N32"/>
    <mergeCell ref="B39:N39"/>
    <mergeCell ref="B46:N46"/>
    <mergeCell ref="C1:N1"/>
    <mergeCell ref="B3:N3"/>
    <mergeCell ref="B11:N11"/>
    <mergeCell ref="B18:N18"/>
    <mergeCell ref="B25:N25"/>
    <mergeCell ref="Q32:AC32"/>
    <mergeCell ref="Q39:AC39"/>
    <mergeCell ref="Q46:AC46"/>
    <mergeCell ref="R1:AC1"/>
    <mergeCell ref="Q3:AC3"/>
    <mergeCell ref="Q11:AC11"/>
    <mergeCell ref="Q18:AC18"/>
    <mergeCell ref="Q25:AC25"/>
  </mergeCells>
  <pageMargins left="0.7" right="0.7" top="0.78740157499999996" bottom="0.78740157499999996" header="0.3" footer="0.3"/>
  <pageSetup paperSize="9"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List3"/>
  <dimension ref="A1:AC65"/>
  <sheetViews>
    <sheetView topLeftCell="A13" zoomScale="85" zoomScaleNormal="85" workbookViewId="0">
      <selection activeCell="AD65" sqref="AD65"/>
    </sheetView>
  </sheetViews>
  <sheetFormatPr defaultRowHeight="15"/>
  <sheetData>
    <row r="1" spans="1:29" ht="37.5" thickTop="1" thickBot="1">
      <c r="A1" s="2"/>
      <c r="B1" s="16" t="s">
        <v>18</v>
      </c>
      <c r="C1" s="295" t="s">
        <v>54</v>
      </c>
      <c r="D1" s="296"/>
      <c r="E1" s="296"/>
      <c r="F1" s="296"/>
      <c r="G1" s="296"/>
      <c r="H1" s="296"/>
      <c r="I1" s="296"/>
      <c r="J1" s="296"/>
      <c r="K1" s="296"/>
      <c r="L1" s="296"/>
      <c r="M1" s="296"/>
      <c r="N1" s="297"/>
      <c r="P1" s="2"/>
      <c r="Q1" s="16" t="s">
        <v>18</v>
      </c>
      <c r="R1" s="295" t="s">
        <v>54</v>
      </c>
      <c r="S1" s="296"/>
      <c r="T1" s="296"/>
      <c r="U1" s="296"/>
      <c r="V1" s="296"/>
      <c r="W1" s="296"/>
      <c r="X1" s="296"/>
      <c r="Y1" s="296"/>
      <c r="Z1" s="296"/>
      <c r="AA1" s="296"/>
      <c r="AB1" s="296"/>
      <c r="AC1" s="297"/>
    </row>
    <row r="2" spans="1:29" ht="15.75" thickBot="1">
      <c r="A2" s="2"/>
      <c r="B2" s="17" t="s">
        <v>19</v>
      </c>
      <c r="C2" s="5" t="s">
        <v>0</v>
      </c>
      <c r="D2" s="5" t="s">
        <v>1</v>
      </c>
      <c r="E2" s="5" t="s">
        <v>2</v>
      </c>
      <c r="F2" s="5" t="s">
        <v>3</v>
      </c>
      <c r="G2" s="5" t="s">
        <v>4</v>
      </c>
      <c r="H2" s="5" t="s">
        <v>20</v>
      </c>
      <c r="I2" s="5" t="s">
        <v>6</v>
      </c>
      <c r="J2" s="5" t="s">
        <v>7</v>
      </c>
      <c r="K2" s="5" t="s">
        <v>8</v>
      </c>
      <c r="L2" s="5" t="s">
        <v>9</v>
      </c>
      <c r="M2" s="5" t="s">
        <v>10</v>
      </c>
      <c r="N2" s="8" t="s">
        <v>11</v>
      </c>
      <c r="P2" s="2"/>
      <c r="Q2" s="17" t="s">
        <v>19</v>
      </c>
      <c r="R2" s="5" t="s">
        <v>0</v>
      </c>
      <c r="S2" s="5" t="s">
        <v>1</v>
      </c>
      <c r="T2" s="5" t="s">
        <v>2</v>
      </c>
      <c r="U2" s="5" t="s">
        <v>3</v>
      </c>
      <c r="V2" s="5" t="s">
        <v>4</v>
      </c>
      <c r="W2" s="5" t="s">
        <v>20</v>
      </c>
      <c r="X2" s="5" t="s">
        <v>6</v>
      </c>
      <c r="Y2" s="5" t="s">
        <v>7</v>
      </c>
      <c r="Z2" s="5" t="s">
        <v>8</v>
      </c>
      <c r="AA2" s="5" t="s">
        <v>9</v>
      </c>
      <c r="AB2" s="5" t="s">
        <v>10</v>
      </c>
      <c r="AC2" s="8" t="s">
        <v>11</v>
      </c>
    </row>
    <row r="3" spans="1:29" ht="16.5" thickTop="1" thickBot="1">
      <c r="A3" s="2"/>
      <c r="B3" s="292" t="s">
        <v>21</v>
      </c>
      <c r="C3" s="293"/>
      <c r="D3" s="293"/>
      <c r="E3" s="293"/>
      <c r="F3" s="293"/>
      <c r="G3" s="293"/>
      <c r="H3" s="293"/>
      <c r="I3" s="293"/>
      <c r="J3" s="293"/>
      <c r="K3" s="293"/>
      <c r="L3" s="293"/>
      <c r="M3" s="293"/>
      <c r="N3" s="294"/>
      <c r="P3" s="2"/>
      <c r="Q3" s="292" t="s">
        <v>21</v>
      </c>
      <c r="R3" s="293"/>
      <c r="S3" s="293"/>
      <c r="T3" s="293"/>
      <c r="U3" s="293"/>
      <c r="V3" s="293"/>
      <c r="W3" s="293"/>
      <c r="X3" s="293"/>
      <c r="Y3" s="293"/>
      <c r="Z3" s="293"/>
      <c r="AA3" s="293"/>
      <c r="AB3" s="293"/>
      <c r="AC3" s="294"/>
    </row>
    <row r="4" spans="1:29" ht="15.75" thickBot="1">
      <c r="A4" s="2">
        <v>0</v>
      </c>
      <c r="B4" s="11">
        <v>0</v>
      </c>
      <c r="C4" s="12">
        <v>175</v>
      </c>
      <c r="D4" s="12">
        <v>253</v>
      </c>
      <c r="E4" s="12">
        <v>365</v>
      </c>
      <c r="F4" s="12">
        <v>446</v>
      </c>
      <c r="G4" s="12">
        <v>498</v>
      </c>
      <c r="H4" s="12">
        <v>514</v>
      </c>
      <c r="I4" s="12">
        <v>501</v>
      </c>
      <c r="J4" s="12">
        <v>462</v>
      </c>
      <c r="K4" s="12">
        <v>388</v>
      </c>
      <c r="L4" s="12">
        <v>285</v>
      </c>
      <c r="M4" s="12">
        <v>195</v>
      </c>
      <c r="N4" s="13">
        <v>150</v>
      </c>
      <c r="P4" s="2">
        <v>0</v>
      </c>
      <c r="Q4" s="11">
        <v>0</v>
      </c>
      <c r="R4" s="12">
        <v>175</v>
      </c>
      <c r="S4" s="12">
        <v>253</v>
      </c>
      <c r="T4" s="12">
        <v>365</v>
      </c>
      <c r="U4" s="12">
        <v>446</v>
      </c>
      <c r="V4" s="12">
        <v>498</v>
      </c>
      <c r="W4" s="12">
        <v>514</v>
      </c>
      <c r="X4" s="12">
        <v>501</v>
      </c>
      <c r="Y4" s="12">
        <v>462</v>
      </c>
      <c r="Z4" s="12">
        <v>388</v>
      </c>
      <c r="AA4" s="12">
        <v>285</v>
      </c>
      <c r="AB4" s="12">
        <v>195</v>
      </c>
      <c r="AC4" s="13">
        <v>150</v>
      </c>
    </row>
    <row r="5" spans="1:29" ht="15.75" thickBot="1">
      <c r="A5" s="2"/>
      <c r="B5" s="11">
        <v>15</v>
      </c>
      <c r="C5" s="12">
        <v>273</v>
      </c>
      <c r="D5" s="12">
        <v>353</v>
      </c>
      <c r="E5" s="12">
        <v>448</v>
      </c>
      <c r="F5" s="12">
        <v>501</v>
      </c>
      <c r="G5" s="12">
        <v>535</v>
      </c>
      <c r="H5" s="12">
        <v>545</v>
      </c>
      <c r="I5" s="12">
        <v>534</v>
      </c>
      <c r="J5" s="12">
        <v>508</v>
      </c>
      <c r="K5" s="12">
        <v>457</v>
      </c>
      <c r="L5" s="12">
        <v>375</v>
      </c>
      <c r="M5" s="12">
        <v>290</v>
      </c>
      <c r="N5" s="13">
        <v>245</v>
      </c>
      <c r="P5" s="2"/>
      <c r="Q5" s="11">
        <v>15</v>
      </c>
      <c r="R5" s="12">
        <v>273</v>
      </c>
      <c r="S5" s="12">
        <v>353</v>
      </c>
      <c r="T5" s="12">
        <v>448</v>
      </c>
      <c r="U5" s="12">
        <v>501</v>
      </c>
      <c r="V5" s="12">
        <v>535</v>
      </c>
      <c r="W5" s="12">
        <v>545</v>
      </c>
      <c r="X5" s="12">
        <v>534</v>
      </c>
      <c r="Y5" s="12">
        <v>508</v>
      </c>
      <c r="Z5" s="12">
        <v>457</v>
      </c>
      <c r="AA5" s="12">
        <v>375</v>
      </c>
      <c r="AB5" s="12">
        <v>290</v>
      </c>
      <c r="AC5" s="13">
        <v>245</v>
      </c>
    </row>
    <row r="6" spans="1:29" ht="15.75" thickBot="1">
      <c r="A6" s="2"/>
      <c r="B6" s="11">
        <v>30</v>
      </c>
      <c r="C6" s="12">
        <v>356</v>
      </c>
      <c r="D6" s="12">
        <v>434</v>
      </c>
      <c r="E6" s="12">
        <v>506</v>
      </c>
      <c r="F6" s="12">
        <v>529</v>
      </c>
      <c r="G6" s="12">
        <v>543</v>
      </c>
      <c r="H6" s="12">
        <v>546</v>
      </c>
      <c r="I6" s="12">
        <v>538</v>
      </c>
      <c r="J6" s="12">
        <v>526</v>
      </c>
      <c r="K6" s="12">
        <v>501</v>
      </c>
      <c r="L6" s="12">
        <v>444</v>
      </c>
      <c r="M6" s="12">
        <v>369</v>
      </c>
      <c r="N6" s="13">
        <v>325</v>
      </c>
      <c r="P6" s="2"/>
      <c r="Q6" s="11">
        <v>30</v>
      </c>
      <c r="R6" s="12">
        <v>356</v>
      </c>
      <c r="S6" s="12">
        <v>434</v>
      </c>
      <c r="T6" s="12">
        <v>506</v>
      </c>
      <c r="U6" s="12">
        <v>529</v>
      </c>
      <c r="V6" s="12">
        <v>543</v>
      </c>
      <c r="W6" s="12">
        <v>546</v>
      </c>
      <c r="X6" s="12">
        <v>538</v>
      </c>
      <c r="Y6" s="12">
        <v>526</v>
      </c>
      <c r="Z6" s="12">
        <v>501</v>
      </c>
      <c r="AA6" s="12">
        <v>444</v>
      </c>
      <c r="AB6" s="12">
        <v>369</v>
      </c>
      <c r="AC6" s="13">
        <v>325</v>
      </c>
    </row>
    <row r="7" spans="1:29" ht="15.75" thickBot="1">
      <c r="A7" s="2"/>
      <c r="B7" s="11">
        <v>45</v>
      </c>
      <c r="C7" s="12">
        <v>418</v>
      </c>
      <c r="D7" s="12">
        <v>489</v>
      </c>
      <c r="E7" s="12">
        <v>535</v>
      </c>
      <c r="F7" s="12">
        <v>527</v>
      </c>
      <c r="G7" s="12">
        <v>521</v>
      </c>
      <c r="H7" s="12">
        <v>517</v>
      </c>
      <c r="I7" s="12">
        <v>512</v>
      </c>
      <c r="J7" s="12">
        <v>515</v>
      </c>
      <c r="K7" s="12">
        <v>516</v>
      </c>
      <c r="L7" s="12">
        <v>488</v>
      </c>
      <c r="M7" s="12">
        <v>427</v>
      </c>
      <c r="N7" s="13">
        <v>387</v>
      </c>
      <c r="P7" s="2"/>
      <c r="Q7" s="11">
        <v>45</v>
      </c>
      <c r="R7" s="12">
        <v>418</v>
      </c>
      <c r="S7" s="12">
        <v>489</v>
      </c>
      <c r="T7" s="12">
        <v>535</v>
      </c>
      <c r="U7" s="12">
        <v>527</v>
      </c>
      <c r="V7" s="12">
        <v>521</v>
      </c>
      <c r="W7" s="12">
        <v>517</v>
      </c>
      <c r="X7" s="12">
        <v>512</v>
      </c>
      <c r="Y7" s="12">
        <v>515</v>
      </c>
      <c r="Z7" s="12">
        <v>516</v>
      </c>
      <c r="AA7" s="12">
        <v>488</v>
      </c>
      <c r="AB7" s="12">
        <v>427</v>
      </c>
      <c r="AC7" s="13">
        <v>387</v>
      </c>
    </row>
    <row r="8" spans="1:29" ht="15.75" thickBot="1">
      <c r="A8" s="2"/>
      <c r="B8" s="11">
        <v>60</v>
      </c>
      <c r="C8" s="12">
        <v>454</v>
      </c>
      <c r="D8" s="12">
        <v>514</v>
      </c>
      <c r="E8" s="12">
        <v>533</v>
      </c>
      <c r="F8" s="12">
        <v>496</v>
      </c>
      <c r="G8" s="12">
        <v>470</v>
      </c>
      <c r="H8" s="12">
        <v>460</v>
      </c>
      <c r="I8" s="12">
        <v>459</v>
      </c>
      <c r="J8" s="12">
        <v>476</v>
      </c>
      <c r="K8" s="12">
        <v>503</v>
      </c>
      <c r="L8" s="12">
        <v>502</v>
      </c>
      <c r="M8" s="12">
        <v>458</v>
      </c>
      <c r="N8" s="13">
        <v>424</v>
      </c>
      <c r="P8" s="2"/>
      <c r="Q8" s="11">
        <v>60</v>
      </c>
      <c r="R8" s="12">
        <v>454</v>
      </c>
      <c r="S8" s="12">
        <v>514</v>
      </c>
      <c r="T8" s="12">
        <v>533</v>
      </c>
      <c r="U8" s="12">
        <v>496</v>
      </c>
      <c r="V8" s="12">
        <v>470</v>
      </c>
      <c r="W8" s="12">
        <v>460</v>
      </c>
      <c r="X8" s="12">
        <v>459</v>
      </c>
      <c r="Y8" s="12">
        <v>476</v>
      </c>
      <c r="Z8" s="12">
        <v>503</v>
      </c>
      <c r="AA8" s="12">
        <v>502</v>
      </c>
      <c r="AB8" s="12">
        <v>458</v>
      </c>
      <c r="AC8" s="13">
        <v>424</v>
      </c>
    </row>
    <row r="9" spans="1:29" ht="15.75" thickBot="1">
      <c r="A9" s="2"/>
      <c r="B9" s="11">
        <v>75</v>
      </c>
      <c r="C9" s="12">
        <v>463</v>
      </c>
      <c r="D9" s="12">
        <v>509</v>
      </c>
      <c r="E9" s="12">
        <v>500</v>
      </c>
      <c r="F9" s="12">
        <v>437</v>
      </c>
      <c r="G9" s="12">
        <v>394</v>
      </c>
      <c r="H9" s="12">
        <v>379</v>
      </c>
      <c r="I9" s="12">
        <v>381</v>
      </c>
      <c r="J9" s="12">
        <v>411</v>
      </c>
      <c r="K9" s="12">
        <v>461</v>
      </c>
      <c r="L9" s="12">
        <v>488</v>
      </c>
      <c r="M9" s="12">
        <v>462</v>
      </c>
      <c r="N9" s="13">
        <v>436</v>
      </c>
      <c r="P9" s="2"/>
      <c r="Q9" s="11">
        <v>75</v>
      </c>
      <c r="R9" s="12">
        <v>463</v>
      </c>
      <c r="S9" s="12">
        <v>509</v>
      </c>
      <c r="T9" s="12">
        <v>500</v>
      </c>
      <c r="U9" s="12">
        <v>437</v>
      </c>
      <c r="V9" s="12">
        <v>394</v>
      </c>
      <c r="W9" s="12">
        <v>379</v>
      </c>
      <c r="X9" s="12">
        <v>381</v>
      </c>
      <c r="Y9" s="12">
        <v>411</v>
      </c>
      <c r="Z9" s="12">
        <v>461</v>
      </c>
      <c r="AA9" s="12">
        <v>488</v>
      </c>
      <c r="AB9" s="12">
        <v>462</v>
      </c>
      <c r="AC9" s="13">
        <v>436</v>
      </c>
    </row>
    <row r="10" spans="1:29" ht="15.75" thickBot="1">
      <c r="A10" s="2"/>
      <c r="B10" s="14">
        <v>90</v>
      </c>
      <c r="C10" s="9">
        <v>443</v>
      </c>
      <c r="D10" s="9">
        <v>473</v>
      </c>
      <c r="E10" s="9">
        <v>438</v>
      </c>
      <c r="F10" s="9">
        <v>355</v>
      </c>
      <c r="G10" s="9">
        <v>299</v>
      </c>
      <c r="H10" s="9">
        <v>279</v>
      </c>
      <c r="I10" s="9">
        <v>285</v>
      </c>
      <c r="J10" s="9">
        <v>325</v>
      </c>
      <c r="K10" s="9">
        <v>393</v>
      </c>
      <c r="L10" s="9">
        <v>444</v>
      </c>
      <c r="M10" s="9">
        <v>438</v>
      </c>
      <c r="N10" s="10">
        <v>421</v>
      </c>
      <c r="P10" s="2"/>
      <c r="Q10" s="14">
        <v>90</v>
      </c>
      <c r="R10" s="9">
        <v>443</v>
      </c>
      <c r="S10" s="9">
        <v>473</v>
      </c>
      <c r="T10" s="9">
        <v>438</v>
      </c>
      <c r="U10" s="9">
        <v>355</v>
      </c>
      <c r="V10" s="9">
        <v>299</v>
      </c>
      <c r="W10" s="9">
        <v>279</v>
      </c>
      <c r="X10" s="9">
        <v>285</v>
      </c>
      <c r="Y10" s="9">
        <v>325</v>
      </c>
      <c r="Z10" s="9">
        <v>393</v>
      </c>
      <c r="AA10" s="9">
        <v>444</v>
      </c>
      <c r="AB10" s="9">
        <v>438</v>
      </c>
      <c r="AC10" s="10">
        <v>421</v>
      </c>
    </row>
    <row r="11" spans="1:29" ht="16.5" thickTop="1" thickBot="1">
      <c r="A11" s="2"/>
      <c r="B11" s="292" t="s">
        <v>22</v>
      </c>
      <c r="C11" s="293"/>
      <c r="D11" s="293"/>
      <c r="E11" s="293"/>
      <c r="F11" s="293"/>
      <c r="G11" s="293"/>
      <c r="H11" s="293"/>
      <c r="I11" s="293"/>
      <c r="J11" s="293"/>
      <c r="K11" s="293"/>
      <c r="L11" s="293"/>
      <c r="M11" s="293"/>
      <c r="N11" s="294"/>
      <c r="P11" s="2"/>
      <c r="Q11" s="292" t="s">
        <v>22</v>
      </c>
      <c r="R11" s="293"/>
      <c r="S11" s="293"/>
      <c r="T11" s="293"/>
      <c r="U11" s="293"/>
      <c r="V11" s="293"/>
      <c r="W11" s="293"/>
      <c r="X11" s="293"/>
      <c r="Y11" s="293"/>
      <c r="Z11" s="293"/>
      <c r="AA11" s="293"/>
      <c r="AB11" s="293"/>
      <c r="AC11" s="294"/>
    </row>
    <row r="12" spans="1:29" ht="15.75" thickBot="1">
      <c r="A12" s="2">
        <v>15</v>
      </c>
      <c r="B12" s="11">
        <v>15</v>
      </c>
      <c r="C12" s="12">
        <v>270</v>
      </c>
      <c r="D12" s="12">
        <v>350</v>
      </c>
      <c r="E12" s="12">
        <v>445</v>
      </c>
      <c r="F12" s="12">
        <v>499</v>
      </c>
      <c r="G12" s="12">
        <v>534</v>
      </c>
      <c r="H12" s="12">
        <v>543</v>
      </c>
      <c r="I12" s="12">
        <v>533</v>
      </c>
      <c r="J12" s="12">
        <v>506</v>
      </c>
      <c r="K12" s="12">
        <v>454</v>
      </c>
      <c r="L12" s="12">
        <v>372</v>
      </c>
      <c r="M12" s="12">
        <v>287</v>
      </c>
      <c r="N12" s="13">
        <v>241</v>
      </c>
      <c r="P12" s="2">
        <v>15</v>
      </c>
      <c r="Q12" s="11">
        <v>15</v>
      </c>
      <c r="R12" s="12">
        <v>270</v>
      </c>
      <c r="S12" s="12">
        <v>350</v>
      </c>
      <c r="T12" s="12">
        <v>445</v>
      </c>
      <c r="U12" s="12">
        <v>499</v>
      </c>
      <c r="V12" s="12">
        <v>534</v>
      </c>
      <c r="W12" s="12">
        <v>543</v>
      </c>
      <c r="X12" s="12">
        <v>533</v>
      </c>
      <c r="Y12" s="12">
        <v>506</v>
      </c>
      <c r="Z12" s="12">
        <v>454</v>
      </c>
      <c r="AA12" s="12">
        <v>372</v>
      </c>
      <c r="AB12" s="12">
        <v>287</v>
      </c>
      <c r="AC12" s="13">
        <v>241</v>
      </c>
    </row>
    <row r="13" spans="1:29" ht="15.75" thickBot="1">
      <c r="A13" s="2"/>
      <c r="B13" s="11">
        <v>30</v>
      </c>
      <c r="C13" s="12">
        <v>349</v>
      </c>
      <c r="D13" s="12">
        <v>427</v>
      </c>
      <c r="E13" s="12">
        <v>500</v>
      </c>
      <c r="F13" s="12">
        <v>525</v>
      </c>
      <c r="G13" s="12">
        <v>540</v>
      </c>
      <c r="H13" s="12">
        <v>543</v>
      </c>
      <c r="I13" s="12">
        <v>535</v>
      </c>
      <c r="J13" s="12">
        <v>522</v>
      </c>
      <c r="K13" s="12">
        <v>496</v>
      </c>
      <c r="L13" s="12">
        <v>438</v>
      </c>
      <c r="M13" s="12">
        <v>363</v>
      </c>
      <c r="N13" s="13">
        <v>319</v>
      </c>
      <c r="P13" s="2"/>
      <c r="Q13" s="11">
        <v>30</v>
      </c>
      <c r="R13" s="12">
        <v>349</v>
      </c>
      <c r="S13" s="12">
        <v>427</v>
      </c>
      <c r="T13" s="12">
        <v>500</v>
      </c>
      <c r="U13" s="12">
        <v>525</v>
      </c>
      <c r="V13" s="12">
        <v>540</v>
      </c>
      <c r="W13" s="12">
        <v>543</v>
      </c>
      <c r="X13" s="12">
        <v>535</v>
      </c>
      <c r="Y13" s="12">
        <v>522</v>
      </c>
      <c r="Z13" s="12">
        <v>496</v>
      </c>
      <c r="AA13" s="12">
        <v>438</v>
      </c>
      <c r="AB13" s="12">
        <v>363</v>
      </c>
      <c r="AC13" s="13">
        <v>319</v>
      </c>
    </row>
    <row r="14" spans="1:29" ht="15.75" thickBot="1">
      <c r="A14" s="2"/>
      <c r="B14" s="11">
        <v>45</v>
      </c>
      <c r="C14" s="12">
        <v>408</v>
      </c>
      <c r="D14" s="12">
        <v>479</v>
      </c>
      <c r="E14" s="12">
        <v>526</v>
      </c>
      <c r="F14" s="12">
        <v>521</v>
      </c>
      <c r="G14" s="12">
        <v>516</v>
      </c>
      <c r="H14" s="12">
        <v>512</v>
      </c>
      <c r="I14" s="12">
        <v>508</v>
      </c>
      <c r="J14" s="12">
        <v>509</v>
      </c>
      <c r="K14" s="12">
        <v>509</v>
      </c>
      <c r="L14" s="12">
        <v>479</v>
      </c>
      <c r="M14" s="12">
        <v>417</v>
      </c>
      <c r="N14" s="13">
        <v>377</v>
      </c>
      <c r="P14" s="2"/>
      <c r="Q14" s="11">
        <v>45</v>
      </c>
      <c r="R14" s="12">
        <v>408</v>
      </c>
      <c r="S14" s="12">
        <v>479</v>
      </c>
      <c r="T14" s="12">
        <v>526</v>
      </c>
      <c r="U14" s="12">
        <v>521</v>
      </c>
      <c r="V14" s="12">
        <v>516</v>
      </c>
      <c r="W14" s="12">
        <v>512</v>
      </c>
      <c r="X14" s="12">
        <v>508</v>
      </c>
      <c r="Y14" s="12">
        <v>509</v>
      </c>
      <c r="Z14" s="12">
        <v>509</v>
      </c>
      <c r="AA14" s="12">
        <v>479</v>
      </c>
      <c r="AB14" s="12">
        <v>417</v>
      </c>
      <c r="AC14" s="13">
        <v>377</v>
      </c>
    </row>
    <row r="15" spans="1:29" ht="15.75" thickBot="1">
      <c r="A15" s="2"/>
      <c r="B15" s="11">
        <v>60</v>
      </c>
      <c r="C15" s="12">
        <v>442</v>
      </c>
      <c r="D15" s="12">
        <v>502</v>
      </c>
      <c r="E15" s="12">
        <v>522</v>
      </c>
      <c r="F15" s="12">
        <v>488</v>
      </c>
      <c r="G15" s="12">
        <v>464</v>
      </c>
      <c r="H15" s="12">
        <v>455</v>
      </c>
      <c r="I15" s="12">
        <v>453</v>
      </c>
      <c r="J15" s="12">
        <v>469</v>
      </c>
      <c r="K15" s="12">
        <v>494</v>
      </c>
      <c r="L15" s="12">
        <v>491</v>
      </c>
      <c r="M15" s="12">
        <v>447</v>
      </c>
      <c r="N15" s="13">
        <v>413</v>
      </c>
      <c r="P15" s="2"/>
      <c r="Q15" s="11">
        <v>60</v>
      </c>
      <c r="R15" s="12">
        <v>442</v>
      </c>
      <c r="S15" s="12">
        <v>502</v>
      </c>
      <c r="T15" s="12">
        <v>522</v>
      </c>
      <c r="U15" s="12">
        <v>488</v>
      </c>
      <c r="V15" s="12">
        <v>464</v>
      </c>
      <c r="W15" s="12">
        <v>455</v>
      </c>
      <c r="X15" s="12">
        <v>453</v>
      </c>
      <c r="Y15" s="12">
        <v>469</v>
      </c>
      <c r="Z15" s="12">
        <v>494</v>
      </c>
      <c r="AA15" s="12">
        <v>491</v>
      </c>
      <c r="AB15" s="12">
        <v>447</v>
      </c>
      <c r="AC15" s="13">
        <v>413</v>
      </c>
    </row>
    <row r="16" spans="1:29" ht="15.75" thickBot="1">
      <c r="A16" s="2"/>
      <c r="B16" s="11">
        <v>75</v>
      </c>
      <c r="C16" s="12">
        <v>449</v>
      </c>
      <c r="D16" s="12">
        <v>495</v>
      </c>
      <c r="E16" s="12">
        <v>488</v>
      </c>
      <c r="F16" s="12">
        <v>428</v>
      </c>
      <c r="G16" s="12">
        <v>388</v>
      </c>
      <c r="H16" s="12">
        <v>373</v>
      </c>
      <c r="I16" s="12">
        <v>375</v>
      </c>
      <c r="J16" s="12">
        <v>403</v>
      </c>
      <c r="K16" s="12">
        <v>451</v>
      </c>
      <c r="L16" s="12">
        <v>475</v>
      </c>
      <c r="M16" s="12">
        <v>449</v>
      </c>
      <c r="N16" s="13">
        <v>423</v>
      </c>
      <c r="P16" s="2"/>
      <c r="Q16" s="11">
        <v>75</v>
      </c>
      <c r="R16" s="12">
        <v>449</v>
      </c>
      <c r="S16" s="12">
        <v>495</v>
      </c>
      <c r="T16" s="12">
        <v>488</v>
      </c>
      <c r="U16" s="12">
        <v>428</v>
      </c>
      <c r="V16" s="12">
        <v>388</v>
      </c>
      <c r="W16" s="12">
        <v>373</v>
      </c>
      <c r="X16" s="12">
        <v>375</v>
      </c>
      <c r="Y16" s="12">
        <v>403</v>
      </c>
      <c r="Z16" s="12">
        <v>451</v>
      </c>
      <c r="AA16" s="12">
        <v>475</v>
      </c>
      <c r="AB16" s="12">
        <v>449</v>
      </c>
      <c r="AC16" s="13">
        <v>423</v>
      </c>
    </row>
    <row r="17" spans="1:29" ht="15.75" thickBot="1">
      <c r="A17" s="2"/>
      <c r="B17" s="14">
        <v>90</v>
      </c>
      <c r="C17" s="9">
        <v>429</v>
      </c>
      <c r="D17" s="9">
        <v>459</v>
      </c>
      <c r="E17" s="9">
        <v>426</v>
      </c>
      <c r="F17" s="9">
        <v>346</v>
      </c>
      <c r="G17" s="9">
        <v>292</v>
      </c>
      <c r="H17" s="9">
        <v>273</v>
      </c>
      <c r="I17" s="9">
        <v>279</v>
      </c>
      <c r="J17" s="9">
        <v>317</v>
      </c>
      <c r="K17" s="9">
        <v>383</v>
      </c>
      <c r="L17" s="9">
        <v>431</v>
      </c>
      <c r="M17" s="9">
        <v>425</v>
      </c>
      <c r="N17" s="10">
        <v>408</v>
      </c>
      <c r="P17" s="2"/>
      <c r="Q17" s="14">
        <v>90</v>
      </c>
      <c r="R17" s="9">
        <v>429</v>
      </c>
      <c r="S17" s="9">
        <v>459</v>
      </c>
      <c r="T17" s="9">
        <v>426</v>
      </c>
      <c r="U17" s="9">
        <v>346</v>
      </c>
      <c r="V17" s="9">
        <v>292</v>
      </c>
      <c r="W17" s="9">
        <v>273</v>
      </c>
      <c r="X17" s="9">
        <v>279</v>
      </c>
      <c r="Y17" s="9">
        <v>317</v>
      </c>
      <c r="Z17" s="9">
        <v>383</v>
      </c>
      <c r="AA17" s="9">
        <v>431</v>
      </c>
      <c r="AB17" s="9">
        <v>425</v>
      </c>
      <c r="AC17" s="10">
        <v>408</v>
      </c>
    </row>
    <row r="18" spans="1:29" ht="16.5" thickTop="1" thickBot="1">
      <c r="A18" s="2"/>
      <c r="B18" s="292" t="s">
        <v>23</v>
      </c>
      <c r="C18" s="293"/>
      <c r="D18" s="293"/>
      <c r="E18" s="293"/>
      <c r="F18" s="293"/>
      <c r="G18" s="293"/>
      <c r="H18" s="293"/>
      <c r="I18" s="293"/>
      <c r="J18" s="293"/>
      <c r="K18" s="293"/>
      <c r="L18" s="293"/>
      <c r="M18" s="293"/>
      <c r="N18" s="294"/>
      <c r="P18" s="2"/>
      <c r="Q18" s="292" t="s">
        <v>23</v>
      </c>
      <c r="R18" s="293"/>
      <c r="S18" s="293"/>
      <c r="T18" s="293"/>
      <c r="U18" s="293"/>
      <c r="V18" s="293"/>
      <c r="W18" s="293"/>
      <c r="X18" s="293"/>
      <c r="Y18" s="293"/>
      <c r="Z18" s="293"/>
      <c r="AA18" s="293"/>
      <c r="AB18" s="293"/>
      <c r="AC18" s="294"/>
    </row>
    <row r="19" spans="1:29" ht="15.75" thickBot="1">
      <c r="A19" s="2">
        <v>30</v>
      </c>
      <c r="B19" s="11">
        <v>15</v>
      </c>
      <c r="C19" s="12">
        <v>259</v>
      </c>
      <c r="D19" s="12">
        <v>339</v>
      </c>
      <c r="E19" s="12">
        <v>435</v>
      </c>
      <c r="F19" s="12">
        <v>492</v>
      </c>
      <c r="G19" s="12">
        <v>529</v>
      </c>
      <c r="H19" s="12">
        <v>539</v>
      </c>
      <c r="I19" s="12">
        <v>528</v>
      </c>
      <c r="J19" s="12">
        <v>500</v>
      </c>
      <c r="K19" s="12">
        <v>446</v>
      </c>
      <c r="L19" s="12">
        <v>362</v>
      </c>
      <c r="M19" s="12">
        <v>277</v>
      </c>
      <c r="N19" s="13">
        <v>232</v>
      </c>
      <c r="P19" s="2">
        <v>30</v>
      </c>
      <c r="Q19" s="11">
        <v>15</v>
      </c>
      <c r="R19" s="12">
        <v>259</v>
      </c>
      <c r="S19" s="12">
        <v>339</v>
      </c>
      <c r="T19" s="12">
        <v>435</v>
      </c>
      <c r="U19" s="12">
        <v>492</v>
      </c>
      <c r="V19" s="12">
        <v>529</v>
      </c>
      <c r="W19" s="12">
        <v>539</v>
      </c>
      <c r="X19" s="12">
        <v>528</v>
      </c>
      <c r="Y19" s="12">
        <v>500</v>
      </c>
      <c r="Z19" s="12">
        <v>446</v>
      </c>
      <c r="AA19" s="12">
        <v>362</v>
      </c>
      <c r="AB19" s="12">
        <v>277</v>
      </c>
      <c r="AC19" s="13">
        <v>232</v>
      </c>
    </row>
    <row r="20" spans="1:29" ht="15.75" thickBot="1">
      <c r="A20" s="2"/>
      <c r="B20" s="11">
        <v>30</v>
      </c>
      <c r="C20" s="12">
        <v>329</v>
      </c>
      <c r="D20" s="12">
        <v>406</v>
      </c>
      <c r="E20" s="12">
        <v>482</v>
      </c>
      <c r="F20" s="12">
        <v>512</v>
      </c>
      <c r="G20" s="12">
        <v>530</v>
      </c>
      <c r="H20" s="12">
        <v>534</v>
      </c>
      <c r="I20" s="12">
        <v>526</v>
      </c>
      <c r="J20" s="12">
        <v>511</v>
      </c>
      <c r="K20" s="12">
        <v>480</v>
      </c>
      <c r="L20" s="12">
        <v>419</v>
      </c>
      <c r="M20" s="12">
        <v>343</v>
      </c>
      <c r="N20" s="13">
        <v>300</v>
      </c>
      <c r="P20" s="2"/>
      <c r="Q20" s="11">
        <v>30</v>
      </c>
      <c r="R20" s="12">
        <v>329</v>
      </c>
      <c r="S20" s="12">
        <v>406</v>
      </c>
      <c r="T20" s="12">
        <v>482</v>
      </c>
      <c r="U20" s="12">
        <v>512</v>
      </c>
      <c r="V20" s="12">
        <v>530</v>
      </c>
      <c r="W20" s="12">
        <v>534</v>
      </c>
      <c r="X20" s="12">
        <v>526</v>
      </c>
      <c r="Y20" s="12">
        <v>511</v>
      </c>
      <c r="Z20" s="12">
        <v>480</v>
      </c>
      <c r="AA20" s="12">
        <v>419</v>
      </c>
      <c r="AB20" s="12">
        <v>343</v>
      </c>
      <c r="AC20" s="13">
        <v>300</v>
      </c>
    </row>
    <row r="21" spans="1:29" ht="15.75" thickBot="1">
      <c r="A21" s="2"/>
      <c r="B21" s="11">
        <v>45</v>
      </c>
      <c r="C21" s="12">
        <v>380</v>
      </c>
      <c r="D21" s="12">
        <v>449</v>
      </c>
      <c r="E21" s="12">
        <v>501</v>
      </c>
      <c r="F21" s="12">
        <v>502</v>
      </c>
      <c r="G21" s="12">
        <v>502</v>
      </c>
      <c r="H21" s="12">
        <v>500</v>
      </c>
      <c r="I21" s="12">
        <v>495</v>
      </c>
      <c r="J21" s="12">
        <v>494</v>
      </c>
      <c r="K21" s="12">
        <v>487</v>
      </c>
      <c r="L21" s="12">
        <v>452</v>
      </c>
      <c r="M21" s="12">
        <v>390</v>
      </c>
      <c r="N21" s="13">
        <v>351</v>
      </c>
      <c r="P21" s="2"/>
      <c r="Q21" s="11">
        <v>45</v>
      </c>
      <c r="R21" s="12">
        <v>380</v>
      </c>
      <c r="S21" s="12">
        <v>449</v>
      </c>
      <c r="T21" s="12">
        <v>501</v>
      </c>
      <c r="U21" s="12">
        <v>502</v>
      </c>
      <c r="V21" s="12">
        <v>502</v>
      </c>
      <c r="W21" s="12">
        <v>500</v>
      </c>
      <c r="X21" s="12">
        <v>495</v>
      </c>
      <c r="Y21" s="12">
        <v>494</v>
      </c>
      <c r="Z21" s="12">
        <v>487</v>
      </c>
      <c r="AA21" s="12">
        <v>452</v>
      </c>
      <c r="AB21" s="12">
        <v>390</v>
      </c>
      <c r="AC21" s="13">
        <v>351</v>
      </c>
    </row>
    <row r="22" spans="1:29" ht="15.75" thickBot="1">
      <c r="A22" s="2"/>
      <c r="B22" s="11">
        <v>60</v>
      </c>
      <c r="C22" s="12">
        <v>408</v>
      </c>
      <c r="D22" s="12">
        <v>466</v>
      </c>
      <c r="E22" s="12">
        <v>491</v>
      </c>
      <c r="F22" s="12">
        <v>465</v>
      </c>
      <c r="G22" s="12">
        <v>447</v>
      </c>
      <c r="H22" s="12">
        <v>440</v>
      </c>
      <c r="I22" s="12">
        <v>438</v>
      </c>
      <c r="J22" s="12">
        <v>449</v>
      </c>
      <c r="K22" s="12">
        <v>467</v>
      </c>
      <c r="L22" s="12">
        <v>459</v>
      </c>
      <c r="M22" s="12">
        <v>413</v>
      </c>
      <c r="N22" s="13">
        <v>380</v>
      </c>
      <c r="P22" s="2"/>
      <c r="Q22" s="11">
        <v>60</v>
      </c>
      <c r="R22" s="12">
        <v>408</v>
      </c>
      <c r="S22" s="12">
        <v>466</v>
      </c>
      <c r="T22" s="12">
        <v>491</v>
      </c>
      <c r="U22" s="12">
        <v>465</v>
      </c>
      <c r="V22" s="12">
        <v>447</v>
      </c>
      <c r="W22" s="12">
        <v>440</v>
      </c>
      <c r="X22" s="12">
        <v>438</v>
      </c>
      <c r="Y22" s="12">
        <v>449</v>
      </c>
      <c r="Z22" s="12">
        <v>467</v>
      </c>
      <c r="AA22" s="12">
        <v>459</v>
      </c>
      <c r="AB22" s="12">
        <v>413</v>
      </c>
      <c r="AC22" s="13">
        <v>380</v>
      </c>
    </row>
    <row r="23" spans="1:29" ht="15.75" thickBot="1">
      <c r="A23" s="2"/>
      <c r="B23" s="11">
        <v>75</v>
      </c>
      <c r="C23" s="12">
        <v>411</v>
      </c>
      <c r="D23" s="12">
        <v>455</v>
      </c>
      <c r="E23" s="12">
        <v>453</v>
      </c>
      <c r="F23" s="12">
        <v>403</v>
      </c>
      <c r="G23" s="12">
        <v>369</v>
      </c>
      <c r="H23" s="12">
        <v>356</v>
      </c>
      <c r="I23" s="12">
        <v>358</v>
      </c>
      <c r="J23" s="12">
        <v>382</v>
      </c>
      <c r="K23" s="12">
        <v>421</v>
      </c>
      <c r="L23" s="12">
        <v>439</v>
      </c>
      <c r="M23" s="12">
        <v>412</v>
      </c>
      <c r="N23" s="13">
        <v>387</v>
      </c>
      <c r="P23" s="2"/>
      <c r="Q23" s="11">
        <v>75</v>
      </c>
      <c r="R23" s="12">
        <v>411</v>
      </c>
      <c r="S23" s="12">
        <v>455</v>
      </c>
      <c r="T23" s="12">
        <v>453</v>
      </c>
      <c r="U23" s="12">
        <v>403</v>
      </c>
      <c r="V23" s="12">
        <v>369</v>
      </c>
      <c r="W23" s="12">
        <v>356</v>
      </c>
      <c r="X23" s="12">
        <v>358</v>
      </c>
      <c r="Y23" s="12">
        <v>382</v>
      </c>
      <c r="Z23" s="12">
        <v>421</v>
      </c>
      <c r="AA23" s="12">
        <v>439</v>
      </c>
      <c r="AB23" s="12">
        <v>412</v>
      </c>
      <c r="AC23" s="13">
        <v>387</v>
      </c>
    </row>
    <row r="24" spans="1:29" ht="15.75" thickBot="1">
      <c r="A24" s="2"/>
      <c r="B24" s="14">
        <v>90</v>
      </c>
      <c r="C24" s="9">
        <v>390</v>
      </c>
      <c r="D24" s="9">
        <v>418</v>
      </c>
      <c r="E24" s="9">
        <v>390</v>
      </c>
      <c r="F24" s="9">
        <v>320</v>
      </c>
      <c r="G24" s="9">
        <v>273</v>
      </c>
      <c r="H24" s="9">
        <v>256</v>
      </c>
      <c r="I24" s="9">
        <v>261</v>
      </c>
      <c r="J24" s="9">
        <v>294</v>
      </c>
      <c r="K24" s="9">
        <v>352</v>
      </c>
      <c r="L24" s="9">
        <v>394</v>
      </c>
      <c r="M24" s="9">
        <v>386</v>
      </c>
      <c r="N24" s="10">
        <v>370</v>
      </c>
      <c r="P24" s="2"/>
      <c r="Q24" s="14">
        <v>90</v>
      </c>
      <c r="R24" s="9">
        <v>390</v>
      </c>
      <c r="S24" s="9">
        <v>418</v>
      </c>
      <c r="T24" s="9">
        <v>390</v>
      </c>
      <c r="U24" s="9">
        <v>320</v>
      </c>
      <c r="V24" s="9">
        <v>273</v>
      </c>
      <c r="W24" s="9">
        <v>256</v>
      </c>
      <c r="X24" s="9">
        <v>261</v>
      </c>
      <c r="Y24" s="9">
        <v>294</v>
      </c>
      <c r="Z24" s="9">
        <v>352</v>
      </c>
      <c r="AA24" s="9">
        <v>394</v>
      </c>
      <c r="AB24" s="9">
        <v>386</v>
      </c>
      <c r="AC24" s="10">
        <v>370</v>
      </c>
    </row>
    <row r="25" spans="1:29" ht="16.5" thickTop="1" thickBot="1">
      <c r="A25" s="2"/>
      <c r="B25" s="292" t="s">
        <v>24</v>
      </c>
      <c r="C25" s="293"/>
      <c r="D25" s="293"/>
      <c r="E25" s="293"/>
      <c r="F25" s="293"/>
      <c r="G25" s="293"/>
      <c r="H25" s="293"/>
      <c r="I25" s="293"/>
      <c r="J25" s="293"/>
      <c r="K25" s="293"/>
      <c r="L25" s="293"/>
      <c r="M25" s="293"/>
      <c r="N25" s="294"/>
      <c r="P25" s="2"/>
      <c r="Q25" s="292" t="s">
        <v>24</v>
      </c>
      <c r="R25" s="293"/>
      <c r="S25" s="293"/>
      <c r="T25" s="293"/>
      <c r="U25" s="293"/>
      <c r="V25" s="293"/>
      <c r="W25" s="293"/>
      <c r="X25" s="293"/>
      <c r="Y25" s="293"/>
      <c r="Z25" s="293"/>
      <c r="AA25" s="293"/>
      <c r="AB25" s="293"/>
      <c r="AC25" s="294"/>
    </row>
    <row r="26" spans="1:29" ht="15.75" thickBot="1">
      <c r="A26" s="2">
        <v>45</v>
      </c>
      <c r="B26" s="11">
        <v>15</v>
      </c>
      <c r="C26" s="12">
        <v>243</v>
      </c>
      <c r="D26" s="12">
        <v>322</v>
      </c>
      <c r="E26" s="12">
        <v>421</v>
      </c>
      <c r="F26" s="12">
        <v>482</v>
      </c>
      <c r="G26" s="12">
        <v>521</v>
      </c>
      <c r="H26" s="12">
        <v>532</v>
      </c>
      <c r="I26" s="12">
        <v>521</v>
      </c>
      <c r="J26" s="12">
        <v>491</v>
      </c>
      <c r="K26" s="12">
        <v>434</v>
      </c>
      <c r="L26" s="12">
        <v>347</v>
      </c>
      <c r="M26" s="12">
        <v>261</v>
      </c>
      <c r="N26" s="13">
        <v>216</v>
      </c>
      <c r="P26" s="2">
        <v>45</v>
      </c>
      <c r="Q26" s="11">
        <v>15</v>
      </c>
      <c r="R26" s="12">
        <v>243</v>
      </c>
      <c r="S26" s="12">
        <v>322</v>
      </c>
      <c r="T26" s="12">
        <v>421</v>
      </c>
      <c r="U26" s="12">
        <v>482</v>
      </c>
      <c r="V26" s="12">
        <v>521</v>
      </c>
      <c r="W26" s="12">
        <v>532</v>
      </c>
      <c r="X26" s="12">
        <v>521</v>
      </c>
      <c r="Y26" s="12">
        <v>491</v>
      </c>
      <c r="Z26" s="12">
        <v>434</v>
      </c>
      <c r="AA26" s="12">
        <v>347</v>
      </c>
      <c r="AB26" s="12">
        <v>261</v>
      </c>
      <c r="AC26" s="13">
        <v>216</v>
      </c>
    </row>
    <row r="27" spans="1:29" ht="15.75" thickBot="1">
      <c r="A27" s="2"/>
      <c r="B27" s="11">
        <v>30</v>
      </c>
      <c r="C27" s="12">
        <v>298</v>
      </c>
      <c r="D27" s="12">
        <v>373</v>
      </c>
      <c r="E27" s="12">
        <v>453</v>
      </c>
      <c r="F27" s="12">
        <v>491</v>
      </c>
      <c r="G27" s="12">
        <v>514</v>
      </c>
      <c r="H27" s="12">
        <v>520</v>
      </c>
      <c r="I27" s="12">
        <v>512</v>
      </c>
      <c r="J27" s="12">
        <v>493</v>
      </c>
      <c r="K27" s="12">
        <v>456</v>
      </c>
      <c r="L27" s="12">
        <v>389</v>
      </c>
      <c r="M27" s="12">
        <v>313</v>
      </c>
      <c r="N27" s="13">
        <v>270</v>
      </c>
      <c r="P27" s="2"/>
      <c r="Q27" s="11">
        <v>30</v>
      </c>
      <c r="R27" s="12">
        <v>298</v>
      </c>
      <c r="S27" s="12">
        <v>373</v>
      </c>
      <c r="T27" s="12">
        <v>453</v>
      </c>
      <c r="U27" s="12">
        <v>491</v>
      </c>
      <c r="V27" s="12">
        <v>514</v>
      </c>
      <c r="W27" s="12">
        <v>520</v>
      </c>
      <c r="X27" s="12">
        <v>512</v>
      </c>
      <c r="Y27" s="12">
        <v>493</v>
      </c>
      <c r="Z27" s="12">
        <v>456</v>
      </c>
      <c r="AA27" s="12">
        <v>389</v>
      </c>
      <c r="AB27" s="12">
        <v>313</v>
      </c>
      <c r="AC27" s="13">
        <v>270</v>
      </c>
    </row>
    <row r="28" spans="1:29" ht="15.75" thickBot="1">
      <c r="A28" s="2"/>
      <c r="B28" s="11">
        <v>45</v>
      </c>
      <c r="C28" s="12">
        <v>336</v>
      </c>
      <c r="D28" s="12">
        <v>403</v>
      </c>
      <c r="E28" s="12">
        <v>460</v>
      </c>
      <c r="F28" s="12">
        <v>473</v>
      </c>
      <c r="G28" s="12">
        <v>480</v>
      </c>
      <c r="H28" s="12">
        <v>481</v>
      </c>
      <c r="I28" s="12">
        <v>475</v>
      </c>
      <c r="J28" s="12">
        <v>468</v>
      </c>
      <c r="K28" s="12">
        <v>453</v>
      </c>
      <c r="L28" s="12">
        <v>410</v>
      </c>
      <c r="M28" s="12">
        <v>346</v>
      </c>
      <c r="N28" s="13">
        <v>308</v>
      </c>
      <c r="P28" s="2"/>
      <c r="Q28" s="11">
        <v>45</v>
      </c>
      <c r="R28" s="12">
        <v>336</v>
      </c>
      <c r="S28" s="12">
        <v>403</v>
      </c>
      <c r="T28" s="12">
        <v>460</v>
      </c>
      <c r="U28" s="12">
        <v>473</v>
      </c>
      <c r="V28" s="12">
        <v>480</v>
      </c>
      <c r="W28" s="12">
        <v>481</v>
      </c>
      <c r="X28" s="12">
        <v>475</v>
      </c>
      <c r="Y28" s="12">
        <v>468</v>
      </c>
      <c r="Z28" s="12">
        <v>453</v>
      </c>
      <c r="AA28" s="12">
        <v>410</v>
      </c>
      <c r="AB28" s="12">
        <v>346</v>
      </c>
      <c r="AC28" s="13">
        <v>308</v>
      </c>
    </row>
    <row r="29" spans="1:29" ht="15.75" thickBot="1">
      <c r="A29" s="2"/>
      <c r="B29" s="11">
        <v>60</v>
      </c>
      <c r="C29" s="12">
        <v>353</v>
      </c>
      <c r="D29" s="12">
        <v>409</v>
      </c>
      <c r="E29" s="12">
        <v>442</v>
      </c>
      <c r="F29" s="12">
        <v>430</v>
      </c>
      <c r="G29" s="12">
        <v>420</v>
      </c>
      <c r="H29" s="12">
        <v>416</v>
      </c>
      <c r="I29" s="12">
        <v>413</v>
      </c>
      <c r="J29" s="12">
        <v>419</v>
      </c>
      <c r="K29" s="12">
        <v>425</v>
      </c>
      <c r="L29" s="12">
        <v>407</v>
      </c>
      <c r="M29" s="12">
        <v>360</v>
      </c>
      <c r="N29" s="13">
        <v>328</v>
      </c>
      <c r="P29" s="2"/>
      <c r="Q29" s="11">
        <v>60</v>
      </c>
      <c r="R29" s="12">
        <v>353</v>
      </c>
      <c r="S29" s="12">
        <v>409</v>
      </c>
      <c r="T29" s="12">
        <v>442</v>
      </c>
      <c r="U29" s="12">
        <v>430</v>
      </c>
      <c r="V29" s="12">
        <v>420</v>
      </c>
      <c r="W29" s="12">
        <v>416</v>
      </c>
      <c r="X29" s="12">
        <v>413</v>
      </c>
      <c r="Y29" s="12">
        <v>419</v>
      </c>
      <c r="Z29" s="12">
        <v>425</v>
      </c>
      <c r="AA29" s="12">
        <v>407</v>
      </c>
      <c r="AB29" s="12">
        <v>360</v>
      </c>
      <c r="AC29" s="13">
        <v>328</v>
      </c>
    </row>
    <row r="30" spans="1:29" ht="15.75" thickBot="1">
      <c r="A30" s="2"/>
      <c r="B30" s="11">
        <v>75</v>
      </c>
      <c r="C30" s="12">
        <v>350</v>
      </c>
      <c r="D30" s="12">
        <v>392</v>
      </c>
      <c r="E30" s="12">
        <v>398</v>
      </c>
      <c r="F30" s="12">
        <v>363</v>
      </c>
      <c r="G30" s="12">
        <v>339</v>
      </c>
      <c r="H30" s="12">
        <v>330</v>
      </c>
      <c r="I30" s="12">
        <v>331</v>
      </c>
      <c r="J30" s="12">
        <v>347</v>
      </c>
      <c r="K30" s="12">
        <v>374</v>
      </c>
      <c r="L30" s="12">
        <v>381</v>
      </c>
      <c r="M30" s="12">
        <v>353</v>
      </c>
      <c r="N30" s="13">
        <v>329</v>
      </c>
      <c r="P30" s="2"/>
      <c r="Q30" s="11">
        <v>75</v>
      </c>
      <c r="R30" s="12">
        <v>350</v>
      </c>
      <c r="S30" s="12">
        <v>392</v>
      </c>
      <c r="T30" s="12">
        <v>398</v>
      </c>
      <c r="U30" s="12">
        <v>363</v>
      </c>
      <c r="V30" s="12">
        <v>339</v>
      </c>
      <c r="W30" s="12">
        <v>330</v>
      </c>
      <c r="X30" s="12">
        <v>331</v>
      </c>
      <c r="Y30" s="12">
        <v>347</v>
      </c>
      <c r="Z30" s="12">
        <v>374</v>
      </c>
      <c r="AA30" s="12">
        <v>381</v>
      </c>
      <c r="AB30" s="12">
        <v>353</v>
      </c>
      <c r="AC30" s="13">
        <v>329</v>
      </c>
    </row>
    <row r="31" spans="1:29" ht="15.75" thickBot="1">
      <c r="A31" s="2"/>
      <c r="B31" s="14">
        <v>90</v>
      </c>
      <c r="C31" s="9">
        <v>327</v>
      </c>
      <c r="D31" s="9">
        <v>352</v>
      </c>
      <c r="E31" s="9">
        <v>333</v>
      </c>
      <c r="F31" s="9">
        <v>279</v>
      </c>
      <c r="G31" s="9">
        <v>242</v>
      </c>
      <c r="H31" s="9">
        <v>229</v>
      </c>
      <c r="I31" s="9">
        <v>233</v>
      </c>
      <c r="J31" s="9">
        <v>259</v>
      </c>
      <c r="K31" s="9">
        <v>303</v>
      </c>
      <c r="L31" s="9">
        <v>334</v>
      </c>
      <c r="M31" s="9">
        <v>325</v>
      </c>
      <c r="N31" s="10">
        <v>310</v>
      </c>
      <c r="P31" s="2"/>
      <c r="Q31" s="14">
        <v>90</v>
      </c>
      <c r="R31" s="9">
        <v>327</v>
      </c>
      <c r="S31" s="9">
        <v>352</v>
      </c>
      <c r="T31" s="9">
        <v>333</v>
      </c>
      <c r="U31" s="9">
        <v>279</v>
      </c>
      <c r="V31" s="9">
        <v>242</v>
      </c>
      <c r="W31" s="9">
        <v>229</v>
      </c>
      <c r="X31" s="9">
        <v>233</v>
      </c>
      <c r="Y31" s="9">
        <v>259</v>
      </c>
      <c r="Z31" s="9">
        <v>303</v>
      </c>
      <c r="AA31" s="9">
        <v>334</v>
      </c>
      <c r="AB31" s="9">
        <v>325</v>
      </c>
      <c r="AC31" s="10">
        <v>310</v>
      </c>
    </row>
    <row r="32" spans="1:29" ht="16.5" customHeight="1" thickTop="1" thickBot="1">
      <c r="A32" s="2"/>
      <c r="B32" s="292" t="s">
        <v>99</v>
      </c>
      <c r="C32" s="293"/>
      <c r="D32" s="293"/>
      <c r="E32" s="293"/>
      <c r="F32" s="293"/>
      <c r="G32" s="293"/>
      <c r="H32" s="293"/>
      <c r="I32" s="293"/>
      <c r="J32" s="293"/>
      <c r="K32" s="293"/>
      <c r="L32" s="293"/>
      <c r="M32" s="293"/>
      <c r="N32" s="294"/>
      <c r="P32" s="2"/>
      <c r="Q32" s="292" t="s">
        <v>99</v>
      </c>
      <c r="R32" s="293"/>
      <c r="S32" s="293"/>
      <c r="T32" s="293"/>
      <c r="U32" s="293"/>
      <c r="V32" s="293"/>
      <c r="W32" s="293"/>
      <c r="X32" s="293"/>
      <c r="Y32" s="293"/>
      <c r="Z32" s="293"/>
      <c r="AA32" s="293"/>
      <c r="AB32" s="293"/>
      <c r="AC32" s="294"/>
    </row>
    <row r="33" spans="1:29" ht="15.75" thickBot="1">
      <c r="A33" s="2">
        <v>60</v>
      </c>
      <c r="B33" s="11">
        <v>15</v>
      </c>
      <c r="C33" s="12">
        <v>223.41511792574167</v>
      </c>
      <c r="D33" s="12">
        <v>302.49181722774097</v>
      </c>
      <c r="E33" s="12">
        <v>405.09346140627071</v>
      </c>
      <c r="F33" s="12">
        <v>470.0251279968582</v>
      </c>
      <c r="G33" s="12">
        <v>507.81914347766968</v>
      </c>
      <c r="H33" s="12">
        <v>516.77630997354788</v>
      </c>
      <c r="I33" s="12">
        <v>507.43037194478916</v>
      </c>
      <c r="J33" s="12">
        <v>479.53541398961107</v>
      </c>
      <c r="K33" s="12">
        <v>420.39361411535475</v>
      </c>
      <c r="L33" s="12">
        <v>329.79394549715602</v>
      </c>
      <c r="M33" s="12">
        <v>242.29779042989944</v>
      </c>
      <c r="N33" s="12">
        <v>196.41359197071247</v>
      </c>
      <c r="P33" s="2">
        <v>60</v>
      </c>
      <c r="Q33" s="11">
        <v>15</v>
      </c>
      <c r="R33" s="12">
        <v>223.41511792574167</v>
      </c>
      <c r="S33" s="12">
        <v>302.49181722774097</v>
      </c>
      <c r="T33" s="12">
        <v>405.09346140627071</v>
      </c>
      <c r="U33" s="12">
        <v>470.0251279968582</v>
      </c>
      <c r="V33" s="12">
        <v>507.81914347766968</v>
      </c>
      <c r="W33" s="12">
        <v>516.77630997354788</v>
      </c>
      <c r="X33" s="12">
        <v>507.43037194478916</v>
      </c>
      <c r="Y33" s="12">
        <v>479.53541398961107</v>
      </c>
      <c r="Z33" s="12">
        <v>420.39361411535475</v>
      </c>
      <c r="AA33" s="12">
        <v>329.79394549715602</v>
      </c>
      <c r="AB33" s="12">
        <v>242.29779042989944</v>
      </c>
      <c r="AC33" s="12">
        <v>196.41359197071247</v>
      </c>
    </row>
    <row r="34" spans="1:29" ht="15.75" thickBot="1">
      <c r="A34" s="2"/>
      <c r="B34" s="11">
        <v>30</v>
      </c>
      <c r="C34" s="12">
        <v>260.07662139504816</v>
      </c>
      <c r="D34" s="12">
        <v>336.6344090176508</v>
      </c>
      <c r="E34" s="12">
        <v>426.33474681198896</v>
      </c>
      <c r="F34" s="12">
        <v>473.47548294045231</v>
      </c>
      <c r="G34" s="12">
        <v>496.7384610478</v>
      </c>
      <c r="H34" s="12">
        <v>499.27282865383427</v>
      </c>
      <c r="I34" s="12">
        <v>493.04700211276594</v>
      </c>
      <c r="J34" s="12">
        <v>476.70427918343341</v>
      </c>
      <c r="K34" s="12">
        <v>433.5316680867229</v>
      </c>
      <c r="L34" s="12">
        <v>357.42946135224349</v>
      </c>
      <c r="M34" s="12">
        <v>276.60021323375793</v>
      </c>
      <c r="N34" s="12">
        <v>232.42479310035415</v>
      </c>
      <c r="P34" s="2"/>
      <c r="Q34" s="11">
        <v>30</v>
      </c>
      <c r="R34" s="12">
        <v>260.07662139504816</v>
      </c>
      <c r="S34" s="12">
        <v>336.6344090176508</v>
      </c>
      <c r="T34" s="12">
        <v>426.33474681198896</v>
      </c>
      <c r="U34" s="12">
        <v>473.47548294045231</v>
      </c>
      <c r="V34" s="12">
        <v>496.7384610478</v>
      </c>
      <c r="W34" s="12">
        <v>499.27282865383427</v>
      </c>
      <c r="X34" s="12">
        <v>493.04700211276594</v>
      </c>
      <c r="Y34" s="12">
        <v>476.70427918343341</v>
      </c>
      <c r="Z34" s="12">
        <v>433.5316680867229</v>
      </c>
      <c r="AA34" s="12">
        <v>357.42946135224349</v>
      </c>
      <c r="AB34" s="12">
        <v>276.60021323375793</v>
      </c>
      <c r="AC34" s="12">
        <v>232.42479310035415</v>
      </c>
    </row>
    <row r="35" spans="1:29" ht="15.75" thickBot="1">
      <c r="A35" s="2"/>
      <c r="B35" s="11">
        <v>45</v>
      </c>
      <c r="C35" s="12">
        <v>283.26066653219772</v>
      </c>
      <c r="D35" s="12">
        <v>354.52480435764647</v>
      </c>
      <c r="E35" s="12">
        <v>429.41417919616822</v>
      </c>
      <c r="F35" s="12">
        <v>459.13314031297682</v>
      </c>
      <c r="G35" s="12">
        <v>468.89574899218889</v>
      </c>
      <c r="H35" s="12">
        <v>465.75849730957577</v>
      </c>
      <c r="I35" s="12">
        <v>462.39473272181306</v>
      </c>
      <c r="J35" s="12">
        <v>456.66724184348249</v>
      </c>
      <c r="K35" s="12">
        <v>429.07165453586367</v>
      </c>
      <c r="L35" s="12">
        <v>368.65594253294597</v>
      </c>
      <c r="M35" s="12">
        <v>296.96680150114878</v>
      </c>
      <c r="N35" s="12">
        <v>256.16247347436541</v>
      </c>
      <c r="P35" s="2"/>
      <c r="Q35" s="11">
        <v>45</v>
      </c>
      <c r="R35" s="12">
        <v>283.26066653219772</v>
      </c>
      <c r="S35" s="12">
        <v>354.52480435764647</v>
      </c>
      <c r="T35" s="12">
        <v>429.41417919616822</v>
      </c>
      <c r="U35" s="12">
        <v>459.13314031297682</v>
      </c>
      <c r="V35" s="12">
        <v>468.89574899218889</v>
      </c>
      <c r="W35" s="12">
        <v>465.75849730957577</v>
      </c>
      <c r="X35" s="12">
        <v>462.39473272181306</v>
      </c>
      <c r="Y35" s="12">
        <v>456.66724184348249</v>
      </c>
      <c r="Z35" s="12">
        <v>429.07165453586367</v>
      </c>
      <c r="AA35" s="12">
        <v>368.65594253294597</v>
      </c>
      <c r="AB35" s="12">
        <v>296.96680150114878</v>
      </c>
      <c r="AC35" s="12">
        <v>256.16247347436541</v>
      </c>
    </row>
    <row r="36" spans="1:29" ht="15.75" thickBot="1">
      <c r="A36" s="2"/>
      <c r="B36" s="11">
        <v>60</v>
      </c>
      <c r="C36" s="12">
        <v>291.20949326353661</v>
      </c>
      <c r="D36" s="12">
        <v>354.58222361432018</v>
      </c>
      <c r="E36" s="12">
        <v>413.54050808370152</v>
      </c>
      <c r="F36" s="12">
        <v>427.42144891860266</v>
      </c>
      <c r="G36" s="12">
        <v>425.7042581878066</v>
      </c>
      <c r="H36" s="12">
        <v>418.09131345757663</v>
      </c>
      <c r="I36" s="12">
        <v>417.17852998717109</v>
      </c>
      <c r="J36" s="12">
        <v>420.35574267557871</v>
      </c>
      <c r="K36" s="12">
        <v>406.84910301103594</v>
      </c>
      <c r="L36" s="12">
        <v>362.33869511737339</v>
      </c>
      <c r="M36" s="12">
        <v>301.79420610443105</v>
      </c>
      <c r="N36" s="12">
        <v>265.89092576786447</v>
      </c>
      <c r="P36" s="2"/>
      <c r="Q36" s="11">
        <v>60</v>
      </c>
      <c r="R36" s="12">
        <v>291.20949326353661</v>
      </c>
      <c r="S36" s="12">
        <v>354.58222361432018</v>
      </c>
      <c r="T36" s="12">
        <v>413.54050808370152</v>
      </c>
      <c r="U36" s="12">
        <v>427.42144891860266</v>
      </c>
      <c r="V36" s="12">
        <v>425.7042581878066</v>
      </c>
      <c r="W36" s="12">
        <v>418.09131345757663</v>
      </c>
      <c r="X36" s="12">
        <v>417.17852998717109</v>
      </c>
      <c r="Y36" s="12">
        <v>420.35574267557871</v>
      </c>
      <c r="Z36" s="12">
        <v>406.84910301103594</v>
      </c>
      <c r="AA36" s="12">
        <v>362.33869511737339</v>
      </c>
      <c r="AB36" s="12">
        <v>301.79420610443105</v>
      </c>
      <c r="AC36" s="12">
        <v>265.89092576786447</v>
      </c>
    </row>
    <row r="37" spans="1:29" ht="15.75" thickBot="1">
      <c r="A37" s="2"/>
      <c r="B37" s="11">
        <v>75</v>
      </c>
      <c r="C37" s="12">
        <v>283.33079686209123</v>
      </c>
      <c r="D37" s="12">
        <v>336.66252829333183</v>
      </c>
      <c r="E37" s="12">
        <v>379.55035151974289</v>
      </c>
      <c r="F37" s="12">
        <v>380.23558624381531</v>
      </c>
      <c r="G37" s="12">
        <v>369.81831954168348</v>
      </c>
      <c r="H37" s="12">
        <v>359.25224358403415</v>
      </c>
      <c r="I37" s="12">
        <v>360.24175291451934</v>
      </c>
      <c r="J37" s="12">
        <v>370.00749025858835</v>
      </c>
      <c r="K37" s="12">
        <v>368.16930680588507</v>
      </c>
      <c r="L37" s="12">
        <v>338.77206061849927</v>
      </c>
      <c r="M37" s="12">
        <v>290.69765710525797</v>
      </c>
      <c r="N37" s="12">
        <v>260.90004250234529</v>
      </c>
      <c r="P37" s="2"/>
      <c r="Q37" s="11">
        <v>75</v>
      </c>
      <c r="R37" s="12">
        <v>283.33079686209123</v>
      </c>
      <c r="S37" s="12">
        <v>336.66252829333183</v>
      </c>
      <c r="T37" s="12">
        <v>379.55035151974289</v>
      </c>
      <c r="U37" s="12">
        <v>380.23558624381531</v>
      </c>
      <c r="V37" s="12">
        <v>369.81831954168348</v>
      </c>
      <c r="W37" s="12">
        <v>359.25224358403415</v>
      </c>
      <c r="X37" s="12">
        <v>360.24175291451934</v>
      </c>
      <c r="Y37" s="12">
        <v>370.00749025858835</v>
      </c>
      <c r="Z37" s="12">
        <v>368.16930680588507</v>
      </c>
      <c r="AA37" s="12">
        <v>338.77206061849927</v>
      </c>
      <c r="AB37" s="12">
        <v>290.69765710525797</v>
      </c>
      <c r="AC37" s="12">
        <v>260.90004250234529</v>
      </c>
    </row>
    <row r="38" spans="1:29" ht="15.75" thickBot="1">
      <c r="A38" s="2"/>
      <c r="B38" s="14">
        <v>90</v>
      </c>
      <c r="C38" s="12">
        <v>260.21508243679506</v>
      </c>
      <c r="D38" s="12">
        <v>302.1520884498774</v>
      </c>
      <c r="E38" s="12">
        <v>330.0562362779155</v>
      </c>
      <c r="F38" s="12">
        <v>321.22358851886605</v>
      </c>
      <c r="G38" s="12">
        <v>305.57070555345291</v>
      </c>
      <c r="H38" s="12">
        <v>293.81951839812501</v>
      </c>
      <c r="I38" s="12">
        <v>296.01833022575175</v>
      </c>
      <c r="J38" s="12">
        <v>309.53820312380105</v>
      </c>
      <c r="K38" s="12">
        <v>316.02723104622686</v>
      </c>
      <c r="L38" s="12">
        <v>299.76461974721707</v>
      </c>
      <c r="M38" s="12">
        <v>264.52229934050041</v>
      </c>
      <c r="N38" s="12">
        <v>241.57917688974044</v>
      </c>
      <c r="P38" s="2"/>
      <c r="Q38" s="14">
        <v>90</v>
      </c>
      <c r="R38" s="12">
        <v>260.21508243679506</v>
      </c>
      <c r="S38" s="12">
        <v>302.1520884498774</v>
      </c>
      <c r="T38" s="12">
        <v>330.0562362779155</v>
      </c>
      <c r="U38" s="12">
        <v>321.22358851886605</v>
      </c>
      <c r="V38" s="12">
        <v>305.57070555345291</v>
      </c>
      <c r="W38" s="12">
        <v>293.81951839812501</v>
      </c>
      <c r="X38" s="12">
        <v>296.01833022575175</v>
      </c>
      <c r="Y38" s="12">
        <v>309.53820312380105</v>
      </c>
      <c r="Z38" s="12">
        <v>316.02723104622686</v>
      </c>
      <c r="AA38" s="12">
        <v>299.76461974721707</v>
      </c>
      <c r="AB38" s="12">
        <v>264.52229934050041</v>
      </c>
      <c r="AC38" s="12">
        <v>241.57917688974044</v>
      </c>
    </row>
    <row r="39" spans="1:29" ht="16.5" customHeight="1" thickTop="1" thickBot="1">
      <c r="A39" s="2"/>
      <c r="B39" s="292" t="s">
        <v>100</v>
      </c>
      <c r="C39" s="293"/>
      <c r="D39" s="293"/>
      <c r="E39" s="293"/>
      <c r="F39" s="293"/>
      <c r="G39" s="293"/>
      <c r="H39" s="293"/>
      <c r="I39" s="293"/>
      <c r="J39" s="293"/>
      <c r="K39" s="293"/>
      <c r="L39" s="293"/>
      <c r="M39" s="293"/>
      <c r="N39" s="294"/>
      <c r="P39" s="2"/>
      <c r="Q39" s="292" t="s">
        <v>100</v>
      </c>
      <c r="R39" s="293"/>
      <c r="S39" s="293"/>
      <c r="T39" s="293"/>
      <c r="U39" s="293"/>
      <c r="V39" s="293"/>
      <c r="W39" s="293"/>
      <c r="X39" s="293"/>
      <c r="Y39" s="293"/>
      <c r="Z39" s="293"/>
      <c r="AA39" s="293"/>
      <c r="AB39" s="293"/>
      <c r="AC39" s="294"/>
    </row>
    <row r="40" spans="1:29" ht="15.75" thickBot="1">
      <c r="A40" s="2">
        <v>75</v>
      </c>
      <c r="B40" s="11">
        <v>15</v>
      </c>
      <c r="C40" s="12">
        <v>199.8224653926043</v>
      </c>
      <c r="D40" s="12">
        <v>277.88051815450007</v>
      </c>
      <c r="E40" s="12">
        <v>383.64298664307137</v>
      </c>
      <c r="F40" s="12">
        <v>454.8821731473916</v>
      </c>
      <c r="G40" s="12">
        <v>498.35452137807471</v>
      </c>
      <c r="H40" s="12">
        <v>510.0204256375572</v>
      </c>
      <c r="I40" s="12">
        <v>499.41298571132768</v>
      </c>
      <c r="J40" s="12">
        <v>466.91173961886602</v>
      </c>
      <c r="K40" s="12">
        <v>402.04340984334146</v>
      </c>
      <c r="L40" s="12">
        <v>307.30270804110927</v>
      </c>
      <c r="M40" s="12">
        <v>219.21656264725695</v>
      </c>
      <c r="N40" s="12">
        <v>173.88940010746805</v>
      </c>
      <c r="P40" s="2">
        <v>75</v>
      </c>
      <c r="Q40" s="11">
        <v>15</v>
      </c>
      <c r="R40" s="12">
        <v>199.8224653926043</v>
      </c>
      <c r="S40" s="12">
        <v>277.88051815450007</v>
      </c>
      <c r="T40" s="12">
        <v>383.64298664307137</v>
      </c>
      <c r="U40" s="12">
        <v>454.8821731473916</v>
      </c>
      <c r="V40" s="12">
        <v>498.35452137807471</v>
      </c>
      <c r="W40" s="12">
        <v>510.0204256375572</v>
      </c>
      <c r="X40" s="12">
        <v>499.41298571132768</v>
      </c>
      <c r="Y40" s="12">
        <v>466.91173961886602</v>
      </c>
      <c r="Z40" s="12">
        <v>402.04340984334146</v>
      </c>
      <c r="AA40" s="12">
        <v>307.30270804110927</v>
      </c>
      <c r="AB40" s="12">
        <v>219.21656264725695</v>
      </c>
      <c r="AC40" s="12">
        <v>173.88940010746805</v>
      </c>
    </row>
    <row r="41" spans="1:29" ht="15.75" thickBot="1">
      <c r="A41" s="2"/>
      <c r="B41" s="11">
        <v>30</v>
      </c>
      <c r="C41" s="12">
        <v>217.26354708851974</v>
      </c>
      <c r="D41" s="12">
        <v>292.55106604101223</v>
      </c>
      <c r="E41" s="12">
        <v>388.4041534853057</v>
      </c>
      <c r="F41" s="12">
        <v>446.84209450997253</v>
      </c>
      <c r="G41" s="12">
        <v>480.1296333502234</v>
      </c>
      <c r="H41" s="12">
        <v>487.39243925403571</v>
      </c>
      <c r="I41" s="12">
        <v>478.93706585377441</v>
      </c>
      <c r="J41" s="12">
        <v>454.47806564173987</v>
      </c>
      <c r="K41" s="12">
        <v>401.06424096892897</v>
      </c>
      <c r="L41" s="12">
        <v>317.24463369746627</v>
      </c>
      <c r="M41" s="12">
        <v>234.84430332717494</v>
      </c>
      <c r="N41" s="12">
        <v>191.33176413126179</v>
      </c>
      <c r="P41" s="2"/>
      <c r="Q41" s="11">
        <v>30</v>
      </c>
      <c r="R41" s="12">
        <v>217.26354708851974</v>
      </c>
      <c r="S41" s="12">
        <v>292.55106604101223</v>
      </c>
      <c r="T41" s="12">
        <v>388.4041534853057</v>
      </c>
      <c r="U41" s="12">
        <v>446.84209450997253</v>
      </c>
      <c r="V41" s="12">
        <v>480.1296333502234</v>
      </c>
      <c r="W41" s="12">
        <v>487.39243925403571</v>
      </c>
      <c r="X41" s="12">
        <v>478.93706585377441</v>
      </c>
      <c r="Y41" s="12">
        <v>454.47806564173987</v>
      </c>
      <c r="Z41" s="12">
        <v>401.06424096892897</v>
      </c>
      <c r="AA41" s="12">
        <v>317.24463369746627</v>
      </c>
      <c r="AB41" s="12">
        <v>234.84430332717494</v>
      </c>
      <c r="AC41" s="12">
        <v>191.33176413126179</v>
      </c>
    </row>
    <row r="42" spans="1:29" ht="15.75" thickBot="1">
      <c r="A42" s="2"/>
      <c r="B42" s="11">
        <v>45</v>
      </c>
      <c r="C42" s="12">
        <v>226.35910136596539</v>
      </c>
      <c r="D42" s="12">
        <v>297.07207906397593</v>
      </c>
      <c r="E42" s="12">
        <v>381.32827510628942</v>
      </c>
      <c r="F42" s="12">
        <v>426.36915370184619</v>
      </c>
      <c r="G42" s="12">
        <v>449.36687304545683</v>
      </c>
      <c r="H42" s="12">
        <v>452.34125448306628</v>
      </c>
      <c r="I42" s="12">
        <v>446.03201744609328</v>
      </c>
      <c r="J42" s="12">
        <v>429.64387083054214</v>
      </c>
      <c r="K42" s="12">
        <v>388.24098963942805</v>
      </c>
      <c r="L42" s="12">
        <v>316.72141362606567</v>
      </c>
      <c r="M42" s="12">
        <v>241.78483034021107</v>
      </c>
      <c r="N42" s="12">
        <v>201.1607532097091</v>
      </c>
      <c r="P42" s="2"/>
      <c r="Q42" s="11">
        <v>45</v>
      </c>
      <c r="R42" s="12">
        <v>226.35910136596539</v>
      </c>
      <c r="S42" s="12">
        <v>297.07207906397593</v>
      </c>
      <c r="T42" s="12">
        <v>381.32827510628942</v>
      </c>
      <c r="U42" s="12">
        <v>426.36915370184619</v>
      </c>
      <c r="V42" s="12">
        <v>449.36687304545683</v>
      </c>
      <c r="W42" s="12">
        <v>452.34125448306628</v>
      </c>
      <c r="X42" s="12">
        <v>446.03201744609328</v>
      </c>
      <c r="Y42" s="12">
        <v>429.64387083054214</v>
      </c>
      <c r="Z42" s="12">
        <v>388.24098963942805</v>
      </c>
      <c r="AA42" s="12">
        <v>316.72141362606567</v>
      </c>
      <c r="AB42" s="12">
        <v>241.78483034021107</v>
      </c>
      <c r="AC42" s="12">
        <v>201.1607532097091</v>
      </c>
    </row>
    <row r="43" spans="1:29" ht="15.75" thickBot="1">
      <c r="A43" s="2"/>
      <c r="B43" s="11">
        <v>60</v>
      </c>
      <c r="C43" s="12">
        <v>225.63948608618298</v>
      </c>
      <c r="D43" s="12">
        <v>289.90770370589036</v>
      </c>
      <c r="E43" s="12">
        <v>361.44905106319857</v>
      </c>
      <c r="F43" s="12">
        <v>393.74087287519393</v>
      </c>
      <c r="G43" s="12">
        <v>407.43591527139142</v>
      </c>
      <c r="H43" s="12">
        <v>406.79278374877623</v>
      </c>
      <c r="I43" s="12">
        <v>402.43241227044359</v>
      </c>
      <c r="J43" s="12">
        <v>393.2574430972245</v>
      </c>
      <c r="K43" s="12">
        <v>363.27601495148764</v>
      </c>
      <c r="L43" s="12">
        <v>304.58502006526066</v>
      </c>
      <c r="M43" s="12">
        <v>238.65716800289468</v>
      </c>
      <c r="N43" s="12">
        <v>202.00270468066873</v>
      </c>
      <c r="P43" s="2"/>
      <c r="Q43" s="11">
        <v>60</v>
      </c>
      <c r="R43" s="12">
        <v>225.63948608618298</v>
      </c>
      <c r="S43" s="12">
        <v>289.90770370589036</v>
      </c>
      <c r="T43" s="12">
        <v>361.44905106319857</v>
      </c>
      <c r="U43" s="12">
        <v>393.74087287519393</v>
      </c>
      <c r="V43" s="12">
        <v>407.43591527139142</v>
      </c>
      <c r="W43" s="12">
        <v>406.79278374877623</v>
      </c>
      <c r="X43" s="12">
        <v>402.43241227044359</v>
      </c>
      <c r="Y43" s="12">
        <v>393.2574430972245</v>
      </c>
      <c r="Z43" s="12">
        <v>363.27601495148764</v>
      </c>
      <c r="AA43" s="12">
        <v>304.58502006526066</v>
      </c>
      <c r="AB43" s="12">
        <v>238.65716800289468</v>
      </c>
      <c r="AC43" s="12">
        <v>202.00270468066873</v>
      </c>
    </row>
    <row r="44" spans="1:29" ht="15.75" thickBot="1">
      <c r="A44" s="2"/>
      <c r="B44" s="11">
        <v>75</v>
      </c>
      <c r="C44" s="12">
        <v>214.71432832058122</v>
      </c>
      <c r="D44" s="12">
        <v>270.8291257398821</v>
      </c>
      <c r="E44" s="12">
        <v>329.08522498818621</v>
      </c>
      <c r="F44" s="12">
        <v>350.09301315501278</v>
      </c>
      <c r="G44" s="12">
        <v>356.13878887564192</v>
      </c>
      <c r="H44" s="12">
        <v>352.81525909806993</v>
      </c>
      <c r="I44" s="12">
        <v>350.12231545653378</v>
      </c>
      <c r="J44" s="12">
        <v>346.78950858396962</v>
      </c>
      <c r="K44" s="12">
        <v>326.89324270149126</v>
      </c>
      <c r="L44" s="12">
        <v>280.89660854338501</v>
      </c>
      <c r="M44" s="12">
        <v>225.18774032107922</v>
      </c>
      <c r="N44" s="12">
        <v>193.44944437200482</v>
      </c>
      <c r="P44" s="2"/>
      <c r="Q44" s="11">
        <v>75</v>
      </c>
      <c r="R44" s="12">
        <v>214.71432832058122</v>
      </c>
      <c r="S44" s="12">
        <v>270.8291257398821</v>
      </c>
      <c r="T44" s="12">
        <v>329.08522498818621</v>
      </c>
      <c r="U44" s="12">
        <v>350.09301315501278</v>
      </c>
      <c r="V44" s="12">
        <v>356.13878887564192</v>
      </c>
      <c r="W44" s="12">
        <v>352.81525909806993</v>
      </c>
      <c r="X44" s="12">
        <v>350.12231545653378</v>
      </c>
      <c r="Y44" s="12">
        <v>346.78950858396962</v>
      </c>
      <c r="Z44" s="12">
        <v>326.89324270149126</v>
      </c>
      <c r="AA44" s="12">
        <v>280.89660854338501</v>
      </c>
      <c r="AB44" s="12">
        <v>225.18774032107922</v>
      </c>
      <c r="AC44" s="12">
        <v>193.44944437200482</v>
      </c>
    </row>
    <row r="45" spans="1:29" ht="15.75" thickBot="1">
      <c r="A45" s="2"/>
      <c r="B45" s="14">
        <v>90</v>
      </c>
      <c r="C45" s="12">
        <v>194.18774552223971</v>
      </c>
      <c r="D45" s="12">
        <v>240.91487867478205</v>
      </c>
      <c r="E45" s="12">
        <v>286.14783814176059</v>
      </c>
      <c r="F45" s="12">
        <v>298.05309878090605</v>
      </c>
      <c r="G45" s="12">
        <v>298.59487234912712</v>
      </c>
      <c r="H45" s="12">
        <v>293.73115649689919</v>
      </c>
      <c r="I45" s="12">
        <v>292.32047898989993</v>
      </c>
      <c r="J45" s="12">
        <v>293.07125326085043</v>
      </c>
      <c r="K45" s="12">
        <v>281.2949328864288</v>
      </c>
      <c r="L45" s="12">
        <v>247.04580671420828</v>
      </c>
      <c r="M45" s="12">
        <v>202.13525968069638</v>
      </c>
      <c r="N45" s="12">
        <v>175.98880167944282</v>
      </c>
      <c r="P45" s="2"/>
      <c r="Q45" s="14">
        <v>90</v>
      </c>
      <c r="R45" s="12">
        <v>194.18774552223971</v>
      </c>
      <c r="S45" s="12">
        <v>240.91487867478205</v>
      </c>
      <c r="T45" s="12">
        <v>286.14783814176059</v>
      </c>
      <c r="U45" s="12">
        <v>298.05309878090605</v>
      </c>
      <c r="V45" s="12">
        <v>298.59487234912712</v>
      </c>
      <c r="W45" s="12">
        <v>293.73115649689919</v>
      </c>
      <c r="X45" s="12">
        <v>292.32047898989993</v>
      </c>
      <c r="Y45" s="12">
        <v>293.07125326085043</v>
      </c>
      <c r="Z45" s="12">
        <v>281.2949328864288</v>
      </c>
      <c r="AA45" s="12">
        <v>247.04580671420828</v>
      </c>
      <c r="AB45" s="12">
        <v>202.13525968069638</v>
      </c>
      <c r="AC45" s="12">
        <v>175.98880167944282</v>
      </c>
    </row>
    <row r="46" spans="1:29" ht="16.5" customHeight="1" thickTop="1" thickBot="1">
      <c r="A46" s="2"/>
      <c r="B46" s="292" t="s">
        <v>101</v>
      </c>
      <c r="C46" s="293"/>
      <c r="D46" s="293"/>
      <c r="E46" s="293"/>
      <c r="F46" s="293"/>
      <c r="G46" s="293"/>
      <c r="H46" s="293"/>
      <c r="I46" s="293"/>
      <c r="J46" s="293"/>
      <c r="K46" s="293"/>
      <c r="L46" s="293"/>
      <c r="M46" s="293"/>
      <c r="N46" s="294"/>
      <c r="P46" s="2"/>
      <c r="Q46" s="292" t="s">
        <v>101</v>
      </c>
      <c r="R46" s="293"/>
      <c r="S46" s="293"/>
      <c r="T46" s="293"/>
      <c r="U46" s="293"/>
      <c r="V46" s="293"/>
      <c r="W46" s="293"/>
      <c r="X46" s="293"/>
      <c r="Y46" s="293"/>
      <c r="Z46" s="293"/>
      <c r="AA46" s="293"/>
      <c r="AB46" s="293"/>
      <c r="AC46" s="294"/>
    </row>
    <row r="47" spans="1:29" ht="15.75" thickBot="1">
      <c r="A47" s="2">
        <v>90</v>
      </c>
      <c r="B47" s="11">
        <v>15</v>
      </c>
      <c r="C47" s="12">
        <v>174.98425751752845</v>
      </c>
      <c r="D47" s="12">
        <v>251.61018887589597</v>
      </c>
      <c r="E47" s="12">
        <v>360.3854420729657</v>
      </c>
      <c r="F47" s="12">
        <v>438.26217674958866</v>
      </c>
      <c r="G47" s="12">
        <v>487.82125943603512</v>
      </c>
      <c r="H47" s="12">
        <v>502.42967089697822</v>
      </c>
      <c r="I47" s="12">
        <v>490.46874642789584</v>
      </c>
      <c r="J47" s="12">
        <v>453.01421679886863</v>
      </c>
      <c r="K47" s="12">
        <v>382.08538070663934</v>
      </c>
      <c r="L47" s="12">
        <v>283.16614331467127</v>
      </c>
      <c r="M47" s="12">
        <v>194.7970383539049</v>
      </c>
      <c r="N47" s="12">
        <v>150.30657548878759</v>
      </c>
      <c r="P47" s="2">
        <v>90</v>
      </c>
      <c r="Q47" s="11">
        <v>15</v>
      </c>
      <c r="R47" s="12">
        <v>174.98425751752845</v>
      </c>
      <c r="S47" s="12">
        <v>251.61018887589597</v>
      </c>
      <c r="T47" s="12">
        <v>360.3854420729657</v>
      </c>
      <c r="U47" s="12">
        <v>438.26217674958866</v>
      </c>
      <c r="V47" s="12">
        <v>487.82125943603512</v>
      </c>
      <c r="W47" s="12">
        <v>502.42967089697822</v>
      </c>
      <c r="X47" s="12">
        <v>490.46874642789584</v>
      </c>
      <c r="Y47" s="12">
        <v>453.01421679886863</v>
      </c>
      <c r="Z47" s="12">
        <v>382.08538070663934</v>
      </c>
      <c r="AA47" s="12">
        <v>283.16614331467127</v>
      </c>
      <c r="AB47" s="12">
        <v>194.7970383539049</v>
      </c>
      <c r="AC47" s="12">
        <v>150.30657548878759</v>
      </c>
    </row>
    <row r="48" spans="1:29" ht="15.75" thickBot="1">
      <c r="A48" s="2"/>
      <c r="B48" s="11">
        <v>30</v>
      </c>
      <c r="C48" s="12">
        <v>174.05798483159407</v>
      </c>
      <c r="D48" s="12">
        <v>246.64482148020963</v>
      </c>
      <c r="E48" s="12">
        <v>347.22007787374253</v>
      </c>
      <c r="F48" s="12">
        <v>416.6887000767432</v>
      </c>
      <c r="G48" s="12">
        <v>460.24003488148458</v>
      </c>
      <c r="H48" s="12">
        <v>472.50592485743482</v>
      </c>
      <c r="I48" s="12">
        <v>461.77408540927394</v>
      </c>
      <c r="J48" s="12">
        <v>428.92942580629807</v>
      </c>
      <c r="K48" s="12">
        <v>365.38555347429292</v>
      </c>
      <c r="L48" s="12">
        <v>274.81116041388032</v>
      </c>
      <c r="M48" s="12">
        <v>192.26723558830059</v>
      </c>
      <c r="N48" s="12">
        <v>150.33686315195214</v>
      </c>
      <c r="P48" s="2"/>
      <c r="Q48" s="11">
        <v>30</v>
      </c>
      <c r="R48" s="12">
        <v>174.05798483159407</v>
      </c>
      <c r="S48" s="12">
        <v>246.64482148020963</v>
      </c>
      <c r="T48" s="12">
        <v>347.22007787374253</v>
      </c>
      <c r="U48" s="12">
        <v>416.6887000767432</v>
      </c>
      <c r="V48" s="12">
        <v>460.24003488148458</v>
      </c>
      <c r="W48" s="12">
        <v>472.50592485743482</v>
      </c>
      <c r="X48" s="12">
        <v>461.77408540927394</v>
      </c>
      <c r="Y48" s="12">
        <v>428.92942580629807</v>
      </c>
      <c r="Z48" s="12">
        <v>365.38555347429292</v>
      </c>
      <c r="AA48" s="12">
        <v>274.81116041388032</v>
      </c>
      <c r="AB48" s="12">
        <v>192.26723558830059</v>
      </c>
      <c r="AC48" s="12">
        <v>150.33686315195214</v>
      </c>
    </row>
    <row r="49" spans="1:29" ht="15.75" thickBot="1">
      <c r="A49" s="2"/>
      <c r="B49" s="11">
        <v>45</v>
      </c>
      <c r="C49" s="12">
        <v>171.34494654106558</v>
      </c>
      <c r="D49" s="12">
        <v>239.04028641596437</v>
      </c>
      <c r="E49" s="12">
        <v>329.57785464229414</v>
      </c>
      <c r="F49" s="12">
        <v>388.49892806138456</v>
      </c>
      <c r="G49" s="12">
        <v>424.2718081185244</v>
      </c>
      <c r="H49" s="12">
        <v>433.44229292674419</v>
      </c>
      <c r="I49" s="12">
        <v>424.29340066005858</v>
      </c>
      <c r="J49" s="12">
        <v>397.49051071487725</v>
      </c>
      <c r="K49" s="12">
        <v>343.39776575599529</v>
      </c>
      <c r="L49" s="12">
        <v>263.19229553670277</v>
      </c>
      <c r="M49" s="12">
        <v>187.70322745760845</v>
      </c>
      <c r="N49" s="12">
        <v>148.79007226231613</v>
      </c>
      <c r="P49" s="2"/>
      <c r="Q49" s="11">
        <v>45</v>
      </c>
      <c r="R49" s="12">
        <v>171.34494654106558</v>
      </c>
      <c r="S49" s="12">
        <v>239.04028641596437</v>
      </c>
      <c r="T49" s="12">
        <v>329.57785464229414</v>
      </c>
      <c r="U49" s="12">
        <v>388.49892806138456</v>
      </c>
      <c r="V49" s="12">
        <v>424.2718081185244</v>
      </c>
      <c r="W49" s="12">
        <v>433.44229292674419</v>
      </c>
      <c r="X49" s="12">
        <v>424.29340066005858</v>
      </c>
      <c r="Y49" s="12">
        <v>397.49051071487725</v>
      </c>
      <c r="Z49" s="12">
        <v>343.39776575599529</v>
      </c>
      <c r="AA49" s="12">
        <v>263.19229553670277</v>
      </c>
      <c r="AB49" s="12">
        <v>187.70322745760845</v>
      </c>
      <c r="AC49" s="12">
        <v>148.79007226231613</v>
      </c>
    </row>
    <row r="50" spans="1:29" ht="15.75" thickBot="1">
      <c r="A50" s="2"/>
      <c r="B50" s="11">
        <v>60</v>
      </c>
      <c r="C50" s="12">
        <v>164.61402530167996</v>
      </c>
      <c r="D50" s="12">
        <v>226.4563816249009</v>
      </c>
      <c r="E50" s="12">
        <v>306.00060291817488</v>
      </c>
      <c r="F50" s="12">
        <v>354.06908145850417</v>
      </c>
      <c r="G50" s="12">
        <v>381.94610425073552</v>
      </c>
      <c r="H50" s="12">
        <v>388.06754988352952</v>
      </c>
      <c r="I50" s="12">
        <v>380.55816179943099</v>
      </c>
      <c r="J50" s="12">
        <v>359.88091264281871</v>
      </c>
      <c r="K50" s="12">
        <v>315.5861342047229</v>
      </c>
      <c r="L50" s="12">
        <v>246.49616975690864</v>
      </c>
      <c r="M50" s="12">
        <v>178.97656296326207</v>
      </c>
      <c r="N50" s="12">
        <v>143.6061911512287</v>
      </c>
      <c r="P50" s="2"/>
      <c r="Q50" s="11">
        <v>60</v>
      </c>
      <c r="R50" s="12">
        <v>164.61402530167996</v>
      </c>
      <c r="S50" s="12">
        <v>226.4563816249009</v>
      </c>
      <c r="T50" s="12">
        <v>306.00060291817488</v>
      </c>
      <c r="U50" s="12">
        <v>354.06908145850417</v>
      </c>
      <c r="V50" s="12">
        <v>381.94610425073552</v>
      </c>
      <c r="W50" s="12">
        <v>388.06754988352952</v>
      </c>
      <c r="X50" s="12">
        <v>380.55816179943099</v>
      </c>
      <c r="Y50" s="12">
        <v>359.88091264281871</v>
      </c>
      <c r="Z50" s="12">
        <v>315.5861342047229</v>
      </c>
      <c r="AA50" s="12">
        <v>246.49616975690864</v>
      </c>
      <c r="AB50" s="12">
        <v>178.97656296326207</v>
      </c>
      <c r="AC50" s="12">
        <v>143.6061911512287</v>
      </c>
    </row>
    <row r="51" spans="1:29" ht="15.75" thickBot="1">
      <c r="A51" s="2"/>
      <c r="B51" s="11">
        <v>75</v>
      </c>
      <c r="C51" s="12">
        <v>152.99844528216701</v>
      </c>
      <c r="D51" s="12">
        <v>207.88630133396799</v>
      </c>
      <c r="E51" s="12">
        <v>275.78645537152818</v>
      </c>
      <c r="F51" s="12">
        <v>313.53013018198737</v>
      </c>
      <c r="G51" s="12">
        <v>334.1761405363099</v>
      </c>
      <c r="H51" s="12">
        <v>337.67888477902233</v>
      </c>
      <c r="I51" s="12">
        <v>331.73971548778371</v>
      </c>
      <c r="J51" s="12">
        <v>316.62940947014937</v>
      </c>
      <c r="K51" s="12">
        <v>281.68848850454174</v>
      </c>
      <c r="L51" s="12">
        <v>223.93299092179208</v>
      </c>
      <c r="M51" s="12">
        <v>165.2378647044269</v>
      </c>
      <c r="N51" s="12">
        <v>134.00236437443522</v>
      </c>
      <c r="P51" s="2"/>
      <c r="Q51" s="11">
        <v>75</v>
      </c>
      <c r="R51" s="12">
        <v>152.99844528216701</v>
      </c>
      <c r="S51" s="12">
        <v>207.88630133396799</v>
      </c>
      <c r="T51" s="12">
        <v>275.78645537152818</v>
      </c>
      <c r="U51" s="12">
        <v>313.53013018198737</v>
      </c>
      <c r="V51" s="12">
        <v>334.1761405363099</v>
      </c>
      <c r="W51" s="12">
        <v>337.67888477902233</v>
      </c>
      <c r="X51" s="12">
        <v>331.73971548778371</v>
      </c>
      <c r="Y51" s="12">
        <v>316.62940947014937</v>
      </c>
      <c r="Z51" s="12">
        <v>281.68848850454174</v>
      </c>
      <c r="AA51" s="12">
        <v>223.93299092179208</v>
      </c>
      <c r="AB51" s="12">
        <v>165.2378647044269</v>
      </c>
      <c r="AC51" s="12">
        <v>134.00236437443522</v>
      </c>
    </row>
    <row r="52" spans="1:29" ht="15.75" thickBot="1">
      <c r="A52" s="2"/>
      <c r="B52" s="14">
        <v>90</v>
      </c>
      <c r="C52" s="12">
        <v>136.65013510490434</v>
      </c>
      <c r="D52" s="12">
        <v>183.6496730888901</v>
      </c>
      <c r="E52" s="12">
        <v>239.69142838603511</v>
      </c>
      <c r="F52" s="12">
        <v>268.21226155528149</v>
      </c>
      <c r="G52" s="12">
        <v>282.75852390834893</v>
      </c>
      <c r="H52" s="12">
        <v>284.29078183767052</v>
      </c>
      <c r="I52" s="12">
        <v>279.75323673208101</v>
      </c>
      <c r="J52" s="12">
        <v>269.29081452572592</v>
      </c>
      <c r="K52" s="12">
        <v>242.71564375863758</v>
      </c>
      <c r="L52" s="12">
        <v>196.01650919309193</v>
      </c>
      <c r="M52" s="12">
        <v>146.72191359676046</v>
      </c>
      <c r="N52" s="12">
        <v>120.11231115805293</v>
      </c>
      <c r="P52" s="2"/>
      <c r="Q52" s="14">
        <v>90</v>
      </c>
      <c r="R52" s="12">
        <v>136.65013510490434</v>
      </c>
      <c r="S52" s="12">
        <v>183.6496730888901</v>
      </c>
      <c r="T52" s="12">
        <v>239.69142838603511</v>
      </c>
      <c r="U52" s="12">
        <v>268.21226155528149</v>
      </c>
      <c r="V52" s="12">
        <v>282.75852390834893</v>
      </c>
      <c r="W52" s="12">
        <v>284.29078183767052</v>
      </c>
      <c r="X52" s="12">
        <v>279.75323673208101</v>
      </c>
      <c r="Y52" s="12">
        <v>269.29081452572592</v>
      </c>
      <c r="Z52" s="12">
        <v>242.71564375863758</v>
      </c>
      <c r="AA52" s="12">
        <v>196.01650919309193</v>
      </c>
      <c r="AB52" s="12">
        <v>146.72191359676046</v>
      </c>
      <c r="AC52" s="12">
        <v>120.11231115805293</v>
      </c>
    </row>
    <row r="53" spans="1:29" ht="15.75" thickTop="1">
      <c r="A53" s="2"/>
      <c r="B53" s="19" t="s">
        <v>25</v>
      </c>
      <c r="C53" s="19"/>
      <c r="D53" s="3">
        <f>CHOOSE(List1!$L$23,0,15,30,45,60,75,90)</f>
        <v>0</v>
      </c>
      <c r="E53" s="19"/>
      <c r="F53" s="19"/>
      <c r="G53" s="19"/>
      <c r="H53" s="19"/>
      <c r="I53" s="19"/>
      <c r="J53" s="19"/>
      <c r="K53" s="19"/>
      <c r="L53" s="19"/>
      <c r="M53" s="19"/>
      <c r="N53" s="19"/>
      <c r="P53" s="2"/>
      <c r="Q53" s="19" t="s">
        <v>25</v>
      </c>
      <c r="R53" s="19"/>
      <c r="S53" s="3">
        <f>CHOOSE(List1!$L$23,0,15,30,45,60,75,90)</f>
        <v>0</v>
      </c>
      <c r="T53" s="19"/>
      <c r="U53" s="19"/>
      <c r="V53" s="19"/>
      <c r="W53" s="19"/>
      <c r="X53" s="19"/>
      <c r="Y53" s="19"/>
      <c r="Z53" s="19"/>
      <c r="AA53" s="19"/>
      <c r="AB53" s="19"/>
      <c r="AC53" s="19"/>
    </row>
    <row r="54" spans="1:29">
      <c r="A54" s="2"/>
      <c r="B54" s="20" t="s">
        <v>19</v>
      </c>
      <c r="C54" s="21" t="s">
        <v>0</v>
      </c>
      <c r="D54" s="21" t="s">
        <v>1</v>
      </c>
      <c r="E54" s="21" t="s">
        <v>2</v>
      </c>
      <c r="F54" s="21" t="s">
        <v>3</v>
      </c>
      <c r="G54" s="21" t="s">
        <v>4</v>
      </c>
      <c r="H54" s="21" t="s">
        <v>20</v>
      </c>
      <c r="I54" s="21" t="s">
        <v>6</v>
      </c>
      <c r="J54" s="21" t="s">
        <v>7</v>
      </c>
      <c r="K54" s="21" t="s">
        <v>8</v>
      </c>
      <c r="L54" s="21" t="s">
        <v>9</v>
      </c>
      <c r="M54" s="21" t="s">
        <v>10</v>
      </c>
      <c r="N54" s="21" t="s">
        <v>11</v>
      </c>
      <c r="P54" s="2"/>
      <c r="Q54" s="20" t="s">
        <v>19</v>
      </c>
      <c r="R54" s="21" t="s">
        <v>0</v>
      </c>
      <c r="S54" s="21" t="s">
        <v>1</v>
      </c>
      <c r="T54" s="21" t="s">
        <v>2</v>
      </c>
      <c r="U54" s="21" t="s">
        <v>3</v>
      </c>
      <c r="V54" s="21" t="s">
        <v>4</v>
      </c>
      <c r="W54" s="21" t="s">
        <v>20</v>
      </c>
      <c r="X54" s="21" t="s">
        <v>6</v>
      </c>
      <c r="Y54" s="21" t="s">
        <v>7</v>
      </c>
      <c r="Z54" s="21" t="s">
        <v>8</v>
      </c>
      <c r="AA54" s="21" t="s">
        <v>9</v>
      </c>
      <c r="AB54" s="21" t="s">
        <v>10</v>
      </c>
      <c r="AC54" s="21" t="s">
        <v>11</v>
      </c>
    </row>
    <row r="55" spans="1:29">
      <c r="A55" s="2"/>
      <c r="B55" s="15">
        <v>0</v>
      </c>
      <c r="C55" s="15">
        <f>C4</f>
        <v>175</v>
      </c>
      <c r="D55" s="15">
        <f t="shared" ref="D55:N55" si="0">D4</f>
        <v>253</v>
      </c>
      <c r="E55" s="15">
        <f t="shared" si="0"/>
        <v>365</v>
      </c>
      <c r="F55" s="15">
        <f t="shared" si="0"/>
        <v>446</v>
      </c>
      <c r="G55" s="15">
        <f t="shared" si="0"/>
        <v>498</v>
      </c>
      <c r="H55" s="15">
        <f t="shared" si="0"/>
        <v>514</v>
      </c>
      <c r="I55" s="15">
        <f t="shared" si="0"/>
        <v>501</v>
      </c>
      <c r="J55" s="15">
        <f t="shared" si="0"/>
        <v>462</v>
      </c>
      <c r="K55" s="15">
        <f t="shared" si="0"/>
        <v>388</v>
      </c>
      <c r="L55" s="15">
        <f t="shared" si="0"/>
        <v>285</v>
      </c>
      <c r="M55" s="15">
        <f t="shared" si="0"/>
        <v>195</v>
      </c>
      <c r="N55" s="15">
        <f t="shared" si="0"/>
        <v>150</v>
      </c>
      <c r="P55" s="2"/>
      <c r="Q55" s="15">
        <v>0</v>
      </c>
      <c r="R55" s="15">
        <f>R4</f>
        <v>175</v>
      </c>
      <c r="S55" s="15">
        <f t="shared" ref="S55:AC55" si="1">S4</f>
        <v>253</v>
      </c>
      <c r="T55" s="15">
        <f t="shared" si="1"/>
        <v>365</v>
      </c>
      <c r="U55" s="15">
        <f t="shared" si="1"/>
        <v>446</v>
      </c>
      <c r="V55" s="15">
        <f t="shared" si="1"/>
        <v>498</v>
      </c>
      <c r="W55" s="15">
        <f t="shared" si="1"/>
        <v>514</v>
      </c>
      <c r="X55" s="15">
        <f t="shared" si="1"/>
        <v>501</v>
      </c>
      <c r="Y55" s="15">
        <f t="shared" si="1"/>
        <v>462</v>
      </c>
      <c r="Z55" s="15">
        <f t="shared" si="1"/>
        <v>388</v>
      </c>
      <c r="AA55" s="15">
        <f t="shared" si="1"/>
        <v>285</v>
      </c>
      <c r="AB55" s="15">
        <f t="shared" si="1"/>
        <v>195</v>
      </c>
      <c r="AC55" s="15">
        <f t="shared" si="1"/>
        <v>150</v>
      </c>
    </row>
    <row r="56" spans="1:29">
      <c r="A56" s="2"/>
      <c r="B56" s="15">
        <v>15</v>
      </c>
      <c r="C56" s="15">
        <f>+CHOOSE(List1!$L$23,G!C5,G!C12,G!C19,G!C26,C33,C40,C47)</f>
        <v>273</v>
      </c>
      <c r="D56" s="15">
        <f>+CHOOSE(List1!$L$23,G!D5,G!D12,G!D19,G!D26,D33,D40,D47)</f>
        <v>353</v>
      </c>
      <c r="E56" s="15">
        <f>+CHOOSE(List1!$L$23,G!E5,G!E12,G!E19,G!E26,E33,E40,E47)</f>
        <v>448</v>
      </c>
      <c r="F56" s="15">
        <f>+CHOOSE(List1!$L$23,G!F5,G!F12,G!F19,G!F26,F33,F40,F47)</f>
        <v>501</v>
      </c>
      <c r="G56" s="15">
        <f>+CHOOSE(List1!$L$23,G!G5,G!G12,G!G19,G!G26,G33,G40,G47)</f>
        <v>535</v>
      </c>
      <c r="H56" s="15">
        <f>+CHOOSE(List1!$L$23,G!H5,G!H12,G!H19,G!H26,H33,H40,H47)</f>
        <v>545</v>
      </c>
      <c r="I56" s="15">
        <f>+CHOOSE(List1!$L$23,G!I5,G!I12,G!I19,G!I26,I33,I40,I47)</f>
        <v>534</v>
      </c>
      <c r="J56" s="15">
        <f>+CHOOSE(List1!$L$23,G!J5,G!J12,G!J19,G!J26,J33,J40,J47)</f>
        <v>508</v>
      </c>
      <c r="K56" s="15">
        <f>+CHOOSE(List1!$L$23,G!K5,G!K12,G!K19,G!K26,K33,K40,K47)</f>
        <v>457</v>
      </c>
      <c r="L56" s="15">
        <f>+CHOOSE(List1!$L$23,G!L5,G!L12,G!L19,G!L26,L33,L40,L47)</f>
        <v>375</v>
      </c>
      <c r="M56" s="15">
        <f>+CHOOSE(List1!$L$23,G!M5,G!M12,G!M19,G!M26,M33,M40,M47)</f>
        <v>290</v>
      </c>
      <c r="N56" s="15">
        <f>+CHOOSE(List1!$L$23,G!N5,G!N12,G!N19,G!N26,N33,N40,N47)</f>
        <v>245</v>
      </c>
      <c r="P56" s="2"/>
      <c r="Q56" s="15">
        <v>15</v>
      </c>
      <c r="R56" s="15">
        <f>+CHOOSE(List1!$P$23,G!R5,G!R12,G!R19,G!R26,R33,R40,R47)</f>
        <v>273</v>
      </c>
      <c r="S56" s="15">
        <f>+CHOOSE(List1!$P$23,G!S5,G!S12,G!S19,G!S26,S33,S40,S47)</f>
        <v>353</v>
      </c>
      <c r="T56" s="15">
        <f>+CHOOSE(List1!$P$23,G!T5,G!T12,G!T19,G!T26,T33,T40,T47)</f>
        <v>448</v>
      </c>
      <c r="U56" s="15">
        <f>+CHOOSE(List1!$P$23,G!U5,G!U12,G!U19,G!U26,U33,U40,U47)</f>
        <v>501</v>
      </c>
      <c r="V56" s="15">
        <f>+CHOOSE(List1!$P$23,G!V5,G!V12,G!V19,G!V26,V33,V40,V47)</f>
        <v>535</v>
      </c>
      <c r="W56" s="15">
        <f>+CHOOSE(List1!$P$23,G!W5,G!W12,G!W19,G!W26,W33,W40,W47)</f>
        <v>545</v>
      </c>
      <c r="X56" s="15">
        <f>+CHOOSE(List1!$P$23,G!X5,G!X12,G!X19,G!X26,X33,X40,X47)</f>
        <v>534</v>
      </c>
      <c r="Y56" s="15">
        <f>+CHOOSE(List1!$P$23,G!Y5,G!Y12,G!Y19,G!Y26,Y33,Y40,Y47)</f>
        <v>508</v>
      </c>
      <c r="Z56" s="15">
        <f>+CHOOSE(List1!$P$23,G!Z5,G!Z12,G!Z19,G!Z26,Z33,Z40,Z47)</f>
        <v>457</v>
      </c>
      <c r="AA56" s="15">
        <f>+CHOOSE(List1!$P$23,G!AA5,G!AA12,G!AA19,G!AA26,AA33,AA40,AA47)</f>
        <v>375</v>
      </c>
      <c r="AB56" s="15">
        <f>+CHOOSE(List1!$P$23,G!AB5,G!AB12,G!AB19,G!AB26,AB33,AB40,AB47)</f>
        <v>290</v>
      </c>
      <c r="AC56" s="15">
        <f>+CHOOSE(List1!$P$23,G!AC5,G!AC12,G!AC19,G!AC26,AC33,AC40,AC47)</f>
        <v>245</v>
      </c>
    </row>
    <row r="57" spans="1:29">
      <c r="A57" s="2"/>
      <c r="B57" s="15">
        <v>30</v>
      </c>
      <c r="C57" s="15">
        <f>+CHOOSE(List1!$L$23,G!C6,G!C13,G!C20,G!C27,C34,C41,C48)</f>
        <v>356</v>
      </c>
      <c r="D57" s="15">
        <f>+CHOOSE(List1!$L$23,G!D6,G!D13,G!D20,G!D27,D34,D41,D48)</f>
        <v>434</v>
      </c>
      <c r="E57" s="15">
        <f>+CHOOSE(List1!$L$23,G!E6,G!E13,G!E20,G!E27,E34,E41,E48)</f>
        <v>506</v>
      </c>
      <c r="F57" s="15">
        <f>+CHOOSE(List1!$L$23,G!F6,G!F13,G!F20,G!F27,F34,F41,F48)</f>
        <v>529</v>
      </c>
      <c r="G57" s="15">
        <f>+CHOOSE(List1!$L$23,G!G6,G!G13,G!G20,G!G27,G34,G41,G48)</f>
        <v>543</v>
      </c>
      <c r="H57" s="15">
        <f>+CHOOSE(List1!$L$23,G!H6,G!H13,G!H20,G!H27,H34,H41,H48)</f>
        <v>546</v>
      </c>
      <c r="I57" s="15">
        <f>+CHOOSE(List1!$L$23,G!I6,G!I13,G!I20,G!I27,I34,I41,I48)</f>
        <v>538</v>
      </c>
      <c r="J57" s="15">
        <f>+CHOOSE(List1!$L$23,G!J6,G!J13,G!J20,G!J27,J34,J41,J48)</f>
        <v>526</v>
      </c>
      <c r="K57" s="15">
        <f>+CHOOSE(List1!$L$23,G!K6,G!K13,G!K20,G!K27,K34,K41,K48)</f>
        <v>501</v>
      </c>
      <c r="L57" s="15">
        <f>+CHOOSE(List1!$L$23,G!L6,G!L13,G!L20,G!L27,L34,L41,L48)</f>
        <v>444</v>
      </c>
      <c r="M57" s="15">
        <f>+CHOOSE(List1!$L$23,G!M6,G!M13,G!M20,G!M27,M34,M41,M48)</f>
        <v>369</v>
      </c>
      <c r="N57" s="15">
        <f>+CHOOSE(List1!$L$23,G!N6,G!N13,G!N20,G!N27,N34,N41,N48)</f>
        <v>325</v>
      </c>
      <c r="P57" s="2"/>
      <c r="Q57" s="15">
        <v>30</v>
      </c>
      <c r="R57" s="15">
        <f>+CHOOSE(List1!$P$23,G!R6,G!R13,G!R20,G!R27,R34,R41,R48)</f>
        <v>356</v>
      </c>
      <c r="S57" s="15">
        <f>+CHOOSE(List1!$P$23,G!S6,G!S13,G!S20,G!S27,S34,S41,S48)</f>
        <v>434</v>
      </c>
      <c r="T57" s="15">
        <f>+CHOOSE(List1!$P$23,G!T6,G!T13,G!T20,G!T27,T34,T41,T48)</f>
        <v>506</v>
      </c>
      <c r="U57" s="15">
        <f>+CHOOSE(List1!$P$23,G!U6,G!U13,G!U20,G!U27,U34,U41,U48)</f>
        <v>529</v>
      </c>
      <c r="V57" s="15">
        <f>+CHOOSE(List1!$P$23,G!V6,G!V13,G!V20,G!V27,V34,V41,V48)</f>
        <v>543</v>
      </c>
      <c r="W57" s="15">
        <f>+CHOOSE(List1!$P$23,G!W6,G!W13,G!W20,G!W27,W34,W41,W48)</f>
        <v>546</v>
      </c>
      <c r="X57" s="15">
        <f>+CHOOSE(List1!$P$23,G!X6,G!X13,G!X20,G!X27,X34,X41,X48)</f>
        <v>538</v>
      </c>
      <c r="Y57" s="15">
        <f>+CHOOSE(List1!$P$23,G!Y6,G!Y13,G!Y20,G!Y27,Y34,Y41,Y48)</f>
        <v>526</v>
      </c>
      <c r="Z57" s="15">
        <f>+CHOOSE(List1!$P$23,G!Z6,G!Z13,G!Z20,G!Z27,Z34,Z41,Z48)</f>
        <v>501</v>
      </c>
      <c r="AA57" s="15">
        <f>+CHOOSE(List1!$P$23,G!AA6,G!AA13,G!AA20,G!AA27,AA34,AA41,AA48)</f>
        <v>444</v>
      </c>
      <c r="AB57" s="15">
        <f>+CHOOSE(List1!$P$23,G!AB6,G!AB13,G!AB20,G!AB27,AB34,AB41,AB48)</f>
        <v>369</v>
      </c>
      <c r="AC57" s="15">
        <f>+CHOOSE(List1!$P$23,G!AC6,G!AC13,G!AC20,G!AC27,AC34,AC41,AC48)</f>
        <v>325</v>
      </c>
    </row>
    <row r="58" spans="1:29">
      <c r="A58" s="2"/>
      <c r="B58" s="15">
        <v>45</v>
      </c>
      <c r="C58" s="15">
        <f>+CHOOSE(List1!$L$23,G!C7,G!C14,G!C21,G!C28,C35,C42,C49)</f>
        <v>418</v>
      </c>
      <c r="D58" s="15">
        <f>+CHOOSE(List1!$L$23,G!D7,G!D14,G!D21,G!D28,D35,D42,D49)</f>
        <v>489</v>
      </c>
      <c r="E58" s="15">
        <f>+CHOOSE(List1!$L$23,G!E7,G!E14,G!E21,G!E28,E35,E42,E49)</f>
        <v>535</v>
      </c>
      <c r="F58" s="15">
        <f>+CHOOSE(List1!$L$23,G!F7,G!F14,G!F21,G!F28,F35,F42,F49)</f>
        <v>527</v>
      </c>
      <c r="G58" s="15">
        <f>+CHOOSE(List1!$L$23,G!G7,G!G14,G!G21,G!G28,G35,G42,G49)</f>
        <v>521</v>
      </c>
      <c r="H58" s="15">
        <f>+CHOOSE(List1!$L$23,G!H7,G!H14,G!H21,G!H28,H35,H42,H49)</f>
        <v>517</v>
      </c>
      <c r="I58" s="15">
        <f>+CHOOSE(List1!$L$23,G!I7,G!I14,G!I21,G!I28,I35,I42,I49)</f>
        <v>512</v>
      </c>
      <c r="J58" s="15">
        <f>+CHOOSE(List1!$L$23,G!J7,G!J14,G!J21,G!J28,J35,J42,J49)</f>
        <v>515</v>
      </c>
      <c r="K58" s="15">
        <f>+CHOOSE(List1!$L$23,G!K7,G!K14,G!K21,G!K28,K35,K42,K49)</f>
        <v>516</v>
      </c>
      <c r="L58" s="15">
        <f>+CHOOSE(List1!$L$23,G!L7,G!L14,G!L21,G!L28,L35,L42,L49)</f>
        <v>488</v>
      </c>
      <c r="M58" s="15">
        <f>+CHOOSE(List1!$L$23,G!M7,G!M14,G!M21,G!M28,M35,M42,M49)</f>
        <v>427</v>
      </c>
      <c r="N58" s="15">
        <f>+CHOOSE(List1!$L$23,G!N7,G!N14,G!N21,G!N28,N35,N42,N49)</f>
        <v>387</v>
      </c>
      <c r="P58" s="2"/>
      <c r="Q58" s="15">
        <v>45</v>
      </c>
      <c r="R58" s="15">
        <f>+CHOOSE(List1!$P$23,G!R7,G!R14,G!R21,G!R28,R35,R42,R49)</f>
        <v>418</v>
      </c>
      <c r="S58" s="15">
        <f>+CHOOSE(List1!$P$23,G!S7,G!S14,G!S21,G!S28,S35,S42,S49)</f>
        <v>489</v>
      </c>
      <c r="T58" s="15">
        <f>+CHOOSE(List1!$P$23,G!T7,G!T14,G!T21,G!T28,T35,T42,T49)</f>
        <v>535</v>
      </c>
      <c r="U58" s="15">
        <f>+CHOOSE(List1!$P$23,G!U7,G!U14,G!U21,G!U28,U35,U42,U49)</f>
        <v>527</v>
      </c>
      <c r="V58" s="15">
        <f>+CHOOSE(List1!$P$23,G!V7,G!V14,G!V21,G!V28,V35,V42,V49)</f>
        <v>521</v>
      </c>
      <c r="W58" s="15">
        <f>+CHOOSE(List1!$P$23,G!W7,G!W14,G!W21,G!W28,W35,W42,W49)</f>
        <v>517</v>
      </c>
      <c r="X58" s="15">
        <f>+CHOOSE(List1!$P$23,G!X7,G!X14,G!X21,G!X28,X35,X42,X49)</f>
        <v>512</v>
      </c>
      <c r="Y58" s="15">
        <f>+CHOOSE(List1!$P$23,G!Y7,G!Y14,G!Y21,G!Y28,Y35,Y42,Y49)</f>
        <v>515</v>
      </c>
      <c r="Z58" s="15">
        <f>+CHOOSE(List1!$P$23,G!Z7,G!Z14,G!Z21,G!Z28,Z35,Z42,Z49)</f>
        <v>516</v>
      </c>
      <c r="AA58" s="15">
        <f>+CHOOSE(List1!$P$23,G!AA7,G!AA14,G!AA21,G!AA28,AA35,AA42,AA49)</f>
        <v>488</v>
      </c>
      <c r="AB58" s="15">
        <f>+CHOOSE(List1!$P$23,G!AB7,G!AB14,G!AB21,G!AB28,AB35,AB42,AB49)</f>
        <v>427</v>
      </c>
      <c r="AC58" s="15">
        <f>+CHOOSE(List1!$P$23,G!AC7,G!AC14,G!AC21,G!AC28,AC35,AC42,AC49)</f>
        <v>387</v>
      </c>
    </row>
    <row r="59" spans="1:29">
      <c r="A59" s="2"/>
      <c r="B59" s="15">
        <v>60</v>
      </c>
      <c r="C59" s="15">
        <f>+CHOOSE(List1!$L$23,G!C8,G!C15,G!C22,G!C29,C36,C43,C50)</f>
        <v>454</v>
      </c>
      <c r="D59" s="15">
        <f>+CHOOSE(List1!$L$23,G!D8,G!D15,G!D22,G!D29,D36,D43,D50)</f>
        <v>514</v>
      </c>
      <c r="E59" s="15">
        <f>+CHOOSE(List1!$L$23,G!E8,G!E15,G!E22,G!E29,E36,E43,E50)</f>
        <v>533</v>
      </c>
      <c r="F59" s="15">
        <f>+CHOOSE(List1!$L$23,G!F8,G!F15,G!F22,G!F29,F36,F43,F50)</f>
        <v>496</v>
      </c>
      <c r="G59" s="15">
        <f>+CHOOSE(List1!$L$23,G!G8,G!G15,G!G22,G!G29,G36,G43,G50)</f>
        <v>470</v>
      </c>
      <c r="H59" s="15">
        <f>+CHOOSE(List1!$L$23,G!H8,G!H15,G!H22,G!H29,H36,H43,H50)</f>
        <v>460</v>
      </c>
      <c r="I59" s="15">
        <f>+CHOOSE(List1!$L$23,G!I8,G!I15,G!I22,G!I29,I36,I43,I50)</f>
        <v>459</v>
      </c>
      <c r="J59" s="15">
        <f>+CHOOSE(List1!$L$23,G!J8,G!J15,G!J22,G!J29,J36,J43,J50)</f>
        <v>476</v>
      </c>
      <c r="K59" s="15">
        <f>+CHOOSE(List1!$L$23,G!K8,G!K15,G!K22,G!K29,K36,K43,K50)</f>
        <v>503</v>
      </c>
      <c r="L59" s="15">
        <f>+CHOOSE(List1!$L$23,G!L8,G!L15,G!L22,G!L29,L36,L43,L50)</f>
        <v>502</v>
      </c>
      <c r="M59" s="15">
        <f>+CHOOSE(List1!$L$23,G!M8,G!M15,G!M22,G!M29,M36,M43,M50)</f>
        <v>458</v>
      </c>
      <c r="N59" s="15">
        <f>+CHOOSE(List1!$L$23,G!N8,G!N15,G!N22,G!N29,N36,N43,N50)</f>
        <v>424</v>
      </c>
      <c r="P59" s="2"/>
      <c r="Q59" s="15">
        <v>60</v>
      </c>
      <c r="R59" s="15">
        <f>+CHOOSE(List1!$P$23,G!R8,G!R15,G!R22,G!R29,R36,R43,R50)</f>
        <v>454</v>
      </c>
      <c r="S59" s="15">
        <f>+CHOOSE(List1!$P$23,G!S8,G!S15,G!S22,G!S29,S36,S43,S50)</f>
        <v>514</v>
      </c>
      <c r="T59" s="15">
        <f>+CHOOSE(List1!$P$23,G!T8,G!T15,G!T22,G!T29,T36,T43,T50)</f>
        <v>533</v>
      </c>
      <c r="U59" s="15">
        <f>+CHOOSE(List1!$P$23,G!U8,G!U15,G!U22,G!U29,U36,U43,U50)</f>
        <v>496</v>
      </c>
      <c r="V59" s="15">
        <f>+CHOOSE(List1!$P$23,G!V8,G!V15,G!V22,G!V29,V36,V43,V50)</f>
        <v>470</v>
      </c>
      <c r="W59" s="15">
        <f>+CHOOSE(List1!$P$23,G!W8,G!W15,G!W22,G!W29,W36,W43,W50)</f>
        <v>460</v>
      </c>
      <c r="X59" s="15">
        <f>+CHOOSE(List1!$P$23,G!X8,G!X15,G!X22,G!X29,X36,X43,X50)</f>
        <v>459</v>
      </c>
      <c r="Y59" s="15">
        <f>+CHOOSE(List1!$P$23,G!Y8,G!Y15,G!Y22,G!Y29,Y36,Y43,Y50)</f>
        <v>476</v>
      </c>
      <c r="Z59" s="15">
        <f>+CHOOSE(List1!$P$23,G!Z8,G!Z15,G!Z22,G!Z29,Z36,Z43,Z50)</f>
        <v>503</v>
      </c>
      <c r="AA59" s="15">
        <f>+CHOOSE(List1!$P$23,G!AA8,G!AA15,G!AA22,G!AA29,AA36,AA43,AA50)</f>
        <v>502</v>
      </c>
      <c r="AB59" s="15">
        <f>+CHOOSE(List1!$P$23,G!AB8,G!AB15,G!AB22,G!AB29,AB36,AB43,AB50)</f>
        <v>458</v>
      </c>
      <c r="AC59" s="15">
        <f>+CHOOSE(List1!$P$23,G!AC8,G!AC15,G!AC22,G!AC29,AC36,AC43,AC50)</f>
        <v>424</v>
      </c>
    </row>
    <row r="60" spans="1:29">
      <c r="A60" s="2"/>
      <c r="B60" s="15">
        <v>75</v>
      </c>
      <c r="C60" s="15">
        <f>+CHOOSE(List1!$L$23,G!C9,G!C16,G!C23,G!C30,C37,C44,C51)</f>
        <v>463</v>
      </c>
      <c r="D60" s="15">
        <f>+CHOOSE(List1!$L$23,G!D9,G!D16,G!D23,G!D30,D37,D44,D51)</f>
        <v>509</v>
      </c>
      <c r="E60" s="15">
        <f>+CHOOSE(List1!$L$23,G!E9,G!E16,G!E23,G!E30,E37,E44,E51)</f>
        <v>500</v>
      </c>
      <c r="F60" s="15">
        <f>+CHOOSE(List1!$L$23,G!F9,G!F16,G!F23,G!F30,F37,F44,F51)</f>
        <v>437</v>
      </c>
      <c r="G60" s="15">
        <f>+CHOOSE(List1!$L$23,G!G9,G!G16,G!G23,G!G30,G37,G44,G51)</f>
        <v>394</v>
      </c>
      <c r="H60" s="15">
        <f>+CHOOSE(List1!$L$23,G!H9,G!H16,G!H23,G!H30,H37,H44,H51)</f>
        <v>379</v>
      </c>
      <c r="I60" s="15">
        <f>+CHOOSE(List1!$L$23,G!I9,G!I16,G!I23,G!I30,I37,I44,I51)</f>
        <v>381</v>
      </c>
      <c r="J60" s="15">
        <f>+CHOOSE(List1!$L$23,G!J9,G!J16,G!J23,G!J30,J37,J44,J51)</f>
        <v>411</v>
      </c>
      <c r="K60" s="15">
        <f>+CHOOSE(List1!$L$23,G!K9,G!K16,G!K23,G!K30,K37,K44,K51)</f>
        <v>461</v>
      </c>
      <c r="L60" s="15">
        <f>+CHOOSE(List1!$L$23,G!L9,G!L16,G!L23,G!L30,L37,L44,L51)</f>
        <v>488</v>
      </c>
      <c r="M60" s="15">
        <f>+CHOOSE(List1!$L$23,G!M9,G!M16,G!M23,G!M30,M37,M44,M51)</f>
        <v>462</v>
      </c>
      <c r="N60" s="15">
        <f>+CHOOSE(List1!$L$23,G!N9,G!N16,G!N23,G!N30,N37,N44,N51)</f>
        <v>436</v>
      </c>
      <c r="P60" s="2"/>
      <c r="Q60" s="15">
        <v>75</v>
      </c>
      <c r="R60" s="15">
        <f>+CHOOSE(List1!$P$23,G!R9,G!R16,G!R23,G!R30,R37,R44,R51)</f>
        <v>463</v>
      </c>
      <c r="S60" s="15">
        <f>+CHOOSE(List1!$P$23,G!S9,G!S16,G!S23,G!S30,S37,S44,S51)</f>
        <v>509</v>
      </c>
      <c r="T60" s="15">
        <f>+CHOOSE(List1!$P$23,G!T9,G!T16,G!T23,G!T30,T37,T44,T51)</f>
        <v>500</v>
      </c>
      <c r="U60" s="15">
        <f>+CHOOSE(List1!$P$23,G!U9,G!U16,G!U23,G!U30,U37,U44,U51)</f>
        <v>437</v>
      </c>
      <c r="V60" s="15">
        <f>+CHOOSE(List1!$P$23,G!V9,G!V16,G!V23,G!V30,V37,V44,V51)</f>
        <v>394</v>
      </c>
      <c r="W60" s="15">
        <f>+CHOOSE(List1!$P$23,G!W9,G!W16,G!W23,G!W30,W37,W44,W51)</f>
        <v>379</v>
      </c>
      <c r="X60" s="15">
        <f>+CHOOSE(List1!$P$23,G!X9,G!X16,G!X23,G!X30,X37,X44,X51)</f>
        <v>381</v>
      </c>
      <c r="Y60" s="15">
        <f>+CHOOSE(List1!$P$23,G!Y9,G!Y16,G!Y23,G!Y30,Y37,Y44,Y51)</f>
        <v>411</v>
      </c>
      <c r="Z60" s="15">
        <f>+CHOOSE(List1!$P$23,G!Z9,G!Z16,G!Z23,G!Z30,Z37,Z44,Z51)</f>
        <v>461</v>
      </c>
      <c r="AA60" s="15">
        <f>+CHOOSE(List1!$P$23,G!AA9,G!AA16,G!AA23,G!AA30,AA37,AA44,AA51)</f>
        <v>488</v>
      </c>
      <c r="AB60" s="15">
        <f>+CHOOSE(List1!$P$23,G!AB9,G!AB16,G!AB23,G!AB30,AB37,AB44,AB51)</f>
        <v>462</v>
      </c>
      <c r="AC60" s="15">
        <f>+CHOOSE(List1!$P$23,G!AC9,G!AC16,G!AC23,G!AC30,AC37,AC44,AC51)</f>
        <v>436</v>
      </c>
    </row>
    <row r="61" spans="1:29">
      <c r="A61" s="2"/>
      <c r="B61" s="15">
        <v>90</v>
      </c>
      <c r="C61" s="15">
        <f>+CHOOSE(List1!$L$23,G!C10,G!C17,G!C24,G!C31,C38,C45,C52)</f>
        <v>443</v>
      </c>
      <c r="D61" s="15">
        <f>+CHOOSE(List1!$L$23,G!D10,G!D17,G!D24,G!D31,D38,D45,D52)</f>
        <v>473</v>
      </c>
      <c r="E61" s="15">
        <f>+CHOOSE(List1!$L$23,G!E10,G!E17,G!E24,G!E31,E38,E45,E52)</f>
        <v>438</v>
      </c>
      <c r="F61" s="15">
        <f>+CHOOSE(List1!$L$23,G!F10,G!F17,G!F24,G!F31,F38,F45,F52)</f>
        <v>355</v>
      </c>
      <c r="G61" s="15">
        <f>+CHOOSE(List1!$L$23,G!G10,G!G17,G!G24,G!G31,G38,G45,G52)</f>
        <v>299</v>
      </c>
      <c r="H61" s="15">
        <f>+CHOOSE(List1!$L$23,G!H10,G!H17,G!H24,G!H31,H38,H45,H52)</f>
        <v>279</v>
      </c>
      <c r="I61" s="15">
        <f>+CHOOSE(List1!$L$23,G!I10,G!I17,G!I24,G!I31,I38,I45,I52)</f>
        <v>285</v>
      </c>
      <c r="J61" s="15">
        <f>+CHOOSE(List1!$L$23,G!J10,G!J17,G!J24,G!J31,J38,J45,J52)</f>
        <v>325</v>
      </c>
      <c r="K61" s="15">
        <f>+CHOOSE(List1!$L$23,G!K10,G!K17,G!K24,G!K31,K38,K45,K52)</f>
        <v>393</v>
      </c>
      <c r="L61" s="15">
        <f>+CHOOSE(List1!$L$23,G!L10,G!L17,G!L24,G!L31,L38,L45,L52)</f>
        <v>444</v>
      </c>
      <c r="M61" s="15">
        <f>+CHOOSE(List1!$L$23,G!M10,G!M17,G!M24,G!M31,M38,M45,M52)</f>
        <v>438</v>
      </c>
      <c r="N61" s="15">
        <f>+CHOOSE(List1!$L$23,G!N10,G!N17,G!N24,G!N31,N38,N45,N52)</f>
        <v>421</v>
      </c>
      <c r="P61" s="2"/>
      <c r="Q61" s="15">
        <v>90</v>
      </c>
      <c r="R61" s="15">
        <f>+CHOOSE(List1!$P$23,G!R10,G!R17,G!R24,G!R31,R38,R45,R52)</f>
        <v>443</v>
      </c>
      <c r="S61" s="15">
        <f>+CHOOSE(List1!$P$23,G!S10,G!S17,G!S24,G!S31,S38,S45,S52)</f>
        <v>473</v>
      </c>
      <c r="T61" s="15">
        <f>+CHOOSE(List1!$P$23,G!T10,G!T17,G!T24,G!T31,T38,T45,T52)</f>
        <v>438</v>
      </c>
      <c r="U61" s="15">
        <f>+CHOOSE(List1!$P$23,G!U10,G!U17,G!U24,G!U31,U38,U45,U52)</f>
        <v>355</v>
      </c>
      <c r="V61" s="15">
        <f>+CHOOSE(List1!$P$23,G!V10,G!V17,G!V24,G!V31,V38,V45,V52)</f>
        <v>299</v>
      </c>
      <c r="W61" s="15">
        <f>+CHOOSE(List1!$P$23,G!W10,G!W17,G!W24,G!W31,W38,W45,W52)</f>
        <v>279</v>
      </c>
      <c r="X61" s="15">
        <f>+CHOOSE(List1!$P$23,G!X10,G!X17,G!X24,G!X31,X38,X45,X52)</f>
        <v>285</v>
      </c>
      <c r="Y61" s="15">
        <f>+CHOOSE(List1!$P$23,G!Y10,G!Y17,G!Y24,G!Y31,Y38,Y45,Y52)</f>
        <v>325</v>
      </c>
      <c r="Z61" s="15">
        <f>+CHOOSE(List1!$P$23,G!Z10,G!Z17,G!Z24,G!Z31,Z38,Z45,Z52)</f>
        <v>393</v>
      </c>
      <c r="AA61" s="15">
        <f>+CHOOSE(List1!$P$23,G!AA10,G!AA17,G!AA24,G!AA31,AA38,AA45,AA52)</f>
        <v>444</v>
      </c>
      <c r="AB61" s="15">
        <f>+CHOOSE(List1!$P$23,G!AB10,G!AB17,G!AB24,G!AB31,AB38,AB45,AB52)</f>
        <v>438</v>
      </c>
      <c r="AC61" s="15">
        <f>+CHOOSE(List1!$P$23,G!AC10,G!AC17,G!AC24,G!AC31,AC38,AC45,AC52)</f>
        <v>421</v>
      </c>
    </row>
    <row r="62" spans="1:29">
      <c r="A62" s="2"/>
      <c r="B62" s="2"/>
      <c r="C62" s="2"/>
      <c r="D62" s="2"/>
      <c r="E62" s="2"/>
      <c r="F62" s="2"/>
      <c r="G62" s="2"/>
      <c r="H62" s="2"/>
      <c r="I62" s="2"/>
      <c r="J62" s="2"/>
      <c r="K62" s="2"/>
      <c r="L62" s="2"/>
      <c r="M62" s="2"/>
      <c r="N62" s="2"/>
      <c r="P62" s="2"/>
      <c r="Q62" s="2"/>
      <c r="R62" s="2"/>
      <c r="S62" s="2"/>
      <c r="T62" s="2"/>
      <c r="U62" s="2"/>
      <c r="V62" s="2"/>
      <c r="W62" s="2"/>
      <c r="X62" s="2"/>
      <c r="Y62" s="2"/>
      <c r="Z62" s="2"/>
      <c r="AA62" s="2"/>
      <c r="AB62" s="2"/>
      <c r="AC62" s="2"/>
    </row>
    <row r="63" spans="1:29">
      <c r="A63" s="2"/>
      <c r="B63" s="2" t="s">
        <v>26</v>
      </c>
      <c r="C63" s="2"/>
      <c r="D63" s="3">
        <f>CHOOSE(List1!$K$23,0,15,30,45,60,75,90)</f>
        <v>0</v>
      </c>
      <c r="E63" s="2"/>
      <c r="F63" s="2"/>
      <c r="G63" s="2"/>
      <c r="H63" s="2"/>
      <c r="I63" s="2"/>
      <c r="J63" s="2"/>
      <c r="K63" s="2"/>
      <c r="L63" s="2"/>
      <c r="M63" s="2"/>
      <c r="N63" s="2"/>
      <c r="P63" s="2"/>
      <c r="Q63" s="2" t="s">
        <v>26</v>
      </c>
      <c r="R63" s="2"/>
      <c r="S63" s="3">
        <f>CHOOSE(List1!$O$23,0,15,30,45,60,75,90)</f>
        <v>0</v>
      </c>
      <c r="T63" s="2"/>
      <c r="U63" s="2"/>
      <c r="V63" s="2"/>
      <c r="W63" s="2"/>
      <c r="X63" s="2"/>
      <c r="Y63" s="2"/>
      <c r="Z63" s="2"/>
      <c r="AA63" s="2"/>
      <c r="AB63" s="2"/>
      <c r="AC63" s="2"/>
    </row>
    <row r="64" spans="1:29">
      <c r="A64" s="2"/>
      <c r="B64" s="2"/>
      <c r="C64" s="22" t="s">
        <v>0</v>
      </c>
      <c r="D64" s="22" t="s">
        <v>1</v>
      </c>
      <c r="E64" s="22" t="s">
        <v>2</v>
      </c>
      <c r="F64" s="22" t="s">
        <v>3</v>
      </c>
      <c r="G64" s="22" t="s">
        <v>4</v>
      </c>
      <c r="H64" s="22" t="s">
        <v>20</v>
      </c>
      <c r="I64" s="22" t="s">
        <v>6</v>
      </c>
      <c r="J64" s="22" t="s">
        <v>7</v>
      </c>
      <c r="K64" s="22" t="s">
        <v>8</v>
      </c>
      <c r="L64" s="22" t="s">
        <v>9</v>
      </c>
      <c r="M64" s="22" t="s">
        <v>10</v>
      </c>
      <c r="N64" s="22" t="s">
        <v>11</v>
      </c>
      <c r="P64" s="2"/>
      <c r="Q64" s="2"/>
      <c r="R64" s="22" t="s">
        <v>0</v>
      </c>
      <c r="S64" s="22" t="s">
        <v>1</v>
      </c>
      <c r="T64" s="22" t="s">
        <v>2</v>
      </c>
      <c r="U64" s="22" t="s">
        <v>3</v>
      </c>
      <c r="V64" s="22" t="s">
        <v>4</v>
      </c>
      <c r="W64" s="22" t="s">
        <v>20</v>
      </c>
      <c r="X64" s="22" t="s">
        <v>6</v>
      </c>
      <c r="Y64" s="22" t="s">
        <v>7</v>
      </c>
      <c r="Z64" s="22" t="s">
        <v>8</v>
      </c>
      <c r="AA64" s="22" t="s">
        <v>9</v>
      </c>
      <c r="AB64" s="22" t="s">
        <v>10</v>
      </c>
      <c r="AC64" s="22" t="s">
        <v>11</v>
      </c>
    </row>
    <row r="65" spans="1:29">
      <c r="A65" s="2"/>
      <c r="B65" s="15">
        <f>D63</f>
        <v>0</v>
      </c>
      <c r="C65" s="15">
        <f>VLOOKUP($D$63,$B$55:$N$61,2,FALSE)</f>
        <v>175</v>
      </c>
      <c r="D65" s="15">
        <f>VLOOKUP($D$63,$B$55:$N$61,3,FALSE)</f>
        <v>253</v>
      </c>
      <c r="E65" s="15">
        <f>VLOOKUP($D$63,$B$55:$N$61,4,FALSE)</f>
        <v>365</v>
      </c>
      <c r="F65" s="15">
        <f>VLOOKUP($D$63,$B$55:$N$61,5,FALSE)</f>
        <v>446</v>
      </c>
      <c r="G65" s="15">
        <f>VLOOKUP($D$63,$B$55:$N$61,6,FALSE)</f>
        <v>498</v>
      </c>
      <c r="H65" s="15">
        <f>VLOOKUP($D$63,$B$55:$N$61,7,FALSE)</f>
        <v>514</v>
      </c>
      <c r="I65" s="15">
        <f>VLOOKUP($D$63,$B$55:$N$61,8,FALSE)</f>
        <v>501</v>
      </c>
      <c r="J65" s="15">
        <f>VLOOKUP($D$63,$B$55:$N$61,9,FALSE)</f>
        <v>462</v>
      </c>
      <c r="K65" s="15">
        <f>VLOOKUP($D$63,$B$55:$N$61,10,FALSE)</f>
        <v>388</v>
      </c>
      <c r="L65" s="15">
        <f>VLOOKUP($D$63,$B$55:$N$61,11,FALSE)</f>
        <v>285</v>
      </c>
      <c r="M65" s="15">
        <f>VLOOKUP($D$63,$B$55:$N$61,12,FALSE)</f>
        <v>195</v>
      </c>
      <c r="N65" s="15">
        <f>VLOOKUP($D$63,$B$55:$N$61,13,FALSE)</f>
        <v>150</v>
      </c>
      <c r="P65" s="2"/>
      <c r="Q65" s="15">
        <f>S63</f>
        <v>0</v>
      </c>
      <c r="R65" s="15">
        <f>VLOOKUP($S$63,$Q$55:$AC$61,2,FALSE)</f>
        <v>175</v>
      </c>
      <c r="S65" s="15">
        <f>VLOOKUP($S$63,$Q$55:$AC$61,3,FALSE)</f>
        <v>253</v>
      </c>
      <c r="T65" s="15">
        <f>VLOOKUP($S$63,$Q$55:$AC$61,4,FALSE)</f>
        <v>365</v>
      </c>
      <c r="U65" s="15">
        <f>VLOOKUP($S$63,$Q$55:$AC$61,5,FALSE)</f>
        <v>446</v>
      </c>
      <c r="V65" s="15">
        <f>VLOOKUP($S$63,$Q$55:$AC$61,6,FALSE)</f>
        <v>498</v>
      </c>
      <c r="W65" s="15">
        <f>VLOOKUP($S$63,$Q$55:$AC$61,7,FALSE)</f>
        <v>514</v>
      </c>
      <c r="X65" s="15">
        <f>VLOOKUP($S$63,$Q$55:$AC$61,8,FALSE)</f>
        <v>501</v>
      </c>
      <c r="Y65" s="15">
        <f>VLOOKUP($S$63,$Q$55:$AC$61,9,FALSE)</f>
        <v>462</v>
      </c>
      <c r="Z65" s="15">
        <f>VLOOKUP($S$63,$Q$55:$AC$61,10,FALSE)</f>
        <v>388</v>
      </c>
      <c r="AA65" s="15">
        <f>VLOOKUP($S$63,$Q$55:$AC$61,11,FALSE)</f>
        <v>285</v>
      </c>
      <c r="AB65" s="15">
        <f>VLOOKUP($S$63,$Q$55:$AC$61,12,FALSE)</f>
        <v>195</v>
      </c>
      <c r="AC65" s="15">
        <f>VLOOKUP($S$63,$Q$55:$AC$61,13,FALSE)</f>
        <v>150</v>
      </c>
    </row>
  </sheetData>
  <mergeCells count="16">
    <mergeCell ref="B32:N32"/>
    <mergeCell ref="B39:N39"/>
    <mergeCell ref="B46:N46"/>
    <mergeCell ref="C1:N1"/>
    <mergeCell ref="B3:N3"/>
    <mergeCell ref="B11:N11"/>
    <mergeCell ref="B18:N18"/>
    <mergeCell ref="B25:N25"/>
    <mergeCell ref="Q32:AC32"/>
    <mergeCell ref="Q39:AC39"/>
    <mergeCell ref="Q46:AC46"/>
    <mergeCell ref="R1:AC1"/>
    <mergeCell ref="Q3:AC3"/>
    <mergeCell ref="Q11:AC11"/>
    <mergeCell ref="Q18:AC18"/>
    <mergeCell ref="Q25:AC25"/>
  </mergeCells>
  <pageMargins left="0.7" right="0.7" top="0.78740157499999996" bottom="0.78740157499999996" header="0.3" footer="0.3"/>
  <pageSetup paperSize="9" orientation="portrait"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listy</vt:lpstr>
      </vt:variant>
      <vt:variant>
        <vt:i4>4</vt:i4>
      </vt:variant>
      <vt:variant>
        <vt:lpstr>Pojmenované oblasti</vt:lpstr>
      </vt:variant>
      <vt:variant>
        <vt:i4>16</vt:i4>
      </vt:variant>
    </vt:vector>
  </HeadingPairs>
  <TitlesOfParts>
    <vt:vector size="20" baseType="lpstr">
      <vt:lpstr>Zadání</vt:lpstr>
      <vt:lpstr>List1</vt:lpstr>
      <vt:lpstr>H</vt:lpstr>
      <vt:lpstr>G</vt:lpstr>
      <vt:lpstr>List1!EL_Ztráty</vt:lpstr>
      <vt:lpstr>Faktor_snížení_k</vt:lpstr>
      <vt:lpstr>jmenovitá_provozní_teplota_článku_NOCT</vt:lpstr>
      <vt:lpstr>Objem_AKU</vt:lpstr>
      <vt:lpstr>osoby</vt:lpstr>
      <vt:lpstr>Plocha_FV_panelů</vt:lpstr>
      <vt:lpstr>Pohltivost_FV_α</vt:lpstr>
      <vt:lpstr>Ref_účinnost_href</vt:lpstr>
      <vt:lpstr>Snížení_účinnosti_1000na200_ΔηG</vt:lpstr>
      <vt:lpstr>Součinitel_prostupu_tepla_z_FV_do_okolí_U</vt:lpstr>
      <vt:lpstr>Spotřeba_na_osobu</vt:lpstr>
      <vt:lpstr>Srážka_vlivem_elektrických_ztrát_p</vt:lpstr>
      <vt:lpstr>Špičkový_výkon_systému_Ppk</vt:lpstr>
      <vt:lpstr>t_sv</vt:lpstr>
      <vt:lpstr>t_tv</vt:lpstr>
      <vt:lpstr>Výkonový_teplotní_součinitel_βγ</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tomas</dc:creator>
  <cp:lastModifiedBy>Nix Michal</cp:lastModifiedBy>
  <cp:lastPrinted>2021-09-21T06:35:28Z</cp:lastPrinted>
  <dcterms:created xsi:type="dcterms:W3CDTF">2021-06-08T09:18:00Z</dcterms:created>
  <dcterms:modified xsi:type="dcterms:W3CDTF">2021-09-21T08:47:40Z</dcterms:modified>
</cp:coreProperties>
</file>